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 tabRatio="909" activeTab="1"/>
  </bookViews>
  <sheets>
    <sheet name="计算税金" sheetId="61" r:id="rId1"/>
    <sheet name="汇总表" sheetId="1" r:id="rId2"/>
    <sheet name="面积统计" sheetId="64" r:id="rId3"/>
    <sheet name="预缴增值税抵减明细" sheetId="65" r:id="rId4"/>
    <sheet name="画堂春锦13#14#15#17#18# 商铺" sheetId="2" r:id="rId5"/>
    <sheet name="NITRQSEY" sheetId="5" state="hidden" r:id="rId6"/>
    <sheet name="LQHLPISM" sheetId="6" state="hidden" r:id="rId7"/>
    <sheet name="WVPVRPTM" sheetId="7" state="hidden" r:id="rId8"/>
    <sheet name="TAQYOVSR" sheetId="8" state="hidden" r:id="rId9"/>
    <sheet name="ORJJAOMY" sheetId="9" state="hidden" r:id="rId10"/>
    <sheet name="SRPONDTO" sheetId="10" state="hidden" r:id="rId11"/>
    <sheet name="XJLVMTTN" sheetId="11" state="hidden" r:id="rId12"/>
    <sheet name="RMNTYCVY" sheetId="12" state="hidden" r:id="rId13"/>
    <sheet name="YQZQOESO" sheetId="13" state="hidden" r:id="rId14"/>
    <sheet name="VVRJEMRJ" sheetId="14" state="hidden" r:id="rId15"/>
    <sheet name="IRTKRNOJ" sheetId="15" state="hidden" r:id="rId16"/>
    <sheet name="OOTNVTJV" sheetId="16" state="hidden" r:id="rId17"/>
    <sheet name="SVNOPQCH" sheetId="17" state="hidden" r:id="rId18"/>
    <sheet name="画堂春锦9#10#11#12#住宅" sheetId="19" r:id="rId19"/>
    <sheet name="画堂春锦苑1#2#3#5#7#楼住宅销售明细表" sheetId="53" r:id="rId20"/>
    <sheet name="画堂春锦苑8#楼明细表" sheetId="55" r:id="rId21"/>
    <sheet name="画堂春锦苑住宅4#6#" sheetId="59" r:id="rId22"/>
    <sheet name="画堂春锦苑商业16#19#" sheetId="60" r:id="rId23"/>
    <sheet name="画堂春锦一期10#17#楼楼面积差核减" sheetId="56" r:id="rId24"/>
    <sheet name="画堂春锦苑一期未开票收入明细" sheetId="57" r:id="rId25"/>
    <sheet name="销售费率计算表" sheetId="52" r:id="rId26"/>
    <sheet name="Sheet1" sheetId="62" r:id="rId27"/>
    <sheet name="Sheet11" sheetId="47" state="hidden" r:id="rId28"/>
  </sheets>
  <externalReferences>
    <externalReference r:id="rId31"/>
    <externalReference r:id="rId32"/>
    <externalReference r:id="rId33"/>
    <externalReference r:id="rId34"/>
  </externalReferences>
  <definedNames>
    <definedName name="_xlnm._FilterDatabase" localSheetId="4" hidden="1">'画堂春锦13#14#15#17#18# 商铺'!$A$3:$CV$165</definedName>
    <definedName name="_xlnm._FilterDatabase" localSheetId="18" hidden="1">'画堂春锦9#10#11#12#住宅'!$A$3:$CK$349</definedName>
    <definedName name="_xlnm._FilterDatabase" localSheetId="19" hidden="1">'画堂春锦苑1#2#3#5#7#楼住宅销售明细表'!$A$3:$CP$454</definedName>
    <definedName name="_xlnm._FilterDatabase" localSheetId="20" hidden="1">'画堂春锦苑8#楼明细表'!$A$3:$BZ$91</definedName>
    <definedName name="_xlnm._FilterDatabase" localSheetId="21" hidden="1">'画堂春锦苑住宅4#6#'!$A$3:$BV$173</definedName>
    <definedName name="_xlnm._FilterDatabase" localSheetId="22" hidden="1">'画堂春锦苑商业16#19#'!$A$2:$BO$68</definedName>
    <definedName name="_xlnm._FilterDatabase" localSheetId="24" hidden="1">画堂春锦苑一期未开票收入明细!$A$2:$L$333</definedName>
    <definedName name="_xlnm._FilterDatabase" localSheetId="1" hidden="1">汇总表!#REF!</definedName>
    <definedName name="_xlnm.Print_Titles" localSheetId="4">'画堂春锦13#14#15#17#18# 商铺'!$2:$3</definedName>
    <definedName name="sheet0_f_fdckfxmbh">#REF!</definedName>
    <definedName name="取得土地使用权所支付的金额">'[1]项目分类（不可删除）'!$B$3:$D$3</definedName>
    <definedName name="土地征用及拆迁补偿费">'[1]项目分类（不可删除）'!$B$4:$H$4</definedName>
    <definedName name="前期工程费">'[3]项目分类（不可删除）'!$B$5:$J$5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S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冲未开票</t>
        </r>
      </text>
    </comment>
    <comment ref="U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确认收入</t>
        </r>
      </text>
    </comment>
    <comment ref="R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未开票收入+储藏间未开票收入-退租金-一期开票-租金开票</t>
        </r>
      </text>
    </comment>
    <comment ref="T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一期开票+租金开票</t>
        </r>
      </text>
    </comment>
    <comment ref="X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拆迁费抵扣增值税</t>
        </r>
      </text>
    </comment>
    <comment ref="D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28353元7月退租金
</t>
        </r>
      </text>
    </comment>
    <comment ref="M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rFont val="宋体"/>
            <charset val="134"/>
          </rPr>
          <t>二期2074798、一期604503</t>
        </r>
      </text>
    </comment>
    <comment ref="P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-28353元为退租金，同时开具红字发票</t>
        </r>
      </text>
    </comment>
    <comment ref="M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石战龙</t>
        </r>
      </text>
    </comment>
    <comment ref="E2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邵明江退地下室</t>
        </r>
      </text>
    </comment>
    <comment ref="M2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81960前期申报</t>
        </r>
      </text>
    </comment>
  </commentList>
</comments>
</file>

<file path=xl/comments2.xml><?xml version="1.0" encoding="utf-8"?>
<comments xmlns="http://schemas.openxmlformats.org/spreadsheetml/2006/main">
  <authors>
    <author>Administrator</author>
    <author>陈玮</author>
  </authors>
  <commentList>
    <comment ref="G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18-2层02吴红退100000</t>
        </r>
      </text>
    </commen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14号楼负1层计容 可售 办产权</t>
        </r>
      </text>
    </comment>
    <comment ref="K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不含配电室、储藏间</t>
        </r>
      </text>
    </comment>
    <comment ref="K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</t>
        </r>
      </text>
    </comment>
    <comment ref="K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储藏间744.94+830.47</t>
        </r>
      </text>
    </comment>
    <comment ref="D9" authorId="0">
      <text>
        <r>
          <rPr>
            <b/>
            <sz val="9"/>
            <rFont val="宋体"/>
            <charset val="134"/>
          </rPr>
          <t xml:space="preserve">Administrator:
公厕
</t>
        </r>
        <r>
          <rPr>
            <sz val="9"/>
            <rFont val="宋体"/>
            <charset val="134"/>
          </rPr>
          <t>社区用房，
加电梯</t>
        </r>
      </text>
    </comment>
    <comment ref="K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公厕
社区用房</t>
        </r>
      </text>
    </comment>
    <comment ref="O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（预收账款余额-租金余额）+其他应付款项（储藏间）+（其他应付款余额）+会费
</t>
        </r>
      </text>
    </comment>
    <comment ref="P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未开票金额+新售开票直接计收入</t>
        </r>
      </text>
    </comment>
    <comment ref="S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B33" authorId="1">
      <text>
        <r>
          <rPr>
            <sz val="9"/>
            <rFont val="宋体"/>
            <charset val="134"/>
          </rPr>
          <t>预收款-预缴增值税 为土增税计税依据</t>
        </r>
      </text>
    </comment>
    <comment ref="D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H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人防+消防泵房+消防水房间+物业用房</t>
        </r>
      </text>
    </comment>
    <comment ref="H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地下人防设施</t>
        </r>
      </text>
    </comment>
    <comment ref="H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公厕、社区用房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N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O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</t>
        </r>
      </text>
    </comment>
    <comment ref="O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O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AF1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由17-1-5 5000元换据到此房</t>
        </r>
      </text>
    </comment>
    <comment ref="X1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17-1-03#转10到17-1-21#</t>
        </r>
      </text>
    </comment>
    <comment ref="AX129" authorId="0">
      <text>
        <r>
          <rPr>
            <sz val="9"/>
            <rFont val="宋体"/>
            <charset val="134"/>
          </rPr>
          <t>刷卡日2023.4.30，业绩在4月已算</t>
        </r>
      </text>
    </comment>
    <comment ref="M1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</commentList>
</comments>
</file>

<file path=xl/comments5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AT23" authorId="0">
      <text>
        <r>
          <rPr>
            <sz val="9"/>
            <rFont val="宋体"/>
            <charset val="134"/>
          </rPr>
          <t>尹译旋交4000，选4个房号，款记在10-3-102
套奖分别9-1-101/10-3-102</t>
        </r>
      </text>
    </comment>
    <comment ref="R32" authorId="1">
      <text>
        <r>
          <rPr>
            <sz val="9"/>
            <rFont val="宋体"/>
            <charset val="134"/>
          </rPr>
          <t>原房 张俊退房20000预收款已申报税</t>
        </r>
      </text>
    </comment>
    <comment ref="AT52" authorId="0">
      <text>
        <r>
          <rPr>
            <sz val="9"/>
            <rFont val="宋体"/>
            <charset val="134"/>
          </rPr>
          <t>李学德交4000，款记9-2-402，套奖记9-2-402/10-3-301</t>
        </r>
      </text>
    </comment>
    <comment ref="AT94" authorId="0">
      <text>
        <r>
          <rPr>
            <sz val="9"/>
            <rFont val="宋体"/>
            <charset val="134"/>
          </rPr>
          <t>吴健宏12月交会费1000元，未交会费单</t>
        </r>
      </text>
    </comment>
    <comment ref="AQ100" authorId="1">
      <text>
        <r>
          <rPr>
            <sz val="9"/>
            <rFont val="宋体"/>
            <charset val="134"/>
          </rPr>
          <t>主管只选一种提佣</t>
        </r>
      </text>
    </comment>
    <comment ref="AT106" authorId="0">
      <text>
        <r>
          <rPr>
            <sz val="9"/>
            <rFont val="宋体"/>
            <charset val="134"/>
          </rPr>
          <t xml:space="preserve">尹威龙12月交会费1000元，未交会费单
</t>
        </r>
      </text>
    </comment>
    <comment ref="G1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AV116" authorId="0">
      <text>
        <r>
          <rPr>
            <sz val="9"/>
            <rFont val="宋体"/>
            <charset val="134"/>
          </rPr>
          <t>实际为2023.2.28转账，公司3.1日到账</t>
        </r>
      </text>
    </comment>
    <comment ref="AT118" authorId="0">
      <text>
        <r>
          <rPr>
            <sz val="9"/>
            <rFont val="宋体"/>
            <charset val="134"/>
          </rPr>
          <t>孙燕黎 款已收 未交会费单</t>
        </r>
      </text>
    </comment>
    <comment ref="AT129" authorId="0">
      <text>
        <r>
          <rPr>
            <sz val="9"/>
            <rFont val="宋体"/>
            <charset val="134"/>
          </rPr>
          <t>蔡俊12月交会费1000元，未交会费单</t>
        </r>
      </text>
    </comment>
    <comment ref="AT131" authorId="0">
      <text>
        <r>
          <rPr>
            <sz val="9"/>
            <rFont val="宋体"/>
            <charset val="134"/>
          </rPr>
          <t xml:space="preserve">张弘交款4000入10-3-101，套奖入10-3-101/10-3-102
</t>
        </r>
      </text>
    </comment>
    <comment ref="AT132" authorId="0">
      <text>
        <r>
          <rPr>
            <sz val="9"/>
            <rFont val="宋体"/>
            <charset val="134"/>
          </rPr>
          <t>张弘交款4000入10-3-101，套奖入10-3-101/10-3-102</t>
        </r>
      </text>
    </comment>
    <comment ref="AT135" authorId="0">
      <text>
        <r>
          <rPr>
            <sz val="9"/>
            <rFont val="宋体"/>
            <charset val="134"/>
          </rPr>
          <t xml:space="preserve">李学德交4000，款记9-2-402，套奖记9-2-402/10-3-301
</t>
        </r>
      </text>
    </comment>
    <comment ref="R136" authorId="1">
      <text>
        <r>
          <rPr>
            <sz val="9"/>
            <rFont val="宋体"/>
            <charset val="134"/>
          </rPr>
          <t>10-3-302换至二期5-1-802</t>
        </r>
      </text>
    </comment>
    <comment ref="Z136" authorId="1">
      <text>
        <r>
          <rPr>
            <sz val="9"/>
            <rFont val="宋体"/>
            <charset val="134"/>
          </rPr>
          <t>10-3-302换至二期5-1-802</t>
        </r>
      </text>
    </comment>
    <comment ref="I153" authorId="0">
      <text>
        <r>
          <rPr>
            <sz val="9"/>
            <rFont val="宋体"/>
            <charset val="134"/>
          </rPr>
          <t>公共区域</t>
        </r>
      </text>
    </comment>
    <comment ref="G179" authorId="1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H21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由3-3-601转11-2-1001</t>
        </r>
      </text>
    </comment>
    <comment ref="AT317" authorId="0">
      <text>
        <r>
          <rPr>
            <sz val="9"/>
            <rFont val="宋体"/>
            <charset val="134"/>
          </rPr>
          <t xml:space="preserve">张淑红12月交会费1000元，未交会费单
</t>
        </r>
      </text>
    </comment>
    <comment ref="AV324" authorId="0">
      <text>
        <r>
          <rPr>
            <sz val="9"/>
            <rFont val="宋体"/>
            <charset val="134"/>
          </rPr>
          <t>40万 2023.3.1到账</t>
        </r>
      </text>
    </comment>
    <comment ref="AT330" authorId="0">
      <text>
        <r>
          <rPr>
            <sz val="9"/>
            <rFont val="宋体"/>
            <charset val="134"/>
          </rPr>
          <t>李芹12月交会费1000元，未交会费单</t>
        </r>
      </text>
    </comment>
  </commentList>
</comments>
</file>

<file path=xl/comments6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E22" authorId="1">
      <text>
        <r>
          <rPr>
            <b/>
            <sz val="9"/>
            <rFont val="宋体"/>
            <charset val="134"/>
          </rPr>
          <t>Administrator:抵账股份-巴州旺宅通门、库尔勒永绍商贸、新疆冠华（分公司-275895.27，二分公司100755.9）</t>
        </r>
      </text>
    </comment>
    <comment ref="G142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I26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color rgb="FF000000"/>
            <rFont val="宋体"/>
            <charset val="134"/>
          </rPr>
          <t>该房源已批复退网签，</t>
        </r>
        <r>
          <rPr>
            <sz val="14"/>
            <rFont val="宋体"/>
            <charset val="134"/>
          </rPr>
          <t>另行销售时网签价格及单价不变，刘亭房款发票需开红字发票。新售后重新开具</t>
        </r>
      </text>
    </comment>
    <comment ref="M263" authorId="1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1090671+62763=1153434</t>
        </r>
      </text>
    </comment>
    <comment ref="AV27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苑杨春涛入会转11-3-102</t>
        </r>
      </text>
    </comment>
    <comment ref="AV31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原赵开业入会转签11-3-402</t>
        </r>
      </text>
    </comment>
    <comment ref="G314" authorId="1">
      <text>
        <r>
          <rPr>
            <sz val="9"/>
            <rFont val="宋体"/>
            <charset val="134"/>
          </rPr>
          <t>由一期住宅12-1-502转</t>
        </r>
      </text>
    </comment>
    <comment ref="AD327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多收1万退</t>
        </r>
      </text>
    </comment>
    <comment ref="G415" authorId="0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G430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  <comment ref="AV435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原张桂芝入会转签至12-2-101</t>
        </r>
      </text>
    </comment>
  </commentList>
</comments>
</file>

<file path=xl/comments7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8.xml><?xml version="1.0" encoding="utf-8"?>
<comments xmlns="http://schemas.openxmlformats.org/spreadsheetml/2006/main">
  <authors>
    <author>陈玮</author>
    <author>Administrator</author>
  </authors>
  <commentList>
    <comment ref="F3" authorId="0">
      <text>
        <r>
          <rPr>
            <sz val="9"/>
            <rFont val="宋体"/>
            <charset val="134"/>
          </rPr>
          <t>出售还是抵账</t>
        </r>
      </text>
    </comment>
    <comment ref="F65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确定抵房时间：2025-11-25</t>
        </r>
      </text>
    </comment>
    <comment ref="I114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2025-11-30日定，款2025.12.1到账</t>
        </r>
      </text>
    </comment>
  </commentList>
</comments>
</file>

<file path=xl/comments9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10.xml><?xml version="1.0" encoding="utf-8"?>
<comments xmlns="http://schemas.openxmlformats.org/spreadsheetml/2006/main">
  <authors>
    <author>陈玮</author>
  </authors>
  <commentList>
    <comment ref="D3" authorId="0">
      <text>
        <r>
          <rPr>
            <sz val="9"/>
            <rFont val="宋体"/>
            <charset val="134"/>
          </rPr>
          <t>出售还是抵账</t>
        </r>
      </text>
    </comment>
    <comment ref="O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11.xml><?xml version="1.0" encoding="utf-8"?>
<comments xmlns="http://schemas.openxmlformats.org/spreadsheetml/2006/main">
  <authors>
    <author>Administrator</author>
  </authors>
  <commentList>
    <comment ref="E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E112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sharedStrings.xml><?xml version="1.0" encoding="utf-8"?>
<sst xmlns="http://schemas.openxmlformats.org/spreadsheetml/2006/main" count="14744" uniqueCount="6899">
  <si>
    <t>画堂春锦苑预收款</t>
  </si>
  <si>
    <t>预收款计未开票（当月已售暂未开发票）</t>
  </si>
  <si>
    <t>预收款计未开票税金</t>
  </si>
  <si>
    <t>预收款未开票-已开票</t>
  </si>
  <si>
    <t>未开票余额</t>
  </si>
  <si>
    <t>预收款直接记收入（当月售房已开发票）</t>
  </si>
  <si>
    <t>2024年</t>
  </si>
  <si>
    <t>房款</t>
  </si>
  <si>
    <t>租金</t>
  </si>
  <si>
    <t>储藏间</t>
  </si>
  <si>
    <t>小计</t>
  </si>
  <si>
    <t>房款税金</t>
  </si>
  <si>
    <t>租金税金</t>
  </si>
  <si>
    <t>储藏间税金</t>
  </si>
  <si>
    <t>税金</t>
  </si>
  <si>
    <t>8月</t>
  </si>
  <si>
    <t>9月</t>
  </si>
  <si>
    <t>一期</t>
  </si>
  <si>
    <t>10月</t>
  </si>
  <si>
    <t>11月</t>
  </si>
  <si>
    <t>12月</t>
  </si>
  <si>
    <t>2025年</t>
  </si>
  <si>
    <t>1月</t>
  </si>
  <si>
    <t>2月</t>
  </si>
  <si>
    <t>3月</t>
  </si>
  <si>
    <t>4月</t>
  </si>
  <si>
    <t>二期</t>
  </si>
  <si>
    <t>5月</t>
  </si>
  <si>
    <t>6月</t>
  </si>
  <si>
    <t>财务报表报送与信息采集（小企业会计准则）备注：账面开发产品、主营业务成本与申报表数据各差值3000万，原因考虑二季度企业所得税此3000万为暂结转成本，集团财务何健总要求账面不动，报表中调整即可</t>
  </si>
  <si>
    <t>7月</t>
  </si>
  <si>
    <t>28353退租同时开红字发票</t>
  </si>
  <si>
    <t>一期1102679元，剩余为二期</t>
  </si>
  <si>
    <t>一期1433447元，剩余为二期</t>
  </si>
  <si>
    <t>一期789076</t>
  </si>
  <si>
    <t>2026年</t>
  </si>
  <si>
    <t>4#6#16#19#
12# 510000</t>
  </si>
  <si>
    <t>4#6#16#19#</t>
  </si>
  <si>
    <t>不含税</t>
  </si>
  <si>
    <r>
      <rPr>
        <b/>
        <u/>
        <sz val="18"/>
        <rFont val="宋体"/>
        <charset val="134"/>
      </rPr>
      <t xml:space="preserve"> 新疆通力画堂春锦苑 </t>
    </r>
    <r>
      <rPr>
        <b/>
        <sz val="18"/>
        <rFont val="宋体"/>
        <charset val="134"/>
      </rPr>
      <t>楼盘销售月报（2026.6）</t>
    </r>
  </si>
  <si>
    <t>序号</t>
  </si>
  <si>
    <t>楼号</t>
  </si>
  <si>
    <t>开发数量</t>
  </si>
  <si>
    <t>可销售</t>
  </si>
  <si>
    <t>本月销售情况</t>
  </si>
  <si>
    <t>开发面积（m2）</t>
  </si>
  <si>
    <t>可销售面积（m2）</t>
  </si>
  <si>
    <t>累计销售情况</t>
  </si>
  <si>
    <t>未销售数（含置换）</t>
  </si>
  <si>
    <t>备注</t>
  </si>
  <si>
    <t>套数</t>
  </si>
  <si>
    <t>成交
套数</t>
  </si>
  <si>
    <t>成交总金额（元）</t>
  </si>
  <si>
    <t>已收取房款（元）</t>
  </si>
  <si>
    <t>施工许可证</t>
  </si>
  <si>
    <t>成交金额（元）</t>
  </si>
  <si>
    <t>成交面积（m2）</t>
  </si>
  <si>
    <t>累计收取房款（元）</t>
  </si>
  <si>
    <t>本月到账贷款</t>
  </si>
  <si>
    <t>累计到帐贷款</t>
  </si>
  <si>
    <t>房款合计</t>
  </si>
  <si>
    <t>应收款</t>
  </si>
  <si>
    <t>未销售面积（m2）</t>
  </si>
  <si>
    <t>金额（元）</t>
  </si>
  <si>
    <t>画堂春锦苑一期13#14#15#17#18#楼（商业）</t>
  </si>
  <si>
    <t>画堂春锦苑一期9#10#11#12#楼（住宅)</t>
  </si>
  <si>
    <t>画堂春锦苑二期1#-3#5#/7#楼住宅销售明细表</t>
  </si>
  <si>
    <t>画堂春锦苑二期8#楼住宅销售明细表</t>
  </si>
  <si>
    <t>画堂春锦苑住宅4#6#</t>
  </si>
  <si>
    <t>画堂春锦苑二期商业16#19#</t>
  </si>
  <si>
    <t>合计</t>
  </si>
  <si>
    <t>收会费、储藏间定金</t>
  </si>
  <si>
    <t>系统</t>
  </si>
  <si>
    <t>会费转预收</t>
  </si>
  <si>
    <t>账面</t>
  </si>
  <si>
    <t>预收总计</t>
  </si>
  <si>
    <t>租铺意向金</t>
  </si>
  <si>
    <t>账套有，台账不录</t>
  </si>
  <si>
    <t>面积减少退款</t>
  </si>
  <si>
    <t>履约保证金</t>
  </si>
  <si>
    <t>已报税退房</t>
  </si>
  <si>
    <t>与系统差</t>
  </si>
  <si>
    <t>1、马桂香1000元会费未登台账，未收到会费单
2、20元为尾差处理</t>
  </si>
  <si>
    <t>与账面差</t>
  </si>
  <si>
    <t>新疆通力房地产开发库尔勒二分公司销售不动产税金计算表（2026.6月）</t>
  </si>
  <si>
    <t>项目名称</t>
  </si>
  <si>
    <r>
      <rPr>
        <b/>
        <sz val="11"/>
        <color theme="1"/>
        <rFont val="宋体"/>
        <charset val="134"/>
        <scheme val="minor"/>
      </rPr>
      <t>画堂春锦苑</t>
    </r>
    <r>
      <rPr>
        <b/>
        <sz val="11"/>
        <color rgb="FFFF0000"/>
        <rFont val="宋体"/>
        <charset val="134"/>
        <scheme val="minor"/>
      </rPr>
      <t>一</t>
    </r>
    <r>
      <rPr>
        <b/>
        <sz val="11"/>
        <color theme="1"/>
        <rFont val="宋体"/>
        <charset val="134"/>
        <scheme val="minor"/>
      </rPr>
      <t>期住宅9#-12#</t>
    </r>
  </si>
  <si>
    <t>画堂春锦苑二期住宅1#-3#5#7#</t>
  </si>
  <si>
    <r>
      <rPr>
        <b/>
        <sz val="9"/>
        <color theme="1"/>
        <rFont val="宋体"/>
        <charset val="134"/>
        <scheme val="minor"/>
      </rPr>
      <t>画堂春锦苑</t>
    </r>
    <r>
      <rPr>
        <b/>
        <sz val="9"/>
        <color rgb="FFFF0000"/>
        <rFont val="宋体"/>
        <charset val="134"/>
        <scheme val="minor"/>
      </rPr>
      <t>一</t>
    </r>
    <r>
      <rPr>
        <b/>
        <sz val="9"/>
        <color theme="1"/>
        <rFont val="宋体"/>
        <charset val="134"/>
        <scheme val="minor"/>
      </rPr>
      <t>期商业13#-15#17#18#</t>
    </r>
  </si>
  <si>
    <t>画堂春锦苑8#楼</t>
  </si>
  <si>
    <t>画堂春锦苑商业16#19#</t>
  </si>
  <si>
    <t>预收账面贷方</t>
  </si>
  <si>
    <t>预收合计</t>
  </si>
  <si>
    <r>
      <rPr>
        <b/>
        <sz val="11"/>
        <color theme="1"/>
        <rFont val="宋体"/>
        <charset val="134"/>
        <scheme val="minor"/>
      </rPr>
      <t>144</t>
    </r>
    <r>
      <rPr>
        <b/>
        <sz val="11"/>
        <color theme="1"/>
        <rFont val="SimSun"/>
        <charset val="134"/>
      </rPr>
      <t>㎡</t>
    </r>
    <r>
      <rPr>
        <b/>
        <sz val="11"/>
        <color theme="1"/>
        <rFont val="宋体"/>
        <charset val="134"/>
        <scheme val="minor"/>
      </rPr>
      <t>以下</t>
    </r>
  </si>
  <si>
    <t>144以上</t>
  </si>
  <si>
    <t>非普通</t>
  </si>
  <si>
    <t>144㎡以下</t>
  </si>
  <si>
    <t>144㎡以上</t>
  </si>
  <si>
    <t>合计应缴</t>
  </si>
  <si>
    <t>预收</t>
  </si>
  <si>
    <t>税率</t>
  </si>
  <si>
    <t>预缴增值税</t>
  </si>
  <si>
    <t>城建税</t>
  </si>
  <si>
    <t>教育费附加</t>
  </si>
  <si>
    <t>地方教育附加</t>
  </si>
  <si>
    <t>土地增值税</t>
  </si>
  <si>
    <t>印花税</t>
  </si>
  <si>
    <t>企业所得税</t>
  </si>
  <si>
    <t>个人所得税</t>
  </si>
  <si>
    <t>房产税</t>
  </si>
  <si>
    <t>从租（不含税租金*12%）</t>
  </si>
  <si>
    <t>从价自用（价值*70%*1.2%）</t>
  </si>
  <si>
    <t>一般计税增值税</t>
  </si>
  <si>
    <t>土地使用税</t>
  </si>
  <si>
    <t>工会经费</t>
  </si>
  <si>
    <r>
      <rPr>
        <b/>
        <sz val="12"/>
        <color theme="1"/>
        <rFont val="宋体"/>
        <charset val="134"/>
        <scheme val="minor"/>
      </rPr>
      <t>注：1、本月画堂春锦苑一期项目未开发票收入0元</t>
    </r>
    <r>
      <rPr>
        <b/>
        <sz val="12"/>
        <color rgb="FFFF0000"/>
        <rFont val="宋体"/>
        <charset val="134"/>
        <scheme val="minor"/>
      </rPr>
      <t>应缴纳的增值税0元</t>
    </r>
    <r>
      <rPr>
        <b/>
        <sz val="12"/>
        <color theme="1"/>
        <rFont val="宋体"/>
        <charset val="134"/>
        <scheme val="minor"/>
      </rPr>
      <t>，画堂春锦苑一期新售住宅开具发票0元应缴纳的增值税0元；画堂春锦苑二期项目未开发票收入0元</t>
    </r>
    <r>
      <rPr>
        <b/>
        <sz val="12"/>
        <color rgb="FFFF0000"/>
        <rFont val="宋体"/>
        <charset val="134"/>
        <scheme val="minor"/>
      </rPr>
      <t>应缴纳的增值税0元，</t>
    </r>
    <r>
      <rPr>
        <b/>
        <sz val="12"/>
        <rFont val="宋体"/>
        <charset val="134"/>
        <scheme val="minor"/>
      </rPr>
      <t>画堂春锦苑二期新售住宅开具发票</t>
    </r>
    <r>
      <rPr>
        <b/>
        <sz val="12"/>
        <color theme="1"/>
        <rFont val="宋体"/>
        <charset val="134"/>
        <scheme val="minor"/>
      </rPr>
      <t>0元</t>
    </r>
    <r>
      <rPr>
        <b/>
        <sz val="12"/>
        <color rgb="FFFF0000"/>
        <rFont val="宋体"/>
        <charset val="134"/>
        <scheme val="minor"/>
      </rPr>
      <t>应缴纳的增值税0元</t>
    </r>
    <r>
      <rPr>
        <b/>
        <sz val="12"/>
        <color theme="1"/>
        <rFont val="宋体"/>
        <charset val="134"/>
        <scheme val="minor"/>
      </rPr>
      <t>；一期开具发票冲减未开票0元；二期开具发票冲减未开票0元；
2、租金未开票收入0元</t>
    </r>
    <r>
      <rPr>
        <b/>
        <sz val="12"/>
        <color rgb="FFFF0000"/>
        <rFont val="宋体"/>
        <charset val="134"/>
        <scheme val="minor"/>
      </rPr>
      <t>应缴纳增值税0元</t>
    </r>
    <r>
      <rPr>
        <b/>
        <sz val="12"/>
        <color theme="1"/>
        <rFont val="宋体"/>
        <charset val="134"/>
        <scheme val="minor"/>
      </rPr>
      <t>，
3、收取地下室储藏间款0元，</t>
    </r>
    <r>
      <rPr>
        <b/>
        <sz val="12"/>
        <color rgb="FFFF0000"/>
        <rFont val="宋体"/>
        <charset val="134"/>
        <scheme val="minor"/>
      </rPr>
      <t xml:space="preserve">应缴纳增值税0元，
</t>
    </r>
    <r>
      <rPr>
        <b/>
        <sz val="12"/>
        <color theme="1"/>
        <rFont val="宋体"/>
        <charset val="134"/>
        <scheme val="minor"/>
      </rPr>
      <t xml:space="preserve">
4、应缴纳的增值税0元-本月进</t>
    </r>
    <r>
      <rPr>
        <b/>
        <sz val="12"/>
        <rFont val="宋体"/>
        <charset val="134"/>
        <scheme val="minor"/>
      </rPr>
      <t>项税0元+</t>
    </r>
    <r>
      <rPr>
        <b/>
        <sz val="12"/>
        <color theme="1"/>
        <rFont val="宋体"/>
        <charset val="134"/>
        <scheme val="minor"/>
      </rPr>
      <t>进项税转出00元-上期留抵0元-预交抵减0元-土地拆迁费抵减增值税0=</t>
    </r>
    <r>
      <rPr>
        <b/>
        <sz val="12"/>
        <color rgb="FFFF0000"/>
        <rFont val="宋体"/>
        <charset val="134"/>
        <scheme val="minor"/>
      </rPr>
      <t>0。</t>
    </r>
    <r>
      <rPr>
        <b/>
        <sz val="12"/>
        <color theme="1"/>
        <rFont val="宋体"/>
        <charset val="134"/>
        <scheme val="minor"/>
      </rPr>
      <t xml:space="preserve">
</t>
    </r>
  </si>
  <si>
    <t>税目</t>
  </si>
  <si>
    <t>摘要</t>
  </si>
  <si>
    <t>税金所属期</t>
  </si>
  <si>
    <t>计税数m²
（1）</t>
  </si>
  <si>
    <t>标准
（2）</t>
  </si>
  <si>
    <t>税额
（1）*（2）</t>
  </si>
  <si>
    <t>2026652801XS001245</t>
  </si>
  <si>
    <t>抵账杜928040</t>
  </si>
  <si>
    <t>411325199811012973</t>
  </si>
  <si>
    <t>余富成</t>
  </si>
  <si>
    <t>11-3-101</t>
  </si>
  <si>
    <t>2026.4.1-2026.6.30</t>
  </si>
  <si>
    <t>抵账640029巩红卫</t>
  </si>
  <si>
    <t>320321198510203676</t>
  </si>
  <si>
    <t>李亚东</t>
  </si>
  <si>
    <t>12-2-202</t>
  </si>
  <si>
    <t>抵账杜884011</t>
  </si>
  <si>
    <t>652801199409283725</t>
  </si>
  <si>
    <t>王潇逸</t>
  </si>
  <si>
    <t>1-3-1102</t>
  </si>
  <si>
    <t>2026年测算二季度需缴纳所得税</t>
  </si>
  <si>
    <t>652801199509180029</t>
  </si>
  <si>
    <t>顾玥</t>
  </si>
  <si>
    <t>0001229</t>
  </si>
  <si>
    <t>8-3-202</t>
  </si>
  <si>
    <t>2026652801XS001319</t>
  </si>
  <si>
    <t>362323200112180036</t>
  </si>
  <si>
    <t>王智睿</t>
  </si>
  <si>
    <t>0001242</t>
  </si>
  <si>
    <t>8-3-1102</t>
  </si>
  <si>
    <t>画堂春锦项目4#6#16#19#楼交房转回预计毛利10#</t>
  </si>
  <si>
    <t>65282519720721052X</t>
  </si>
  <si>
    <t>梁红</t>
  </si>
  <si>
    <t>0001235</t>
  </si>
  <si>
    <t>4-1-201</t>
  </si>
  <si>
    <t>主营业务收入</t>
  </si>
  <si>
    <t>652801199805120530</t>
  </si>
  <si>
    <t>贾淳渊</t>
  </si>
  <si>
    <t>0001236</t>
  </si>
  <si>
    <t>4-1-202</t>
  </si>
  <si>
    <t>其他业务收入</t>
  </si>
  <si>
    <t>党曌抵账8470*128.65=1089665.5</t>
  </si>
  <si>
    <t>510623199003058635</t>
  </si>
  <si>
    <t>倪海军</t>
  </si>
  <si>
    <t>4-2-101</t>
  </si>
  <si>
    <t>营业外收入</t>
  </si>
  <si>
    <t>659001197502090980</t>
  </si>
  <si>
    <t>徐华</t>
  </si>
  <si>
    <t>0001234</t>
  </si>
  <si>
    <t>4-3-102</t>
  </si>
  <si>
    <t>主营业务成本</t>
  </si>
  <si>
    <t>2025年度四季度多预交增值税805936.4元,2026年5月申报特定收入2686454.68元，主营业务成本2686454.68元</t>
  </si>
  <si>
    <t>填表时少填2686454.68</t>
  </si>
  <si>
    <t>62032120014110916</t>
  </si>
  <si>
    <t>郭东</t>
  </si>
  <si>
    <t>0001237</t>
  </si>
  <si>
    <t>4-3-201</t>
  </si>
  <si>
    <t>税金及附加</t>
  </si>
  <si>
    <t>652801200406071618</t>
  </si>
  <si>
    <t>杨振宇</t>
  </si>
  <si>
    <t>0001210</t>
  </si>
  <si>
    <t>4-3-401</t>
  </si>
  <si>
    <t>销售费用</t>
  </si>
  <si>
    <t>652826198104160014</t>
  </si>
  <si>
    <t>姜峰</t>
  </si>
  <si>
    <t>6-1-301</t>
  </si>
  <si>
    <t>管理费用</t>
  </si>
  <si>
    <t>652801198201251121</t>
  </si>
  <si>
    <t>贾军燕</t>
  </si>
  <si>
    <t>0001232</t>
  </si>
  <si>
    <t>6-1-302</t>
  </si>
  <si>
    <t>财务费用</t>
  </si>
  <si>
    <t>61042719750101162X</t>
  </si>
  <si>
    <t>严小梅、刘备民</t>
  </si>
  <si>
    <t>0001230</t>
  </si>
  <si>
    <t>6-1-401</t>
  </si>
  <si>
    <t>营业外支出</t>
  </si>
  <si>
    <t>65220119970902161X</t>
  </si>
  <si>
    <t>孙俊杰</t>
  </si>
  <si>
    <t>0001233</t>
  </si>
  <si>
    <t>6-1-402</t>
  </si>
  <si>
    <t>610502200004100413</t>
  </si>
  <si>
    <t>张展鹏</t>
  </si>
  <si>
    <t>0001220</t>
  </si>
  <si>
    <t>6-1-1001</t>
  </si>
  <si>
    <t>利润总额</t>
  </si>
  <si>
    <t>杜抵账1013256</t>
  </si>
  <si>
    <t>370481199107077425</t>
  </si>
  <si>
    <t>李亚楠</t>
  </si>
  <si>
    <t>6-1-1102</t>
  </si>
  <si>
    <t>需缴纳所得税金</t>
  </si>
  <si>
    <t>652801198103010025</t>
  </si>
  <si>
    <t>董俐</t>
  </si>
  <si>
    <t>0001231</t>
  </si>
  <si>
    <t>6-2-1102</t>
  </si>
  <si>
    <t>已缴企业所得税</t>
  </si>
  <si>
    <t>652825199008160020</t>
  </si>
  <si>
    <t>王秋云</t>
  </si>
  <si>
    <t>16-1层02</t>
  </si>
  <si>
    <t>实际应交企业所得税</t>
  </si>
  <si>
    <t>511011199908155063</t>
  </si>
  <si>
    <t xml:space="preserve">黄艾琳、阳君11.30
</t>
  </si>
  <si>
    <t>16-1层17</t>
  </si>
  <si>
    <t>412328198702144226</t>
  </si>
  <si>
    <t>宋依潼</t>
  </si>
  <si>
    <t>16-2层06</t>
  </si>
  <si>
    <t>李瑾、冯红、田凯文、公维海、张芸绮、李明</t>
  </si>
  <si>
    <t>19-1层01</t>
  </si>
  <si>
    <t>131081200504271029</t>
  </si>
  <si>
    <t>张芸绮</t>
  </si>
  <si>
    <t>19-1层02</t>
  </si>
  <si>
    <t>19-1层03</t>
  </si>
  <si>
    <t>19-1层04</t>
  </si>
  <si>
    <t>652826199801083223</t>
  </si>
  <si>
    <t>许雯 翟江南</t>
  </si>
  <si>
    <t>19-2层04</t>
  </si>
  <si>
    <t>画堂春锦苑十户噪声监测</t>
  </si>
  <si>
    <t>新疆中测测试有限责任公司</t>
  </si>
  <si>
    <t>6%专票</t>
  </si>
  <si>
    <t>房产测绘合同</t>
  </si>
  <si>
    <t>库尔勒天平房地产评估有限责任公司</t>
  </si>
  <si>
    <t>1%专票</t>
  </si>
  <si>
    <t>（中心控制服务器）设备采购及安装合同</t>
  </si>
  <si>
    <t>巴州凯东商贸有限公司</t>
  </si>
  <si>
    <t>1%普票</t>
  </si>
  <si>
    <t>地名数字门牌制作合同</t>
  </si>
  <si>
    <t>新疆中准标准化服务有限责任公司</t>
  </si>
  <si>
    <t>画堂春锦苑项目网格布制作及安装工程施工专业承包合同</t>
  </si>
  <si>
    <t>巴州方程视广告有限公司</t>
  </si>
  <si>
    <t>室内装饰装修施工合同（画堂春锦苑16#楼2层11铺）</t>
  </si>
  <si>
    <t>新疆精诚所至装饰工程有限责任公司</t>
  </si>
  <si>
    <t>3%专票</t>
  </si>
  <si>
    <t>画堂春锦苑16#楼电力增容改造工程施工专业承包合同</t>
  </si>
  <si>
    <t>新疆国源电力技术有限公司巴州分公司</t>
  </si>
  <si>
    <t>9%专票</t>
  </si>
  <si>
    <t>画堂春锦苑项目防爆轴流风机采购及安装施工专业承包合同</t>
  </si>
  <si>
    <t>库尔勒新浙平方五金机电经销部</t>
  </si>
  <si>
    <t>画堂春锦苑项目联动控制箱采购及安装工程施工专业承包合同</t>
  </si>
  <si>
    <t>画堂春锦苑16号楼14#15#16#铺</t>
  </si>
  <si>
    <t>租赁印花税</t>
  </si>
  <si>
    <t>其他类型房地产</t>
  </si>
  <si>
    <t>普通住宅</t>
  </si>
  <si>
    <t>非普通住宅</t>
  </si>
  <si>
    <t>有产权地下室</t>
  </si>
  <si>
    <t>无产权地下室</t>
  </si>
  <si>
    <t>不可售</t>
  </si>
  <si>
    <t>未提交的公共配套</t>
  </si>
  <si>
    <t>画堂春锦13#14#15#17#18# 商铺</t>
  </si>
  <si>
    <t>画堂春锦9#10#11#12#住宅</t>
  </si>
  <si>
    <t>画堂春锦苑1#2#3#5#7#楼住宅销售明细表</t>
  </si>
  <si>
    <t>画堂春锦苑8#楼明细表</t>
  </si>
  <si>
    <t>画堂春锦苑住宅4#</t>
  </si>
  <si>
    <t>画堂春锦苑住宅6#</t>
  </si>
  <si>
    <t>地下室</t>
  </si>
  <si>
    <t>合计：</t>
  </si>
  <si>
    <t>可售</t>
  </si>
  <si>
    <t>已售</t>
  </si>
  <si>
    <t>比例</t>
  </si>
  <si>
    <t>画堂春锦苑9#-15#、17#18#楼</t>
  </si>
  <si>
    <t>画堂春锦苑6#、8#住宅楼、地下车库</t>
  </si>
  <si>
    <t>画堂春锦苑1-5、7、16、19、地下车库</t>
  </si>
  <si>
    <t>2025年12月，领导安排，为配合税务局完成任务，需预缴增值税100万，最终实际申报预收款36339000元，增值税1000155.96，城建税70010.92，教育费附加30004.68，地方教育费附加20003.12，合计：1120174.68元</t>
  </si>
  <si>
    <t>申报明细</t>
  </si>
  <si>
    <t>月份</t>
  </si>
  <si>
    <t>申报预收款收入</t>
  </si>
  <si>
    <t>增值税金额</t>
  </si>
  <si>
    <t>地方教育费附加</t>
  </si>
  <si>
    <t>抵减明细</t>
  </si>
  <si>
    <t>抵减月份</t>
  </si>
  <si>
    <t>剩余未抵减金额</t>
  </si>
  <si>
    <t xml:space="preserve">             13#14#15#17#18#楼商铺销售明细表 共二层</t>
  </si>
  <si>
    <t>成交</t>
  </si>
  <si>
    <t>合同签订日期</t>
  </si>
  <si>
    <t>合同号</t>
  </si>
  <si>
    <t>订购书编号</t>
  </si>
  <si>
    <t>身份证号</t>
  </si>
  <si>
    <t>姓名</t>
  </si>
  <si>
    <t>楼层</t>
  </si>
  <si>
    <t>房号</t>
  </si>
  <si>
    <t>开发面积</t>
  </si>
  <si>
    <t>销售面积</t>
  </si>
  <si>
    <t>单价</t>
  </si>
  <si>
    <t>总价</t>
  </si>
  <si>
    <t>成交底价</t>
  </si>
  <si>
    <t>合同价</t>
  </si>
  <si>
    <t>发票开具</t>
  </si>
  <si>
    <t>本月成
交额</t>
  </si>
  <si>
    <t>成交时间</t>
  </si>
  <si>
    <t>会员编号</t>
  </si>
  <si>
    <t>置业顾问</t>
  </si>
  <si>
    <t>缴款金额</t>
  </si>
  <si>
    <t>收款合计</t>
  </si>
  <si>
    <t>本月
到账贷款</t>
  </si>
  <si>
    <t>到帐贷款</t>
  </si>
  <si>
    <t>联系电话</t>
  </si>
  <si>
    <t>套奖付款合计</t>
  </si>
  <si>
    <t>套奖付款2022.8</t>
  </si>
  <si>
    <t>套奖付款2023.2</t>
  </si>
  <si>
    <t>套奖付款2023.3</t>
  </si>
  <si>
    <t>套奖付款2023.4</t>
  </si>
  <si>
    <t>套奖付款2023.5</t>
  </si>
  <si>
    <t>套奖付款2023.6</t>
  </si>
  <si>
    <t>套奖转定付款2023.6</t>
  </si>
  <si>
    <t>套奖转定付款2023.9</t>
  </si>
  <si>
    <t>佣金付款合计</t>
  </si>
  <si>
    <t>佣金点数</t>
  </si>
  <si>
    <t>佣金付款2023.7</t>
  </si>
  <si>
    <t>佣金付款2023.8</t>
  </si>
  <si>
    <t>佣金付款2023.9</t>
  </si>
  <si>
    <t>佣金付款2023.10</t>
  </si>
  <si>
    <t>佣金付款2023.11</t>
  </si>
  <si>
    <t>佣金付款2023.12</t>
  </si>
  <si>
    <t>佣金付款2024.1</t>
  </si>
  <si>
    <t>佣金付款2024.2</t>
  </si>
  <si>
    <t>佣金付款2024.3</t>
  </si>
  <si>
    <t>佣金付款2024.4</t>
  </si>
  <si>
    <t>佣金付款2024.5</t>
  </si>
  <si>
    <t>佣金付款2024.6</t>
  </si>
  <si>
    <t>佣金付款2024.7</t>
  </si>
  <si>
    <t>佣金付款2024.8</t>
  </si>
  <si>
    <t>佣金付款2024.9</t>
  </si>
  <si>
    <t>佣金付款2024.10</t>
  </si>
  <si>
    <t>佣金付款2024.11</t>
  </si>
  <si>
    <t>佣金付款2024.12</t>
  </si>
  <si>
    <t>佣金付款2025.1</t>
  </si>
  <si>
    <t>佣金付款2025.2</t>
  </si>
  <si>
    <t>佣金付款2025.3</t>
  </si>
  <si>
    <t>佣金付款2025.4</t>
  </si>
  <si>
    <t>佣金付款2025.5</t>
  </si>
  <si>
    <t>佣金付款2025.6</t>
  </si>
  <si>
    <t>佣金付款2025.8</t>
  </si>
  <si>
    <t>佣金付款2025.10</t>
  </si>
  <si>
    <t>佣金付款2025.12</t>
  </si>
  <si>
    <t>佣金付款2026.2</t>
  </si>
  <si>
    <t>佣金付款2026.4</t>
  </si>
  <si>
    <t>佣金</t>
  </si>
  <si>
    <t>房源系统</t>
  </si>
  <si>
    <t>需扣回</t>
  </si>
  <si>
    <t>金额</t>
  </si>
  <si>
    <t>票号</t>
  </si>
  <si>
    <t>一</t>
  </si>
  <si>
    <t>时间</t>
  </si>
  <si>
    <t>二</t>
  </si>
  <si>
    <t>三</t>
  </si>
  <si>
    <t>四</t>
  </si>
  <si>
    <t>五</t>
  </si>
  <si>
    <t>六</t>
  </si>
  <si>
    <t>七</t>
  </si>
  <si>
    <t>销售</t>
  </si>
  <si>
    <t>租赁（22 年回本日租金）</t>
  </si>
  <si>
    <t>抵账</t>
  </si>
  <si>
    <t>412724197310186410</t>
  </si>
  <si>
    <t>孙光立、王俊丽</t>
  </si>
  <si>
    <t>13号楼</t>
  </si>
  <si>
    <t>1层</t>
  </si>
  <si>
    <t>01</t>
  </si>
  <si>
    <t>24652000000066175913</t>
  </si>
  <si>
    <t>李福晴</t>
  </si>
  <si>
    <t>2024.10.1</t>
  </si>
  <si>
    <t>2024.11.4</t>
  </si>
  <si>
    <t>已交</t>
  </si>
  <si>
    <t>已申报</t>
  </si>
  <si>
    <t>0001089</t>
  </si>
  <si>
    <t>511181199106300024</t>
  </si>
  <si>
    <t>张愫</t>
  </si>
  <si>
    <t>02</t>
  </si>
  <si>
    <t>24652000000070816808</t>
  </si>
  <si>
    <t>闫金秀</t>
  </si>
  <si>
    <t>2024.4.11</t>
  </si>
  <si>
    <t>2024.4.19</t>
  </si>
  <si>
    <t>2024.5.20</t>
  </si>
  <si>
    <t>已录</t>
  </si>
  <si>
    <t>0000918</t>
  </si>
  <si>
    <t>413023198401080786</t>
  </si>
  <si>
    <t>刘建云</t>
  </si>
  <si>
    <t>03</t>
  </si>
  <si>
    <t>25652000000009697844</t>
  </si>
  <si>
    <t>连阵阵</t>
  </si>
  <si>
    <t>2024.11.25</t>
  </si>
  <si>
    <t>0000613</t>
  </si>
  <si>
    <t>652828200012301150</t>
  </si>
  <si>
    <t>刘忠亮</t>
  </si>
  <si>
    <t>04</t>
  </si>
  <si>
    <t>25652000000009668608</t>
  </si>
  <si>
    <t>米云鹤</t>
  </si>
  <si>
    <t>2023.11.26</t>
  </si>
  <si>
    <t>2023.12.23</t>
  </si>
  <si>
    <t>2024.1.10</t>
  </si>
  <si>
    <t>2024.5.12</t>
  </si>
  <si>
    <t>2024.7.15</t>
  </si>
  <si>
    <t>622424199011095270</t>
  </si>
  <si>
    <t>何文斌</t>
  </si>
  <si>
    <t>05</t>
  </si>
  <si>
    <t>25652000000009688814</t>
  </si>
  <si>
    <t>霍红霞</t>
  </si>
  <si>
    <t>2024.3.30</t>
  </si>
  <si>
    <t>2024.4.12</t>
  </si>
  <si>
    <t>2024.5.10</t>
  </si>
  <si>
    <t>0000646</t>
  </si>
  <si>
    <t>652829196210172422</t>
  </si>
  <si>
    <t>彭素莲 成交</t>
  </si>
  <si>
    <t>06</t>
  </si>
  <si>
    <t>25652000000009679363</t>
  </si>
  <si>
    <t xml:space="preserve">李秀莲（彭素莲）
</t>
  </si>
  <si>
    <t>2023.11.15</t>
  </si>
  <si>
    <t>2023.11.21</t>
  </si>
  <si>
    <t>2023.12.9</t>
  </si>
  <si>
    <t>0000557</t>
  </si>
  <si>
    <t>511011197812255060</t>
  </si>
  <si>
    <t>黄菊春 成交</t>
  </si>
  <si>
    <t>07</t>
  </si>
  <si>
    <t>25652000000009700183</t>
  </si>
  <si>
    <t>王荣（黄菊春）</t>
  </si>
  <si>
    <t>2023.9.22</t>
  </si>
  <si>
    <t>2023.10.7</t>
  </si>
  <si>
    <t>2024.4.20</t>
  </si>
  <si>
    <t>0000592</t>
  </si>
  <si>
    <t>652801198204135214</t>
  </si>
  <si>
    <t>顾渐 成交</t>
  </si>
  <si>
    <t>08</t>
  </si>
  <si>
    <t>25652000000009720008</t>
  </si>
  <si>
    <t>肖陶丽（顾渐）</t>
  </si>
  <si>
    <t>2023.10.21</t>
  </si>
  <si>
    <t>2023.11.6</t>
  </si>
  <si>
    <t>2024.3.14</t>
  </si>
  <si>
    <t>0000665</t>
  </si>
  <si>
    <t>513021197308168093</t>
  </si>
  <si>
    <t>唐自才 成交</t>
  </si>
  <si>
    <t>25652000000009700904</t>
  </si>
  <si>
    <t>0000170（唐自才）
0000172（唐自才）</t>
  </si>
  <si>
    <t>（唐自才）</t>
  </si>
  <si>
    <t>2023.5.7</t>
  </si>
  <si>
    <t>2023.6.23</t>
  </si>
  <si>
    <t>2023.12.20</t>
  </si>
  <si>
    <t>2024.1.20</t>
  </si>
  <si>
    <t>0000578</t>
  </si>
  <si>
    <t>622322199105201849</t>
  </si>
  <si>
    <t>杨尚龙（甄慧琴）</t>
  </si>
  <si>
    <t>25652000000009720699</t>
  </si>
  <si>
    <t>0000206（杨尚龙）</t>
  </si>
  <si>
    <t>李秀莲（杨尚龙）</t>
  </si>
  <si>
    <t>2023.6.1</t>
  </si>
  <si>
    <t>2023.6.22</t>
  </si>
  <si>
    <t>2023.12.6</t>
  </si>
  <si>
    <t>0000579</t>
  </si>
  <si>
    <t>140428199203040425</t>
  </si>
  <si>
    <t>安学强（卫亚丽）</t>
  </si>
  <si>
    <t>25652000000009721267</t>
  </si>
  <si>
    <t xml:space="preserve">
0000207（安学强）</t>
  </si>
  <si>
    <t xml:space="preserve">
李秀莲（安学强）</t>
  </si>
  <si>
    <t>320321198808273618</t>
  </si>
  <si>
    <t>巩红卫 成交</t>
  </si>
  <si>
    <t>2565200000003352350</t>
  </si>
  <si>
    <t>0000010-13（巩红卫）</t>
  </si>
  <si>
    <t>潘亦玹（巩红卫）</t>
  </si>
  <si>
    <t>2023.12.1</t>
  </si>
  <si>
    <t>2024.7.1</t>
  </si>
  <si>
    <t>2024.8.26</t>
  </si>
  <si>
    <t>2024.11.14</t>
  </si>
  <si>
    <t>130637200011201811</t>
  </si>
  <si>
    <t>王恒州 成交</t>
  </si>
  <si>
    <t>2层</t>
  </si>
  <si>
    <t>25652000000009722008</t>
  </si>
  <si>
    <t>2024.3.1</t>
  </si>
  <si>
    <t>25652000000009731953</t>
  </si>
  <si>
    <t>2024.3.3</t>
  </si>
  <si>
    <t>0000741</t>
  </si>
  <si>
    <t>65280120010722053X</t>
  </si>
  <si>
    <t>何骁、梁凌芳</t>
  </si>
  <si>
    <t>25652000000002516421</t>
  </si>
  <si>
    <t>王荣</t>
  </si>
  <si>
    <t>2024.10.10</t>
  </si>
  <si>
    <t>2025.1.13</t>
  </si>
  <si>
    <t>2025.2.24</t>
  </si>
  <si>
    <t>0000740</t>
  </si>
  <si>
    <t>25652000000002526768</t>
  </si>
  <si>
    <t>0000747</t>
  </si>
  <si>
    <t>320321198002133624</t>
  </si>
  <si>
    <t>李红艳</t>
  </si>
  <si>
    <t>25652000000009732680</t>
  </si>
  <si>
    <t>张玉琴</t>
  </si>
  <si>
    <t>2024.10.28</t>
  </si>
  <si>
    <t>2024.11.20</t>
  </si>
  <si>
    <t>0000748</t>
  </si>
  <si>
    <t>25652000000009743075</t>
  </si>
  <si>
    <t>2024.11.5</t>
  </si>
  <si>
    <t>华为p70</t>
  </si>
  <si>
    <t>0000993</t>
  </si>
  <si>
    <t>652801197904111120</t>
  </si>
  <si>
    <t>柳继芳</t>
  </si>
  <si>
    <t>25652000000011683561</t>
  </si>
  <si>
    <t>2024.11.19</t>
  </si>
  <si>
    <t>2024.11.26</t>
  </si>
  <si>
    <t>2024.11.27</t>
  </si>
  <si>
    <t>2024.11.29</t>
  </si>
  <si>
    <t>0000719</t>
  </si>
  <si>
    <t>620121198508167215</t>
  </si>
  <si>
    <t>苏生宝</t>
  </si>
  <si>
    <t>25652000000009744693</t>
  </si>
  <si>
    <t>2024.9.24</t>
  </si>
  <si>
    <t>2024.10.5</t>
  </si>
  <si>
    <t>2024.10.24</t>
  </si>
  <si>
    <t>0000718</t>
  </si>
  <si>
    <t>09</t>
  </si>
  <si>
    <t>24652000000060788691</t>
  </si>
  <si>
    <t>652801198709101625</t>
  </si>
  <si>
    <t>刘钦</t>
  </si>
  <si>
    <t>25652000000011723862</t>
  </si>
  <si>
    <t>潘亦玹</t>
  </si>
  <si>
    <t>2024.12.20</t>
  </si>
  <si>
    <t>2025.2.22</t>
  </si>
  <si>
    <t>14号楼</t>
  </si>
  <si>
    <t>-1层</t>
  </si>
  <si>
    <t>1</t>
  </si>
  <si>
    <t>小区配电室</t>
  </si>
  <si>
    <t>2</t>
  </si>
  <si>
    <t>为小区服务功能区</t>
  </si>
  <si>
    <t>柴油发电机房</t>
  </si>
  <si>
    <t>3</t>
  </si>
  <si>
    <t>排烟井1</t>
  </si>
  <si>
    <t>4</t>
  </si>
  <si>
    <t>排烟井2</t>
  </si>
  <si>
    <t>5</t>
  </si>
  <si>
    <t>0000941</t>
  </si>
  <si>
    <t>652823198709093329</t>
  </si>
  <si>
    <t>朱星星、马江伟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</si>
  <si>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</si>
  <si>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2024.6.25</t>
  </si>
  <si>
    <t>2024.8.20</t>
  </si>
  <si>
    <t>2024.12.2</t>
  </si>
  <si>
    <t>2025.3.1</t>
  </si>
  <si>
    <t>2025.5.19</t>
  </si>
  <si>
    <t>0000644</t>
  </si>
  <si>
    <t>410926197305292069</t>
  </si>
  <si>
    <t>董梅荣</t>
  </si>
  <si>
    <t>25652000000011132114</t>
  </si>
  <si>
    <t>2023.11.13</t>
  </si>
  <si>
    <t>2024.3.11</t>
  </si>
  <si>
    <t>2024.4.15</t>
  </si>
  <si>
    <t>2024.5.22</t>
  </si>
  <si>
    <t>20230008542</t>
  </si>
  <si>
    <t>0000664</t>
  </si>
  <si>
    <t>500225198808217396</t>
  </si>
  <si>
    <t xml:space="preserve">易章波（易高才） </t>
  </si>
  <si>
    <t>25652000000011162490</t>
  </si>
  <si>
    <t>王荣（易高才）</t>
  </si>
  <si>
    <t>2023.8.28</t>
  </si>
  <si>
    <t>2023.10.3</t>
  </si>
  <si>
    <t>2024.1.31</t>
  </si>
  <si>
    <t>0000577</t>
  </si>
  <si>
    <t>512929197302241439</t>
  </si>
  <si>
    <t>张龙凤 成交</t>
  </si>
  <si>
    <t>25652000000011113444</t>
  </si>
  <si>
    <t>0000220</t>
  </si>
  <si>
    <t>2023.8.30</t>
  </si>
  <si>
    <t>2023.9.29</t>
  </si>
  <si>
    <t>2023.12.17</t>
  </si>
  <si>
    <t>2024.5.31</t>
  </si>
  <si>
    <t>2024.6.1</t>
  </si>
  <si>
    <t>00000610</t>
  </si>
  <si>
    <t>652824198309201446</t>
  </si>
  <si>
    <t>孔小宁（孔令强）</t>
  </si>
  <si>
    <t>25652000000011162879</t>
  </si>
  <si>
    <t>0000208（孔令强）</t>
  </si>
  <si>
    <t>王荣（孔令强）</t>
  </si>
  <si>
    <t>2022-7-20
2023.6.13</t>
  </si>
  <si>
    <t>0000586</t>
  </si>
  <si>
    <t>411330199111100067</t>
  </si>
  <si>
    <t xml:space="preserve">贾志丽 </t>
  </si>
  <si>
    <t>25652000000011172968</t>
  </si>
  <si>
    <t>霍红霞（贾志丽）</t>
  </si>
  <si>
    <t>2023.10.5</t>
  </si>
  <si>
    <t>2023.10.30</t>
  </si>
  <si>
    <t>2023.11.25</t>
  </si>
  <si>
    <t>0000608</t>
  </si>
  <si>
    <t>320321198702194233</t>
  </si>
  <si>
    <t>张磊磊</t>
  </si>
  <si>
    <t>25652000000011084744</t>
  </si>
  <si>
    <t>0000217</t>
  </si>
  <si>
    <t>2023.7.8</t>
  </si>
  <si>
    <t>2023.12.26</t>
  </si>
  <si>
    <t>2024.4.29</t>
  </si>
  <si>
    <t>2024.6.6</t>
  </si>
  <si>
    <t>2024.7.5</t>
  </si>
  <si>
    <t>0000609</t>
  </si>
  <si>
    <t>411322199105104512</t>
  </si>
  <si>
    <t>马威</t>
  </si>
  <si>
    <t>25652000000011095215</t>
  </si>
  <si>
    <t>0000201（马威）
0000202（马威）</t>
  </si>
  <si>
    <t>连阵阵（马威）</t>
  </si>
  <si>
    <t>2023.5.24</t>
  </si>
  <si>
    <t>2023.6.25</t>
  </si>
  <si>
    <t>2023.12.4</t>
  </si>
  <si>
    <t>抵账高2964114</t>
  </si>
  <si>
    <t>320321197012203660</t>
  </si>
  <si>
    <t>巩凤华</t>
  </si>
  <si>
    <t>24652000000058991006</t>
  </si>
  <si>
    <t>2024.10.4</t>
  </si>
  <si>
    <t>0000932</t>
  </si>
  <si>
    <t>62012119790907631X</t>
  </si>
  <si>
    <t>蒋永祥</t>
  </si>
  <si>
    <t>25652000000002947261</t>
  </si>
  <si>
    <t>2024.6.14</t>
  </si>
  <si>
    <t>2024.8.25</t>
  </si>
  <si>
    <t>2024.12.24</t>
  </si>
  <si>
    <t>2025.1.7</t>
  </si>
  <si>
    <t>2025.1.26</t>
  </si>
  <si>
    <t>2025.2.6</t>
  </si>
  <si>
    <t>2025.3.3
2025.4.1
2025.5.1
2025.6.1
2025.7.1
2025.8.3
2025.8.29</t>
  </si>
  <si>
    <t>652824198703181121</t>
  </si>
  <si>
    <t>梁杨敏芝、张嘉恒（18-2-1/2换房来）</t>
  </si>
  <si>
    <t>25652000000011085801</t>
  </si>
  <si>
    <t>2023.7.27</t>
  </si>
  <si>
    <t>2023.9.30</t>
  </si>
  <si>
    <t>2023.12.30</t>
  </si>
  <si>
    <t>2024.1.24</t>
  </si>
  <si>
    <t>2024.8.15
2024.9.25</t>
  </si>
  <si>
    <t>0000585</t>
  </si>
  <si>
    <t>510902197112018349</t>
  </si>
  <si>
    <t>李玉华</t>
  </si>
  <si>
    <t>25652000000011105671</t>
  </si>
  <si>
    <t>0000211（李玉华）</t>
  </si>
  <si>
    <t>肖陶丽（李玉华）</t>
  </si>
  <si>
    <t>2023.6.17</t>
  </si>
  <si>
    <t>2023.10.8</t>
  </si>
  <si>
    <t>2023.12.27</t>
  </si>
  <si>
    <t>2024.3.27</t>
  </si>
  <si>
    <t>2024.3.29</t>
  </si>
  <si>
    <t>0000572</t>
  </si>
  <si>
    <t>652801199808211622</t>
  </si>
  <si>
    <t>刘泽娇</t>
  </si>
  <si>
    <t>25652000000011164608</t>
  </si>
  <si>
    <t>0000075（刘泽娇）</t>
  </si>
  <si>
    <t>王荣（刘泽娇）</t>
  </si>
  <si>
    <t>2023.12.22</t>
  </si>
  <si>
    <t>0000995</t>
  </si>
  <si>
    <t>120112198111200019</t>
  </si>
  <si>
    <t>刘志鹏</t>
  </si>
  <si>
    <t>25652000000011105990</t>
  </si>
  <si>
    <t>张玉琴
刘思汉</t>
  </si>
  <si>
    <t>2024.11.22</t>
  </si>
  <si>
    <t>2025.1.3</t>
  </si>
  <si>
    <t>0001087</t>
  </si>
  <si>
    <t>652801200110273712</t>
  </si>
  <si>
    <t>牛燕</t>
  </si>
  <si>
    <t>24652000000063048097</t>
  </si>
  <si>
    <t>肖陶丽</t>
  </si>
  <si>
    <t>2024.8.30</t>
  </si>
  <si>
    <t>2024.10.31</t>
  </si>
  <si>
    <t>2025.1.25</t>
  </si>
  <si>
    <t>0000846</t>
  </si>
  <si>
    <t>652801198311290025</t>
  </si>
  <si>
    <t>胡杨</t>
  </si>
  <si>
    <t>25652000000012772279</t>
  </si>
  <si>
    <t>2024.4.1</t>
  </si>
  <si>
    <t>2024.4.4</t>
  </si>
  <si>
    <t>2024.5.17</t>
  </si>
  <si>
    <t>0000637</t>
  </si>
  <si>
    <t>410621197812180063</t>
  </si>
  <si>
    <t>张江莉（郜艺博）</t>
  </si>
  <si>
    <t>25652000000012725031</t>
  </si>
  <si>
    <t>李秀莲</t>
  </si>
  <si>
    <t>0000640</t>
  </si>
  <si>
    <t>410526201008210976</t>
  </si>
  <si>
    <t>郜艺博（张江莉）</t>
  </si>
  <si>
    <t>25652000000012743088</t>
  </si>
  <si>
    <t>2024.1.1</t>
  </si>
  <si>
    <t>0001180</t>
  </si>
  <si>
    <t>652801199704282848</t>
  </si>
  <si>
    <t>金紫帆</t>
  </si>
  <si>
    <t>25652000000065979439</t>
  </si>
  <si>
    <t>杨航</t>
  </si>
  <si>
    <t>2025-9-20、30</t>
  </si>
  <si>
    <t>2025.12.3</t>
  </si>
  <si>
    <t>mate70手机</t>
  </si>
  <si>
    <t>12月缴纳</t>
  </si>
  <si>
    <t>已申报196000、10月已开票，已全额申报</t>
  </si>
  <si>
    <t>130638199306103013</t>
  </si>
  <si>
    <t>李强</t>
  </si>
  <si>
    <t>25652000000012734776</t>
  </si>
  <si>
    <t>2024.8.29</t>
  </si>
  <si>
    <t>2024.9.26</t>
  </si>
  <si>
    <t>612401199210211389</t>
  </si>
  <si>
    <t>江域</t>
  </si>
  <si>
    <t>25652000000012767886</t>
  </si>
  <si>
    <t>2024.1.2</t>
  </si>
  <si>
    <t>2024.10.25</t>
  </si>
  <si>
    <t>61042198909210094</t>
  </si>
  <si>
    <t xml:space="preserve">张依涵
凌亚彬 退 </t>
  </si>
  <si>
    <t>25652000000007382970</t>
  </si>
  <si>
    <t>闫金秀
闫金秀</t>
  </si>
  <si>
    <t>2024.10.12</t>
  </si>
  <si>
    <t>2024.10.21</t>
  </si>
  <si>
    <t>0000623</t>
  </si>
  <si>
    <t>612125196408030533</t>
  </si>
  <si>
    <t>李花战</t>
  </si>
  <si>
    <t>25652000000012810741</t>
  </si>
  <si>
    <t>2023.12.11</t>
  </si>
  <si>
    <t>2023.12.12</t>
  </si>
  <si>
    <t>2024.2.1</t>
  </si>
  <si>
    <t>25652000000012739822</t>
  </si>
  <si>
    <t>0000669</t>
  </si>
  <si>
    <t>652827196205271642</t>
  </si>
  <si>
    <t>（敬天惠）柳康林</t>
  </si>
  <si>
    <t>25652000000012768787</t>
  </si>
  <si>
    <t>0000635</t>
  </si>
  <si>
    <t>65282619740930263X</t>
  </si>
  <si>
    <t>李洪建.李玉良、</t>
  </si>
  <si>
    <t>25652000000012821236</t>
  </si>
  <si>
    <t>2023.12.5</t>
  </si>
  <si>
    <t>2024.1.6</t>
  </si>
  <si>
    <t>2024.1.26</t>
  </si>
  <si>
    <t>0000668</t>
  </si>
  <si>
    <t>652825195208071032</t>
  </si>
  <si>
    <t>柳康林</t>
  </si>
  <si>
    <t>25652000000012798491</t>
  </si>
  <si>
    <t>0000222（柳康林）</t>
  </si>
  <si>
    <t>肖陶丽（柳康林）</t>
  </si>
  <si>
    <t>2023.9.11</t>
  </si>
  <si>
    <t>0000666</t>
  </si>
  <si>
    <t>652825198605263023</t>
  </si>
  <si>
    <t>柳欢</t>
  </si>
  <si>
    <t>25652000000012779423</t>
  </si>
  <si>
    <t>0000223</t>
  </si>
  <si>
    <t>2024.1.9</t>
  </si>
  <si>
    <t>2024.4.25</t>
  </si>
  <si>
    <t>610324198604190042</t>
  </si>
  <si>
    <t>张瑞宁、黄建华</t>
  </si>
  <si>
    <t>25652000000012812698</t>
  </si>
  <si>
    <t>2024.7.22</t>
  </si>
  <si>
    <t>652826198408120046</t>
  </si>
  <si>
    <t>周小茜（白林清）</t>
  </si>
  <si>
    <t>25652000000012812926</t>
  </si>
  <si>
    <t>（白林清）</t>
  </si>
  <si>
    <t>潘亦玹（白林清）</t>
  </si>
  <si>
    <t>2023.4.30</t>
  </si>
  <si>
    <t>2024.7.9</t>
  </si>
  <si>
    <t>510824197003192893</t>
  </si>
  <si>
    <t>赵中文（白林清）</t>
  </si>
  <si>
    <t>24652000000070796507</t>
  </si>
  <si>
    <t>2024.8.9</t>
  </si>
  <si>
    <t>0000603</t>
  </si>
  <si>
    <t>652827199912110331</t>
  </si>
  <si>
    <t>史越，王红霞</t>
  </si>
  <si>
    <t>25652000000012822769</t>
  </si>
  <si>
    <t>0000103（王红霞）</t>
  </si>
  <si>
    <t>王荣（王红霞）</t>
  </si>
  <si>
    <t>2023.2.17</t>
  </si>
  <si>
    <t>2023.10.1</t>
  </si>
  <si>
    <t>0000604</t>
  </si>
  <si>
    <t>652827197104170329</t>
  </si>
  <si>
    <t>王红霞</t>
  </si>
  <si>
    <t>25652000000012880414</t>
  </si>
  <si>
    <t>530421198806080315</t>
  </si>
  <si>
    <t>段云江</t>
  </si>
  <si>
    <t>25652000000008760576</t>
  </si>
  <si>
    <t>刘思汉</t>
  </si>
  <si>
    <t>2025.1.18</t>
  </si>
  <si>
    <t>510626199311195624</t>
  </si>
  <si>
    <t>唐晓霜</t>
  </si>
  <si>
    <t>破底不提佣</t>
  </si>
  <si>
    <t>24652000000066981179</t>
  </si>
  <si>
    <t>2024.9.19</t>
  </si>
  <si>
    <t>2024.9.20</t>
  </si>
  <si>
    <t>0001095</t>
  </si>
  <si>
    <t>652821199301293313</t>
  </si>
  <si>
    <t>余仁杰</t>
  </si>
  <si>
    <t>25652000000012890525</t>
  </si>
  <si>
    <t>2024.4.18</t>
  </si>
  <si>
    <t>2024.4.28</t>
  </si>
  <si>
    <t>2024.7.26</t>
  </si>
  <si>
    <t>2024.12.19</t>
  </si>
  <si>
    <t>412727198508141246</t>
  </si>
  <si>
    <t>于晓杰</t>
  </si>
  <si>
    <t>25652000000030508120</t>
  </si>
  <si>
    <t>2025.5.2</t>
  </si>
  <si>
    <t>652801196610261663</t>
  </si>
  <si>
    <t>马江燕</t>
  </si>
  <si>
    <t>24652000000070795893</t>
  </si>
  <si>
    <t>2023.10.12</t>
  </si>
  <si>
    <t>2023.10.13</t>
  </si>
  <si>
    <t>0000589</t>
  </si>
  <si>
    <t>652827196504121644</t>
  </si>
  <si>
    <t>袁代凤</t>
  </si>
  <si>
    <t>25652000000012805025</t>
  </si>
  <si>
    <t>2023.12.24</t>
  </si>
  <si>
    <t>2024.2.7</t>
  </si>
  <si>
    <t>652801200006052215</t>
  </si>
  <si>
    <t>王小龙</t>
  </si>
  <si>
    <t>26652000000163056286</t>
  </si>
  <si>
    <t>2026.6.22</t>
  </si>
  <si>
    <t>霍苒</t>
  </si>
  <si>
    <t>2026.1.30</t>
  </si>
  <si>
    <t>2月开票已申报</t>
  </si>
  <si>
    <t>抵杜7525569</t>
  </si>
  <si>
    <t>杜奇志</t>
  </si>
  <si>
    <t>3层</t>
  </si>
  <si>
    <t>2026.1.22</t>
  </si>
  <si>
    <t>2026.4.21</t>
  </si>
  <si>
    <t>已申报3871500</t>
  </si>
  <si>
    <t>0000861</t>
  </si>
  <si>
    <t>652123198005250025</t>
  </si>
  <si>
    <t>梁静</t>
  </si>
  <si>
    <t>15号楼</t>
  </si>
  <si>
    <t>25652000000018537514</t>
  </si>
  <si>
    <t>0000233</t>
  </si>
  <si>
    <t>2024.6.21</t>
  </si>
  <si>
    <t>0000862</t>
  </si>
  <si>
    <t>25652000000018567067</t>
  </si>
  <si>
    <t>0000237</t>
  </si>
  <si>
    <t>2024.5.4</t>
  </si>
  <si>
    <t>2024.5.21</t>
  </si>
  <si>
    <t>0000897</t>
  </si>
  <si>
    <t>620422198610202745</t>
  </si>
  <si>
    <t>王亮霞、陈忠国</t>
  </si>
  <si>
    <t>25652000000018576398</t>
  </si>
  <si>
    <t>2024.5.23</t>
  </si>
  <si>
    <t>2024.5.24</t>
  </si>
  <si>
    <t>2024.6.13</t>
  </si>
  <si>
    <t>2024.8.14</t>
  </si>
  <si>
    <t>0000706</t>
  </si>
  <si>
    <t>450902199407142761</t>
  </si>
  <si>
    <t>黄婷</t>
  </si>
  <si>
    <t>25652000000018557569</t>
  </si>
  <si>
    <t>赵江龙</t>
  </si>
  <si>
    <t>2024.10.2</t>
  </si>
  <si>
    <t>0000896</t>
  </si>
  <si>
    <t>510723199610172074</t>
  </si>
  <si>
    <t>张甜甜、杨程</t>
  </si>
  <si>
    <t>25652000000018508512</t>
  </si>
  <si>
    <t>2024.7.31</t>
  </si>
  <si>
    <t>0000892</t>
  </si>
  <si>
    <t>652829197708300721</t>
  </si>
  <si>
    <t>王洪娥</t>
  </si>
  <si>
    <t>25652000000018576910</t>
  </si>
  <si>
    <t>0000234</t>
  </si>
  <si>
    <t>2024.5.19</t>
  </si>
  <si>
    <t>2024.7.2</t>
  </si>
  <si>
    <t>0000891</t>
  </si>
  <si>
    <t>王红娥、王洪霞</t>
  </si>
  <si>
    <t>25652000000018538491</t>
  </si>
  <si>
    <t>0000232</t>
  </si>
  <si>
    <t>0000691</t>
  </si>
  <si>
    <t>652801200804020525</t>
  </si>
  <si>
    <t>程智秀</t>
  </si>
  <si>
    <t>25652000000018509022</t>
  </si>
  <si>
    <t>0000231
'0000230</t>
  </si>
  <si>
    <t>2024.5.18</t>
  </si>
  <si>
    <t>2024.9.4</t>
  </si>
  <si>
    <t>2025.3.12</t>
  </si>
  <si>
    <t>0000894</t>
  </si>
  <si>
    <t>20240004709</t>
  </si>
  <si>
    <t>李小龙、张小凤</t>
  </si>
  <si>
    <t>25652000000021218012</t>
  </si>
  <si>
    <t>霍红霞、肖陶丽</t>
  </si>
  <si>
    <t>2024.3.5</t>
  </si>
  <si>
    <t>2024.8.16</t>
  </si>
  <si>
    <t>0000726</t>
  </si>
  <si>
    <t>62222519850915032X</t>
  </si>
  <si>
    <t>郭莉莉</t>
  </si>
  <si>
    <t>24652000000063077038</t>
  </si>
  <si>
    <t>0000889</t>
  </si>
  <si>
    <t>652826198512190829</t>
  </si>
  <si>
    <t>马若雪</t>
  </si>
  <si>
    <t>25652000000015791472</t>
  </si>
  <si>
    <t>0000196</t>
  </si>
  <si>
    <t>2024.6.11</t>
  </si>
  <si>
    <t>2024.7.12</t>
  </si>
  <si>
    <t>0000732</t>
  </si>
  <si>
    <t>362323197903237815</t>
  </si>
  <si>
    <t>王德中</t>
  </si>
  <si>
    <t>24652000000063056854</t>
  </si>
  <si>
    <t>2024.10.3</t>
  </si>
  <si>
    <t>2024.10.18</t>
  </si>
  <si>
    <t>511026196907044936</t>
  </si>
  <si>
    <t>刘沛林</t>
  </si>
  <si>
    <t>24652000000060788551</t>
  </si>
  <si>
    <t>2024.10.8</t>
  </si>
  <si>
    <t>652801199303245528</t>
  </si>
  <si>
    <t>王艺</t>
  </si>
  <si>
    <t>24652000000078351736</t>
  </si>
  <si>
    <t>2024.11.16</t>
  </si>
  <si>
    <t>2025.1.24</t>
  </si>
  <si>
    <t>0000997</t>
  </si>
  <si>
    <t>652801199101105527</t>
  </si>
  <si>
    <t>王秋香</t>
  </si>
  <si>
    <t>25652000000006266878</t>
  </si>
  <si>
    <t>2025.1.16</t>
  </si>
  <si>
    <t>2025.3.26</t>
  </si>
  <si>
    <t>622201198511176026</t>
  </si>
  <si>
    <t>张可欣</t>
  </si>
  <si>
    <t>25652000000002508830</t>
  </si>
  <si>
    <t>2024.12.23</t>
  </si>
  <si>
    <t>41272219810626732X</t>
  </si>
  <si>
    <t>王贤</t>
  </si>
  <si>
    <t>25652000000017131087</t>
  </si>
  <si>
    <t>2025.3.18</t>
  </si>
  <si>
    <t>2025.4.1</t>
  </si>
  <si>
    <t>133997667869</t>
  </si>
  <si>
    <t>25652000000017101384</t>
  </si>
  <si>
    <t>25652000000017131235</t>
  </si>
  <si>
    <t>412722198405087310</t>
  </si>
  <si>
    <t>王兵强</t>
  </si>
  <si>
    <t>25652000000017061986</t>
  </si>
  <si>
    <t>0000422</t>
  </si>
  <si>
    <t>652801197202031652</t>
  </si>
  <si>
    <t>袁明伟</t>
  </si>
  <si>
    <t>17号楼</t>
  </si>
  <si>
    <t>25652000000020626935</t>
  </si>
  <si>
    <t>张楚轩（袁明伟）</t>
  </si>
  <si>
    <t>2023.3.15</t>
  </si>
  <si>
    <t>2023.4.4</t>
  </si>
  <si>
    <t>2023.7.26</t>
  </si>
  <si>
    <t>0000423</t>
  </si>
  <si>
    <t>25652000000020692432</t>
  </si>
  <si>
    <t xml:space="preserve">
</t>
  </si>
  <si>
    <t>0000451</t>
  </si>
  <si>
    <t>25652000000020682920</t>
  </si>
  <si>
    <t>0000034（江域 退）</t>
  </si>
  <si>
    <t>张楚轩（袁明伟）
闫金秀（江域）</t>
  </si>
  <si>
    <t xml:space="preserve">2023.3.15
2022-7-12
</t>
  </si>
  <si>
    <t>0000387</t>
  </si>
  <si>
    <t>65280119940310452X</t>
  </si>
  <si>
    <t>赵小兰</t>
  </si>
  <si>
    <t>25652000000020693023</t>
  </si>
  <si>
    <t>0000043（赵小兰）
0000157（赵小兰）</t>
  </si>
  <si>
    <t>肖陶丽（赵小兰）</t>
  </si>
  <si>
    <t>2022.7.18
2023.5.1</t>
  </si>
  <si>
    <t>2023.7.30</t>
  </si>
  <si>
    <t>2023.11.17</t>
  </si>
  <si>
    <t>2024.1.19</t>
  </si>
  <si>
    <t>0000425</t>
  </si>
  <si>
    <t>622727196711186845</t>
  </si>
  <si>
    <t>靳国柱、马娥子</t>
  </si>
  <si>
    <t>25652000000020618389</t>
  </si>
  <si>
    <t>0000168（马娥子）
0000052（马娥子）
0000169（马娥子）</t>
  </si>
  <si>
    <t>闫金秀（马娥子）</t>
  </si>
  <si>
    <t>2023.5.3</t>
  </si>
  <si>
    <t>2023.8.1</t>
  </si>
  <si>
    <t>2023.9.2</t>
  </si>
  <si>
    <t>2023.11.20</t>
  </si>
  <si>
    <t>2025.6.18</t>
  </si>
  <si>
    <t>0000426</t>
  </si>
  <si>
    <t>652801197705120526</t>
  </si>
  <si>
    <t>马嘉欣杨新梅</t>
  </si>
  <si>
    <t>24652000000080926857</t>
  </si>
  <si>
    <t>0000164（杨新梅）
0000165（杨新梅）</t>
  </si>
  <si>
    <t>肖陶丽（杨新梅）</t>
  </si>
  <si>
    <t>2023.5.1</t>
  </si>
  <si>
    <t>2023.10.24</t>
  </si>
  <si>
    <t>2024.12.16</t>
  </si>
  <si>
    <t>0000427</t>
  </si>
  <si>
    <t>马嘉欣、杨新梅</t>
  </si>
  <si>
    <t>24652000000080957773</t>
  </si>
  <si>
    <t>0000428</t>
  </si>
  <si>
    <t>510723197701070744</t>
  </si>
  <si>
    <t>刘俊平</t>
  </si>
  <si>
    <t>24652000000070824961</t>
  </si>
  <si>
    <t>0000020（刘俊平）</t>
  </si>
  <si>
    <t>王荣（刘俊平）</t>
  </si>
  <si>
    <t>2023.7.4</t>
  </si>
  <si>
    <t>2024.10.23</t>
  </si>
  <si>
    <t>0000429</t>
  </si>
  <si>
    <t>320322196210265960</t>
  </si>
  <si>
    <t>张洪、吴宝贵</t>
  </si>
  <si>
    <t>25652000000020645296</t>
  </si>
  <si>
    <t>0000114（吴宝贵）
0000113（吴宝贵）</t>
  </si>
  <si>
    <t>闫金秀（吴宝贵）</t>
  </si>
  <si>
    <t>2023.3.4</t>
  </si>
  <si>
    <t>2023.10.26</t>
  </si>
  <si>
    <t>2024.10.5
2025.1.1</t>
  </si>
  <si>
    <t>0000401</t>
  </si>
  <si>
    <t>512929197104175645</t>
  </si>
  <si>
    <t>王琼兰（赵星）</t>
  </si>
  <si>
    <t>24652000000070794517</t>
  </si>
  <si>
    <t>0000104（赵星）</t>
  </si>
  <si>
    <t>霍红霞、张楚轩（赵星）</t>
  </si>
  <si>
    <t>2023.2.19</t>
  </si>
  <si>
    <t>2023.7.1</t>
  </si>
  <si>
    <t>0000399</t>
  </si>
  <si>
    <t>412828198804211516</t>
  </si>
  <si>
    <t>席浩宇、韩玉霞</t>
  </si>
  <si>
    <t>25652000000020609196</t>
  </si>
  <si>
    <t>0000149（韩玉霞）</t>
  </si>
  <si>
    <t>连阵阵（韩玉霞）</t>
  </si>
  <si>
    <t>2023.4.18</t>
  </si>
  <si>
    <t>2023.9.19</t>
  </si>
  <si>
    <t>2025.4.2</t>
  </si>
  <si>
    <t>0000398</t>
  </si>
  <si>
    <t>25652000000020693933</t>
  </si>
  <si>
    <t>0000400</t>
  </si>
  <si>
    <t>24652000000070803895</t>
  </si>
  <si>
    <t>2023.10.29</t>
  </si>
  <si>
    <t>0000435</t>
  </si>
  <si>
    <t>652801198904150028</t>
  </si>
  <si>
    <t>吴晓芳、吴宝贵</t>
  </si>
  <si>
    <t>25652000000020619756</t>
  </si>
  <si>
    <t>闫金秀（吴晓芳）</t>
  </si>
  <si>
    <t>2023.9.7</t>
  </si>
  <si>
    <t>2023.12.28</t>
  </si>
  <si>
    <t>2024.1.27</t>
  </si>
  <si>
    <t>0000436</t>
  </si>
  <si>
    <t>24652000000070783832</t>
  </si>
  <si>
    <t>0000437</t>
  </si>
  <si>
    <t>65280120010809052X</t>
  </si>
  <si>
    <t>24652000000080928485</t>
  </si>
  <si>
    <t>2024.11.28</t>
  </si>
  <si>
    <t>0000438</t>
  </si>
  <si>
    <t>24652000000080928927</t>
  </si>
  <si>
    <t>2024.12.17</t>
  </si>
  <si>
    <t>0000439</t>
  </si>
  <si>
    <t>靳迎亚、马娥子、靳国柱</t>
  </si>
  <si>
    <t>25652000000020941144</t>
  </si>
  <si>
    <t>2024.2.20</t>
  </si>
  <si>
    <t>0000384</t>
  </si>
  <si>
    <t>622301198302011351</t>
  </si>
  <si>
    <t>聂柏林</t>
  </si>
  <si>
    <t>25652000000020899297</t>
  </si>
  <si>
    <t>肖陶丽（聂柏林）</t>
  </si>
  <si>
    <t>2023.7.22</t>
  </si>
  <si>
    <t>2023.9.15</t>
  </si>
  <si>
    <t>0000421</t>
  </si>
  <si>
    <t>652311298710153532</t>
  </si>
  <si>
    <t>李乐</t>
  </si>
  <si>
    <t>25652000000007671907</t>
  </si>
  <si>
    <t>0000176（李乐）</t>
  </si>
  <si>
    <t>霍红霞（李乐 成交）</t>
  </si>
  <si>
    <t>2023.5.3
2023.6.21</t>
  </si>
  <si>
    <t>2023.7.11</t>
  </si>
  <si>
    <t>2025.2.18</t>
  </si>
  <si>
    <t>0000442</t>
  </si>
  <si>
    <t>25652000000020889873</t>
  </si>
  <si>
    <t>张楚轩</t>
  </si>
  <si>
    <t>0000443</t>
  </si>
  <si>
    <t>25652000000020925009</t>
  </si>
  <si>
    <t xml:space="preserve">
0000051（李献玲 退）
0000062（陈文芳 退）</t>
  </si>
  <si>
    <t>张楚轩（袁明伟）
赵帆（李献玲）
王荣（陈文芳）</t>
  </si>
  <si>
    <t>2023.3.15
2022-7-22
2022-7-29</t>
  </si>
  <si>
    <t>白林清、周小茜</t>
  </si>
  <si>
    <t>25652000000014749813</t>
  </si>
  <si>
    <t>2023.7.31</t>
  </si>
  <si>
    <t>2025.3.24</t>
  </si>
  <si>
    <t>0000461</t>
  </si>
  <si>
    <t>652823198906153319</t>
  </si>
  <si>
    <t>楚帅冰</t>
  </si>
  <si>
    <t>25652000000020990051</t>
  </si>
  <si>
    <t xml:space="preserve">0000178（楚帅冰）
0000178（楚帅冰）
0000178（楚帅冰）
0000178（楚帅冰）
</t>
  </si>
  <si>
    <t>肖陶丽（楚帅冰）</t>
  </si>
  <si>
    <t>2023.5.16</t>
  </si>
  <si>
    <t>2023.9.24</t>
  </si>
  <si>
    <t>2023.10.16</t>
  </si>
  <si>
    <t>2024.4.1
2024.6.1
2024.7.1
2024.7.28
2024.9.26</t>
  </si>
  <si>
    <t>652822197702010016</t>
  </si>
  <si>
    <t xml:space="preserve">马志辉 </t>
  </si>
  <si>
    <t>25652000000020962038</t>
  </si>
  <si>
    <t>2024.2.28</t>
  </si>
  <si>
    <t>0000583</t>
  </si>
  <si>
    <t>65280119840805052X</t>
  </si>
  <si>
    <t xml:space="preserve">腾红艳 </t>
  </si>
  <si>
    <t>25652000000020906580</t>
  </si>
  <si>
    <t>米云鹤（腾红艳）</t>
  </si>
  <si>
    <t>2023.10.27</t>
  </si>
  <si>
    <t>34212719831007151X</t>
  </si>
  <si>
    <t xml:space="preserve">李志鹏 杨亚飞 </t>
  </si>
  <si>
    <t>25652000000020916581</t>
  </si>
  <si>
    <t xml:space="preserve">李志鹏（王荣）
</t>
  </si>
  <si>
    <t>2024.5.3</t>
  </si>
  <si>
    <t>2024.5.5</t>
  </si>
  <si>
    <t>2024.5.7</t>
  </si>
  <si>
    <t>2024.6.28</t>
  </si>
  <si>
    <t>0000465</t>
  </si>
  <si>
    <t>411323199503143417</t>
  </si>
  <si>
    <t>段二苏 成交
孙少博</t>
  </si>
  <si>
    <t>18号楼</t>
  </si>
  <si>
    <t>24652000000071582226</t>
  </si>
  <si>
    <t xml:space="preserve">0000116（孙少博）
</t>
  </si>
  <si>
    <t xml:space="preserve">王荣（段二苏 成交）
张玉琴（孙少博）
潘亦玹（董顺英）
闫金秀（何彩铭）
</t>
  </si>
  <si>
    <t>2023.3.9
2023.5.1
2023.6.1</t>
  </si>
  <si>
    <t>2023.6.19</t>
  </si>
  <si>
    <t>2023.7.21</t>
  </si>
  <si>
    <t>0000393</t>
  </si>
  <si>
    <t>512922197407057377</t>
  </si>
  <si>
    <t>向贤云</t>
  </si>
  <si>
    <t>25652000000020928132</t>
  </si>
  <si>
    <t>0000036-38（向贤云）</t>
  </si>
  <si>
    <t>闫金秀（向贤云 成交）</t>
  </si>
  <si>
    <t>2022.7.13</t>
  </si>
  <si>
    <t>2023.7.29</t>
  </si>
  <si>
    <t>0000392</t>
  </si>
  <si>
    <t>25652000000020937428</t>
  </si>
  <si>
    <t>2022.7.25
2023.6.22</t>
  </si>
  <si>
    <t>0000448</t>
  </si>
  <si>
    <t>652923201407060214</t>
  </si>
  <si>
    <t>刘王子睿（刘甲政）</t>
  </si>
  <si>
    <t>24652000000070773567</t>
  </si>
  <si>
    <t>闫金秀（刘甲政）</t>
  </si>
  <si>
    <t>2023.7.20</t>
  </si>
  <si>
    <t>0000449</t>
  </si>
  <si>
    <t>420381200511190029</t>
  </si>
  <si>
    <t>刘王妤丹（刘甲政）</t>
  </si>
  <si>
    <t>24652000000070812029</t>
  </si>
  <si>
    <t>0000139（刘甲政）
0000140（刘甲政）
0000141（刘甲政）
0000142（刘甲政）</t>
  </si>
  <si>
    <t>2023.3.31</t>
  </si>
  <si>
    <t>0000450</t>
  </si>
  <si>
    <t>511011198011129309</t>
  </si>
  <si>
    <t>李心铭</t>
  </si>
  <si>
    <t>25652000000020975342</t>
  </si>
  <si>
    <t>0000070（李富强）
0000035（李富强）
0000071（李富强）
0000072（李富强）</t>
  </si>
  <si>
    <t>程鑫（雍建平 退）
霍红霞（李富强）</t>
  </si>
  <si>
    <t>2022-7-31
2022-8-5</t>
  </si>
  <si>
    <t>2023.6.21</t>
  </si>
  <si>
    <t>2023.8.15</t>
  </si>
  <si>
    <t>2023.12.29</t>
  </si>
  <si>
    <t>2025.6.15</t>
  </si>
  <si>
    <t>0000467</t>
  </si>
  <si>
    <t>410304195802072518</t>
  </si>
  <si>
    <t>刘中国、秦桂兰</t>
  </si>
  <si>
    <t>25652000000020965690</t>
  </si>
  <si>
    <t>0000065（秦桂兰）</t>
  </si>
  <si>
    <t>闫金秀（秦桂兰）</t>
  </si>
  <si>
    <t>2022.7.31
2023.6.10
2023.6.22</t>
  </si>
  <si>
    <t>2023.7.13</t>
  </si>
  <si>
    <t>0000452</t>
  </si>
  <si>
    <t>652827199302063216</t>
  </si>
  <si>
    <t>吕程</t>
  </si>
  <si>
    <t>25652000000020976048</t>
  </si>
  <si>
    <t>0000032（吕程）</t>
  </si>
  <si>
    <t>张玉琴（吕程）</t>
  </si>
  <si>
    <t>2022-7-21
2023.2.12
2023.6.22</t>
  </si>
  <si>
    <t>2023.7.10</t>
  </si>
  <si>
    <t>2025.4.15</t>
  </si>
  <si>
    <t>0000454</t>
  </si>
  <si>
    <t>412718197404105218</t>
  </si>
  <si>
    <t>陈国强</t>
  </si>
  <si>
    <t>25652000000021020072</t>
  </si>
  <si>
    <t>0000212（陈国强</t>
  </si>
  <si>
    <t>米云鹤（陈国强）</t>
  </si>
  <si>
    <t>2023.6.20</t>
  </si>
  <si>
    <t>0000455</t>
  </si>
  <si>
    <t>652801198304183117</t>
  </si>
  <si>
    <t>魏玉文</t>
  </si>
  <si>
    <t>24652000000070780543</t>
  </si>
  <si>
    <t>0000042（魏玉文）</t>
  </si>
  <si>
    <t>潘亦玹（魏玉文）</t>
  </si>
  <si>
    <t>2023.3.13
2023.6.22</t>
  </si>
  <si>
    <t>2025.6.17</t>
  </si>
  <si>
    <t>0000389</t>
  </si>
  <si>
    <t>65282919660903171X</t>
  </si>
  <si>
    <t>肖培利</t>
  </si>
  <si>
    <t>24652000000070758377</t>
  </si>
  <si>
    <t>2024.8.22</t>
  </si>
  <si>
    <t>2024.9.3</t>
  </si>
  <si>
    <t>0000343</t>
  </si>
  <si>
    <t>210724197611230412</t>
  </si>
  <si>
    <t>佟海宾（许振双）
王盼</t>
  </si>
  <si>
    <t>25652000000020947461</t>
  </si>
  <si>
    <t>0000067（许振双成交）
0000115（王盼）</t>
  </si>
  <si>
    <t>连阵阵（佟海宾 许振双成交）
霍红霞（王盼）</t>
  </si>
  <si>
    <t>2022-8-2
2023.3.6</t>
  </si>
  <si>
    <t>2023.7.6</t>
  </si>
  <si>
    <t>佟海宾（许振双）</t>
  </si>
  <si>
    <t>25652000000020957285</t>
  </si>
  <si>
    <t>连阵阵（佟海宾 许振双成交）</t>
  </si>
  <si>
    <t>0000388</t>
  </si>
  <si>
    <t>51292919760621451X</t>
  </si>
  <si>
    <t>24652000000070727716</t>
  </si>
  <si>
    <t>2024.8.31</t>
  </si>
  <si>
    <t>0000468</t>
  </si>
  <si>
    <t>320321198407161228</t>
  </si>
  <si>
    <t>李倩</t>
  </si>
  <si>
    <t>25652000000020948013</t>
  </si>
  <si>
    <t>0000102（李倩）</t>
  </si>
  <si>
    <t>李世平（李倩）</t>
  </si>
  <si>
    <t>2023.2.15
2023.3.13</t>
  </si>
  <si>
    <t>0000469</t>
  </si>
  <si>
    <t>652801197410153929</t>
  </si>
  <si>
    <t>李晓兰</t>
  </si>
  <si>
    <t>25652000000020957802</t>
  </si>
  <si>
    <t>0000156（李晓兰）</t>
  </si>
  <si>
    <t>肖陶丽、张利玮（李晓兰）</t>
  </si>
  <si>
    <t>2024.3.23</t>
  </si>
  <si>
    <t>0000470</t>
  </si>
  <si>
    <t>652801194811213415</t>
  </si>
  <si>
    <t>罗建生</t>
  </si>
  <si>
    <t>25652000000008514801</t>
  </si>
  <si>
    <t>0000117（罗建生）</t>
  </si>
  <si>
    <t>王荣（罗建生）</t>
  </si>
  <si>
    <t>0000471</t>
  </si>
  <si>
    <t>652801199704041622</t>
  </si>
  <si>
    <t>韩春子（闫莉）</t>
  </si>
  <si>
    <t>24652000000070766125</t>
  </si>
  <si>
    <t xml:space="preserve">潘亦玹（闫莉）
</t>
  </si>
  <si>
    <t>2023.6.28</t>
  </si>
  <si>
    <t>2025.3.19</t>
  </si>
  <si>
    <t>0000472</t>
  </si>
  <si>
    <t xml:space="preserve">李洁（李富强 李丹媚）
</t>
  </si>
  <si>
    <t>25652000000020978140</t>
  </si>
  <si>
    <t>霍红霞（李洁 李富强成交）
肖陶丽（柳康林 退）</t>
  </si>
  <si>
    <t>2023.4.17
2023.6.21</t>
  </si>
  <si>
    <t>2023.7.3</t>
  </si>
  <si>
    <t>0000474</t>
  </si>
  <si>
    <t>24652000000070735712</t>
  </si>
  <si>
    <t>闫金秀（ 刘甲政）</t>
  </si>
  <si>
    <t>0000476</t>
  </si>
  <si>
    <t>24652000000070715674</t>
  </si>
  <si>
    <t>0000391</t>
  </si>
  <si>
    <t>25652000000020987107</t>
  </si>
  <si>
    <t>2023.8.11</t>
  </si>
  <si>
    <t>0000390</t>
  </si>
  <si>
    <t>25652000000021031124</t>
  </si>
  <si>
    <t>闫金秀（向贤云 成交）
李秀莲（宋哲 退）</t>
  </si>
  <si>
    <t>2023.2.25
2023.6.22</t>
  </si>
  <si>
    <t>0000480</t>
  </si>
  <si>
    <t xml:space="preserve">段二苏 </t>
  </si>
  <si>
    <t>24652000000071572650</t>
  </si>
  <si>
    <t xml:space="preserve">王荣（段二苏 成交）
</t>
  </si>
  <si>
    <t>652827197310121624</t>
  </si>
  <si>
    <t>王小红</t>
  </si>
  <si>
    <t>24652000000063067402</t>
  </si>
  <si>
    <t>2024.8.3</t>
  </si>
  <si>
    <t>2024.8.28</t>
  </si>
  <si>
    <t>2024.10.17</t>
  </si>
  <si>
    <t>500383198708022267</t>
  </si>
  <si>
    <t>吴红退</t>
  </si>
  <si>
    <t>2025.7.12（9.26退）</t>
  </si>
  <si>
    <t>510124198805110171</t>
  </si>
  <si>
    <t>罗峥</t>
  </si>
  <si>
    <t>2024.12.11</t>
  </si>
  <si>
    <t>2026.4.20</t>
  </si>
  <si>
    <t>其中：会费</t>
  </si>
  <si>
    <t>预收款</t>
  </si>
  <si>
    <t>红色字体为测绘面积</t>
  </si>
  <si>
    <t>商业</t>
  </si>
  <si>
    <t>宏基台帐表（2013.2月）.xls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</si>
  <si>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</si>
  <si>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</si>
  <si>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</si>
  <si>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</si>
  <si>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</si>
  <si>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</si>
  <si>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</si>
  <si>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</si>
  <si>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</si>
  <si>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</si>
  <si>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</si>
  <si>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</si>
  <si>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宏基台帐表（2013.3月）.xls</t>
  </si>
  <si>
    <t xml:space="preserve">             9#-12#楼住宅销售明细表 </t>
  </si>
  <si>
    <t>开发
面积</t>
  </si>
  <si>
    <t>2023.2.20-2023.3.20执行成交底价</t>
  </si>
  <si>
    <t>计划销售总价</t>
  </si>
  <si>
    <t>支付套奖2022.8月</t>
  </si>
  <si>
    <t>支付套奖2023.2月</t>
  </si>
  <si>
    <t>支付佣金2023.1月</t>
  </si>
  <si>
    <t>支付佣金2023.2月</t>
  </si>
  <si>
    <t>支付佣金2023.3月</t>
  </si>
  <si>
    <t>支付佣金2023.4月</t>
  </si>
  <si>
    <t>支付佣金2023.5月</t>
  </si>
  <si>
    <t>支付佣金2023.6月</t>
  </si>
  <si>
    <t>支付佣金2023.7月</t>
  </si>
  <si>
    <t>支付佣金2023.8月</t>
  </si>
  <si>
    <t>支付佣金2023.9月</t>
  </si>
  <si>
    <t>支付佣金2023.10月</t>
  </si>
  <si>
    <t>支付佣金2023.11月</t>
  </si>
  <si>
    <t>支付佣金2023.12月</t>
  </si>
  <si>
    <t>支付佣金2024.1月</t>
  </si>
  <si>
    <t>支付佣金2024.2月</t>
  </si>
  <si>
    <t>支付佣金2024.3月</t>
  </si>
  <si>
    <t>支付佣金2024.4月</t>
  </si>
  <si>
    <t>支付佣金2024.5月</t>
  </si>
  <si>
    <t>支付佣金2024.6月</t>
  </si>
  <si>
    <t>支付佣金2024.7月</t>
  </si>
  <si>
    <t>支付佣金2024.9月</t>
  </si>
  <si>
    <t>支付佣金2024.10月</t>
  </si>
  <si>
    <t>支付佣金2024.11月</t>
  </si>
  <si>
    <t>支付佣金2024.12月</t>
  </si>
  <si>
    <t>支付佣金2025.5月</t>
  </si>
  <si>
    <t>支付佣金2025.8月</t>
  </si>
  <si>
    <t>支付佣金2025.12月</t>
  </si>
  <si>
    <t>房屋性质</t>
  </si>
  <si>
    <t>号码</t>
  </si>
  <si>
    <t>开票日期</t>
  </si>
  <si>
    <t>9-负1-配电间</t>
  </si>
  <si>
    <t>9-负1-101</t>
  </si>
  <si>
    <t>蔡俊</t>
  </si>
  <si>
    <t>9-负1-102</t>
  </si>
  <si>
    <t>2024.9.25</t>
  </si>
  <si>
    <t>王霞</t>
  </si>
  <si>
    <t>9-负1-103</t>
  </si>
  <si>
    <t>2024.11.23</t>
  </si>
  <si>
    <t>9-负1-104</t>
  </si>
  <si>
    <t>9-负1-105</t>
  </si>
  <si>
    <t>李学德</t>
  </si>
  <si>
    <t>9-负1-106</t>
  </si>
  <si>
    <t>张振华</t>
  </si>
  <si>
    <t>9-负1-107</t>
  </si>
  <si>
    <t>张峰</t>
  </si>
  <si>
    <t>9-负1-108</t>
  </si>
  <si>
    <t>2025.4.20</t>
  </si>
  <si>
    <t>配电箱</t>
  </si>
  <si>
    <t>9-负1-109</t>
  </si>
  <si>
    <t>胡勇</t>
  </si>
  <si>
    <t>9-负1-201</t>
  </si>
  <si>
    <t>2024.9.9</t>
  </si>
  <si>
    <t>张梦圆</t>
  </si>
  <si>
    <t>9-负1-202</t>
  </si>
  <si>
    <t>李燕燕</t>
  </si>
  <si>
    <t>9-负1-203</t>
  </si>
  <si>
    <t>2024.9.5</t>
  </si>
  <si>
    <t>王鹏伟</t>
  </si>
  <si>
    <t>9-负1-204</t>
  </si>
  <si>
    <t>9-负1-205</t>
  </si>
  <si>
    <t>9-负1-206</t>
  </si>
  <si>
    <t>9-负1-207</t>
  </si>
  <si>
    <t>张生祥</t>
  </si>
  <si>
    <t>9-负1-208</t>
  </si>
  <si>
    <t>陈浩</t>
  </si>
  <si>
    <t>9-负1-209</t>
  </si>
  <si>
    <t>抵账房巩红卫1257447</t>
  </si>
  <si>
    <t>巩红卫</t>
  </si>
  <si>
    <t>9-1-101</t>
  </si>
  <si>
    <t>25652000000069444253</t>
  </si>
  <si>
    <t>（巩红卫）</t>
  </si>
  <si>
    <t>652801198804051612</t>
  </si>
  <si>
    <t>王将龙、张辉</t>
  </si>
  <si>
    <t>0000283</t>
  </si>
  <si>
    <t>9-1-102</t>
  </si>
  <si>
    <t>24652000000080842039</t>
  </si>
  <si>
    <t>王将龙</t>
  </si>
  <si>
    <t>王将龙（李世平）</t>
  </si>
  <si>
    <t>2023.2.10</t>
  </si>
  <si>
    <t>2023.2.11</t>
  </si>
  <si>
    <t>2023.2.21</t>
  </si>
  <si>
    <t>2023.3.8</t>
  </si>
  <si>
    <t>622224199806125030</t>
  </si>
  <si>
    <t>000323</t>
  </si>
  <si>
    <t>9-1-201</t>
  </si>
  <si>
    <t>24652000000081555090</t>
  </si>
  <si>
    <t>2023.6.6</t>
  </si>
  <si>
    <t>652801198308076116</t>
  </si>
  <si>
    <t>李杨</t>
  </si>
  <si>
    <t>0000319</t>
  </si>
  <si>
    <t>9-1-202</t>
  </si>
  <si>
    <t>2023.8.6</t>
  </si>
  <si>
    <t>2024.4.3</t>
  </si>
  <si>
    <t>65282319860301002X</t>
  </si>
  <si>
    <t>吴莎莎</t>
  </si>
  <si>
    <t>9-1-301</t>
  </si>
  <si>
    <t>24652000000081575274</t>
  </si>
  <si>
    <t>2023.2.20</t>
  </si>
  <si>
    <t>513027197708045621</t>
  </si>
  <si>
    <t>曾丽萍、胡卿</t>
  </si>
  <si>
    <t>0000006</t>
  </si>
  <si>
    <t>9-1-302</t>
  </si>
  <si>
    <t>24652000000081576399</t>
  </si>
  <si>
    <t>0000015（曾丽萍胡卿）</t>
  </si>
  <si>
    <t>潘亦玹（曾丽平胡卿）</t>
  </si>
  <si>
    <t>652828199308011528</t>
  </si>
  <si>
    <t>0000282</t>
  </si>
  <si>
    <t>9-1-401</t>
  </si>
  <si>
    <t>24652000000081576757</t>
  </si>
  <si>
    <t>2023.2.9</t>
  </si>
  <si>
    <t>652827199606182038</t>
  </si>
  <si>
    <t>方建成</t>
  </si>
  <si>
    <t>9-1-402</t>
  </si>
  <si>
    <t>24652000000081557692</t>
  </si>
  <si>
    <t>（方建成）</t>
  </si>
  <si>
    <t>2023.2.5</t>
  </si>
  <si>
    <t>2023.2.23</t>
  </si>
  <si>
    <t>41140319960308061X</t>
  </si>
  <si>
    <t>陈浩、刘桂芝</t>
  </si>
  <si>
    <t>0000066</t>
  </si>
  <si>
    <t>9-1-501</t>
  </si>
  <si>
    <t>24652000000081587890</t>
  </si>
  <si>
    <t>0000023（刘桂芝）</t>
  </si>
  <si>
    <t>潘亦玹（刘桂芝）</t>
  </si>
  <si>
    <t>652801199105080013</t>
  </si>
  <si>
    <t>余泽华</t>
  </si>
  <si>
    <t>0000303</t>
  </si>
  <si>
    <t>9-1-502</t>
  </si>
  <si>
    <t>24652000000081598308</t>
  </si>
  <si>
    <t>赵江龙（余泽华）</t>
  </si>
  <si>
    <t>2023.1.1</t>
  </si>
  <si>
    <t>2023.4.15</t>
  </si>
  <si>
    <t>2023.5.17</t>
  </si>
  <si>
    <t>610502199911101019</t>
  </si>
  <si>
    <t>谷镇江</t>
  </si>
  <si>
    <t>0000334</t>
  </si>
  <si>
    <t>9-1-601</t>
  </si>
  <si>
    <t>24652000000081568892</t>
  </si>
  <si>
    <t>2023.6.10</t>
  </si>
  <si>
    <t>18710531788</t>
  </si>
  <si>
    <t>库德来提退房，1月业绩主管 经理均安最低点计佣，未拿提成，不做调整</t>
  </si>
  <si>
    <t>130281199911135336</t>
  </si>
  <si>
    <t>赵敬泽</t>
  </si>
  <si>
    <t>0000016</t>
  </si>
  <si>
    <t>9-1-602</t>
  </si>
  <si>
    <t>24652000000081589251</t>
  </si>
  <si>
    <t>0000175（赵敬泽）</t>
  </si>
  <si>
    <t>张玉琴（赵敬泽）</t>
  </si>
  <si>
    <t>2023.2.6</t>
  </si>
  <si>
    <t>652823199412240521</t>
  </si>
  <si>
    <t>张洁</t>
  </si>
  <si>
    <t>0000225</t>
  </si>
  <si>
    <t>9-1-701</t>
  </si>
  <si>
    <t>24652000000081579746</t>
  </si>
  <si>
    <t>（张洁）</t>
  </si>
  <si>
    <t>闫金秀（张洁）</t>
  </si>
  <si>
    <t>2023.6.13</t>
  </si>
  <si>
    <t>650103198805195514</t>
  </si>
  <si>
    <t>贺飞</t>
  </si>
  <si>
    <t>0000018</t>
  </si>
  <si>
    <t>9-1-702</t>
  </si>
  <si>
    <t>24652000000081640299</t>
  </si>
  <si>
    <t>0000110（贺飞）</t>
  </si>
  <si>
    <t>潘亦玹（贺飞）</t>
  </si>
  <si>
    <t>2023.2.16</t>
  </si>
  <si>
    <t>2023.2.24</t>
  </si>
  <si>
    <t>2023.6.7</t>
  </si>
  <si>
    <t>650107198311200016</t>
  </si>
  <si>
    <t>胡勇、王丹风</t>
  </si>
  <si>
    <t>0000072</t>
  </si>
  <si>
    <t>9-1-801</t>
  </si>
  <si>
    <t>24652000000081620952</t>
  </si>
  <si>
    <t>（胡勇）</t>
  </si>
  <si>
    <t>霍红霞（胡勇）</t>
  </si>
  <si>
    <t>2023.2.7</t>
  </si>
  <si>
    <t>2023.7.25</t>
  </si>
  <si>
    <t>41128219990719803X</t>
  </si>
  <si>
    <t>原奥拓</t>
  </si>
  <si>
    <t>0000020</t>
  </si>
  <si>
    <t>9-1-802</t>
  </si>
  <si>
    <t>24652000000080194653</t>
  </si>
  <si>
    <t>0000082（原奥拓）</t>
  </si>
  <si>
    <t>霍红霞（原奥拓）</t>
  </si>
  <si>
    <t>2023.3.7</t>
  </si>
  <si>
    <t>620121196609240531</t>
  </si>
  <si>
    <t>0000074</t>
  </si>
  <si>
    <t>9-1-901</t>
  </si>
  <si>
    <t>25652000000084055388</t>
  </si>
  <si>
    <t>0000036（王贤）</t>
  </si>
  <si>
    <t>米云鹤（王贤）</t>
  </si>
  <si>
    <t>2022.7.21</t>
  </si>
  <si>
    <t>2023.4.10</t>
  </si>
  <si>
    <t>411627199609016418</t>
  </si>
  <si>
    <t>任文森</t>
  </si>
  <si>
    <t>0000022</t>
  </si>
  <si>
    <t>9-1-902</t>
  </si>
  <si>
    <t>24652000000081611505</t>
  </si>
  <si>
    <t>0000030（肖陶丽）</t>
  </si>
  <si>
    <t>任文森（肖陶丽）</t>
  </si>
  <si>
    <t>2023.5.18</t>
  </si>
  <si>
    <t>652826199901091116</t>
  </si>
  <si>
    <t>黄豪</t>
  </si>
  <si>
    <t>0000075</t>
  </si>
  <si>
    <t>9-1-1001</t>
  </si>
  <si>
    <t>24652000000081641684</t>
  </si>
  <si>
    <t>0000205（黄豪）</t>
  </si>
  <si>
    <t>张玉琴（黄豪）</t>
  </si>
  <si>
    <t>652322198710153532</t>
  </si>
  <si>
    <t>9-1-1002</t>
  </si>
  <si>
    <t>24652000000081602258</t>
  </si>
  <si>
    <t>0000013（李乐）</t>
  </si>
  <si>
    <t>霍红霞（李乐）</t>
  </si>
  <si>
    <t>2023.1.7</t>
  </si>
  <si>
    <t>2023.2.8</t>
  </si>
  <si>
    <t>2023.4.28</t>
  </si>
  <si>
    <t>13899010102</t>
  </si>
  <si>
    <t>652827199002141446</t>
  </si>
  <si>
    <t>王霞、蔡国锋</t>
  </si>
  <si>
    <t>0000226</t>
  </si>
  <si>
    <t>9-1-1101</t>
  </si>
  <si>
    <t>24652000000081642738</t>
  </si>
  <si>
    <t>（王霞）</t>
  </si>
  <si>
    <t xml:space="preserve">李世平（王霞）
</t>
  </si>
  <si>
    <t>2023.1.10
2022-7-11
2022-7-9</t>
  </si>
  <si>
    <t>2023.4.17</t>
  </si>
  <si>
    <t>650121197901080838</t>
  </si>
  <si>
    <t>0000025</t>
  </si>
  <si>
    <t>9-1-1102</t>
  </si>
  <si>
    <t>24652000000081643223</t>
  </si>
  <si>
    <t>0000221（蔡俊）</t>
  </si>
  <si>
    <t>刘伟杰（蔡俊）</t>
  </si>
  <si>
    <t>2023.11.1</t>
  </si>
  <si>
    <t>15899013526</t>
  </si>
  <si>
    <t>654126199301130517</t>
  </si>
  <si>
    <t>哈尔肯</t>
  </si>
  <si>
    <t>0000302</t>
  </si>
  <si>
    <t>9-2-101</t>
  </si>
  <si>
    <t>25652000000059072734</t>
  </si>
  <si>
    <t>2023.4.5</t>
  </si>
  <si>
    <t>2023.5.31</t>
  </si>
  <si>
    <t>2023.10.31</t>
  </si>
  <si>
    <t>130682199105067402</t>
  </si>
  <si>
    <t>魏红欣、费仕通</t>
  </si>
  <si>
    <t>0000229</t>
  </si>
  <si>
    <t>9-2-102</t>
  </si>
  <si>
    <t>24652000000081613735</t>
  </si>
  <si>
    <t>（魏红欣）</t>
  </si>
  <si>
    <t>张玉琴（魏红欣）</t>
  </si>
  <si>
    <t>2023.9.28</t>
  </si>
  <si>
    <t>622424199805172215</t>
  </si>
  <si>
    <t>张珂珂</t>
  </si>
  <si>
    <t>0000351</t>
  </si>
  <si>
    <t>9-2-201</t>
  </si>
  <si>
    <t>25652000000000414760</t>
  </si>
  <si>
    <t>2023.9.13</t>
  </si>
  <si>
    <t>652801197607206131</t>
  </si>
  <si>
    <t>艾沙江·亚森（亚森·努尔）</t>
  </si>
  <si>
    <t>9-2-202</t>
  </si>
  <si>
    <t>24652000000081644862</t>
  </si>
  <si>
    <t>2023.4.23</t>
  </si>
  <si>
    <t>2023.5.6</t>
  </si>
  <si>
    <t>2023.8.13</t>
  </si>
  <si>
    <t>2023.8.23</t>
  </si>
  <si>
    <t>652801199207181616</t>
  </si>
  <si>
    <t>薛刚</t>
  </si>
  <si>
    <t>0000224</t>
  </si>
  <si>
    <t>9-2-301</t>
  </si>
  <si>
    <t>24652000000081626333</t>
  </si>
  <si>
    <t>（薛刚）</t>
  </si>
  <si>
    <t>连阵阵（薛刚）</t>
  </si>
  <si>
    <t>2023.3.9</t>
  </si>
  <si>
    <t>2023.8.2</t>
  </si>
  <si>
    <t>36220219760208204X</t>
  </si>
  <si>
    <t>刘晒琴</t>
  </si>
  <si>
    <t>0000230</t>
  </si>
  <si>
    <t>9-2-302</t>
  </si>
  <si>
    <t>24652000000081617061</t>
  </si>
  <si>
    <t>0000101（李国平）</t>
  </si>
  <si>
    <t>李国平（王士杰）</t>
  </si>
  <si>
    <t>2023.1.17</t>
  </si>
  <si>
    <t>652801199607011616</t>
  </si>
  <si>
    <t>9-2-401</t>
  </si>
  <si>
    <t>25652000000005706094</t>
  </si>
  <si>
    <t>17767666093</t>
  </si>
  <si>
    <t>652801199208086127</t>
  </si>
  <si>
    <t>阿依努尔·艾比布拉
海提甫江·托乎提</t>
  </si>
  <si>
    <t>9-2-402</t>
  </si>
  <si>
    <t>24652000000081660057</t>
  </si>
  <si>
    <t>阿依努尔·艾比布拉</t>
  </si>
  <si>
    <t>2023.6.15</t>
  </si>
  <si>
    <t>2023.10.20</t>
  </si>
  <si>
    <t>18034834003</t>
  </si>
  <si>
    <t>652828199506072022</t>
  </si>
  <si>
    <t>陶婧、屈疆龙</t>
  </si>
  <si>
    <t>9-2-501</t>
  </si>
  <si>
    <t>24652000000081650648</t>
  </si>
  <si>
    <t>（陶婧）</t>
  </si>
  <si>
    <t>连阵阵（陶婧）</t>
  </si>
  <si>
    <t>17799450607</t>
  </si>
  <si>
    <t>622301198909022815</t>
  </si>
  <si>
    <t>张生祥、杨静</t>
  </si>
  <si>
    <t>000028</t>
  </si>
  <si>
    <t>9-2-502</t>
  </si>
  <si>
    <t>24652000000081691162</t>
  </si>
  <si>
    <t>李秀莲（张生祥）</t>
  </si>
  <si>
    <t>2023.3.20</t>
  </si>
  <si>
    <t>2023.4.12</t>
  </si>
  <si>
    <t>15199932991</t>
  </si>
  <si>
    <t>652824199310030028</t>
  </si>
  <si>
    <t>排日阿依·库德来提</t>
  </si>
  <si>
    <t>0000071</t>
  </si>
  <si>
    <t>9-2-601</t>
  </si>
  <si>
    <t>24652000000081671831</t>
  </si>
  <si>
    <t>0000159（米拉迪力江）</t>
  </si>
  <si>
    <t>王尔东（米拉）</t>
  </si>
  <si>
    <t>622326198402150014</t>
  </si>
  <si>
    <t>0000244</t>
  </si>
  <si>
    <t>9-2-602</t>
  </si>
  <si>
    <t>24652000000081692160</t>
  </si>
  <si>
    <t>0000176-177（李学德）</t>
  </si>
  <si>
    <t>王士杰（李学德*2）</t>
  </si>
  <si>
    <t>2023.1.3</t>
  </si>
  <si>
    <t>2023.4.27</t>
  </si>
  <si>
    <t>2023.5.29</t>
  </si>
  <si>
    <t>13179879608</t>
  </si>
  <si>
    <t>620321199802120317</t>
  </si>
  <si>
    <t>祁世权</t>
  </si>
  <si>
    <t>0000044</t>
  </si>
  <si>
    <t>9-2-701</t>
  </si>
  <si>
    <t>24652000000081652778</t>
  </si>
  <si>
    <t>0000081（祁世权）</t>
  </si>
  <si>
    <t>霍红霞（祁世权）</t>
  </si>
  <si>
    <t>13289912572</t>
  </si>
  <si>
    <t>652301199712106417</t>
  </si>
  <si>
    <t>袁泽</t>
  </si>
  <si>
    <t>0000030</t>
  </si>
  <si>
    <t>9-2-702</t>
  </si>
  <si>
    <t>24652000000081663407</t>
  </si>
  <si>
    <t>0000139（袁泽）</t>
  </si>
  <si>
    <t>刘伟杰（袁泽）</t>
  </si>
  <si>
    <t>2023.2.13</t>
  </si>
  <si>
    <t>2023.3.10</t>
  </si>
  <si>
    <t>18699553569</t>
  </si>
  <si>
    <t>412326199605102712</t>
  </si>
  <si>
    <t>代永涛</t>
  </si>
  <si>
    <t>0000007</t>
  </si>
  <si>
    <t>9-2-801</t>
  </si>
  <si>
    <t>24652000000081663738</t>
  </si>
  <si>
    <t>0000080（代永涛）</t>
  </si>
  <si>
    <t>霍子涵（代永涛）</t>
  </si>
  <si>
    <t>2023.11.16</t>
  </si>
  <si>
    <t>15729915255</t>
  </si>
  <si>
    <t>622621199201013</t>
  </si>
  <si>
    <t>丁晓琴</t>
  </si>
  <si>
    <t>0000008</t>
  </si>
  <si>
    <t>9-2-802</t>
  </si>
  <si>
    <t>24652000000081693967</t>
  </si>
  <si>
    <t>0000087（丁晓琴）</t>
  </si>
  <si>
    <t>闫金秀（丁晓琴）</t>
  </si>
  <si>
    <t>2023.5.30</t>
  </si>
  <si>
    <t>2023.6.29</t>
  </si>
  <si>
    <t>13239072411</t>
  </si>
  <si>
    <t>620422199604200852</t>
  </si>
  <si>
    <t>贾康</t>
  </si>
  <si>
    <t>0000014</t>
  </si>
  <si>
    <t>9-2-901</t>
  </si>
  <si>
    <t>24652000000080439389</t>
  </si>
  <si>
    <t>0000106（贾康）</t>
  </si>
  <si>
    <t>连阵阵（贾康）</t>
  </si>
  <si>
    <t>19990628638</t>
  </si>
  <si>
    <t>622224199601023014</t>
  </si>
  <si>
    <t>刘志辉</t>
  </si>
  <si>
    <t>0000009</t>
  </si>
  <si>
    <t>9-2-902</t>
  </si>
  <si>
    <t>24652000000081654558</t>
  </si>
  <si>
    <t>（刘志辉）</t>
  </si>
  <si>
    <t>刘伟杰（刘志辉）</t>
  </si>
  <si>
    <t>2023.3.24</t>
  </si>
  <si>
    <t>15009086371</t>
  </si>
  <si>
    <t>652825196806160021</t>
  </si>
  <si>
    <t>张金玲、张梦圆</t>
  </si>
  <si>
    <t>9-2-1001</t>
  </si>
  <si>
    <t>24652000000081684765</t>
  </si>
  <si>
    <t>13779653780</t>
  </si>
  <si>
    <t>14220219850929237X</t>
  </si>
  <si>
    <t>陈义</t>
  </si>
  <si>
    <t>9-2-1002</t>
  </si>
  <si>
    <t>24652000000081695090</t>
  </si>
  <si>
    <t>连阵阵（陈义）</t>
  </si>
  <si>
    <t>2024.1.18</t>
  </si>
  <si>
    <t>15999006913</t>
  </si>
  <si>
    <t>652401199902210035</t>
  </si>
  <si>
    <t>韩林</t>
  </si>
  <si>
    <t>0000300</t>
  </si>
  <si>
    <t>9-2-1101</t>
  </si>
  <si>
    <t>24652000000081685423</t>
  </si>
  <si>
    <t>0000103（韩林）
0000212（韩林）</t>
  </si>
  <si>
    <t>闫金秀（韩林）</t>
  </si>
  <si>
    <t>2022.7.17/10.31</t>
  </si>
  <si>
    <t>2023.5.27</t>
  </si>
  <si>
    <t>2023.11.9</t>
  </si>
  <si>
    <t>2023.11.19</t>
  </si>
  <si>
    <t>2023.11.20
2023.12.22</t>
  </si>
  <si>
    <t>13040528770</t>
  </si>
  <si>
    <t>652801199207070027</t>
  </si>
  <si>
    <t>王林培</t>
  </si>
  <si>
    <t>0000265</t>
  </si>
  <si>
    <t>9-2-1102</t>
  </si>
  <si>
    <t>24652000000068297177</t>
  </si>
  <si>
    <t>2023.3.21</t>
  </si>
  <si>
    <t>17309960707</t>
  </si>
  <si>
    <t>10-负1-101</t>
  </si>
  <si>
    <t>10-负1-102</t>
  </si>
  <si>
    <t>10-负1-103</t>
  </si>
  <si>
    <t>10-负1-104</t>
  </si>
  <si>
    <t>10-负1-105</t>
  </si>
  <si>
    <t>顾金明</t>
  </si>
  <si>
    <t>10-负1-201</t>
  </si>
  <si>
    <t>10-负1-202</t>
  </si>
  <si>
    <t>10-负1-203</t>
  </si>
  <si>
    <t>10-负1-204</t>
  </si>
  <si>
    <t>10-负1-205</t>
  </si>
  <si>
    <t>陈辉明</t>
  </si>
  <si>
    <t>10-负1-301</t>
  </si>
  <si>
    <t>热米拉·阿不都音</t>
  </si>
  <si>
    <t>10-负1-302</t>
  </si>
  <si>
    <t>王坤</t>
  </si>
  <si>
    <t>10-负1-303</t>
  </si>
  <si>
    <t>10-负1-304</t>
  </si>
  <si>
    <t>巴音查汗</t>
  </si>
  <si>
    <t>10-负1-305</t>
  </si>
  <si>
    <t>张灵霞</t>
  </si>
  <si>
    <t>10-负1-306</t>
  </si>
  <si>
    <t>10-负1-307</t>
  </si>
  <si>
    <t>张春波</t>
  </si>
  <si>
    <t>10-负1-308</t>
  </si>
  <si>
    <t>吴彦良</t>
  </si>
  <si>
    <t>10-负1-309</t>
  </si>
  <si>
    <t>10-负1-310</t>
  </si>
  <si>
    <t>652801197708111633</t>
  </si>
  <si>
    <t>徐铮</t>
  </si>
  <si>
    <t>0000269</t>
  </si>
  <si>
    <t>10-1-101</t>
  </si>
  <si>
    <t>24652000000081464909</t>
  </si>
  <si>
    <t>闫金秀（徐铮）
谷驷 退</t>
  </si>
  <si>
    <t>2022-7-13
2026.5.12</t>
  </si>
  <si>
    <t>2023.3.26</t>
  </si>
  <si>
    <t>2023.4.7</t>
  </si>
  <si>
    <t>15899012851</t>
  </si>
  <si>
    <t>652829197908180023</t>
  </si>
  <si>
    <t>马玉玲 退</t>
  </si>
  <si>
    <t>0000739</t>
  </si>
  <si>
    <t>10-1-102</t>
  </si>
  <si>
    <t>2024.10.9</t>
  </si>
  <si>
    <t>18095857776</t>
  </si>
  <si>
    <t>抵账杜717812.82</t>
  </si>
  <si>
    <t>422822198809032540</t>
  </si>
  <si>
    <t>姚璐</t>
  </si>
  <si>
    <t>10-1-201</t>
  </si>
  <si>
    <t>25652000000010422141</t>
  </si>
  <si>
    <t>652801197501211637</t>
  </si>
  <si>
    <t>赵大峰</t>
  </si>
  <si>
    <t>10-1-202</t>
  </si>
  <si>
    <t>24652000000081465633</t>
  </si>
  <si>
    <t>2023.6.3</t>
  </si>
  <si>
    <t>18699666980</t>
  </si>
  <si>
    <t>65420198906100074</t>
  </si>
  <si>
    <t>程乐</t>
  </si>
  <si>
    <t>0000238</t>
  </si>
  <si>
    <t>10-1-301</t>
  </si>
  <si>
    <t>24652000000080213307</t>
  </si>
  <si>
    <t>肖陶丽（程乐）</t>
  </si>
  <si>
    <t>2023.3.6</t>
  </si>
  <si>
    <t>2023.6.24</t>
  </si>
  <si>
    <t>2023.8.4</t>
  </si>
  <si>
    <t>2023.10.18</t>
  </si>
  <si>
    <t>19018311555</t>
  </si>
  <si>
    <t>511324200001032069</t>
  </si>
  <si>
    <t>邬佳欣</t>
  </si>
  <si>
    <t>0000297</t>
  </si>
  <si>
    <t>10-1-302</t>
  </si>
  <si>
    <t>24652000000081456168</t>
  </si>
  <si>
    <t>李秀莲（邬佳欣）</t>
  </si>
  <si>
    <t>2023.3.5</t>
  </si>
  <si>
    <t>2023.5.28</t>
  </si>
  <si>
    <t>13179962497</t>
  </si>
  <si>
    <t>65282319950322261X</t>
  </si>
  <si>
    <t>董斌</t>
  </si>
  <si>
    <t>0000034</t>
  </si>
  <si>
    <t>10-1-401</t>
  </si>
  <si>
    <t>24652000000081477305</t>
  </si>
  <si>
    <t>0000121（董斌）</t>
  </si>
  <si>
    <t>潘亦玹（董斌）</t>
  </si>
  <si>
    <t>2023.2.25</t>
  </si>
  <si>
    <t>2023.5.12</t>
  </si>
  <si>
    <t>17799507077</t>
  </si>
  <si>
    <t>62245198505047318</t>
  </si>
  <si>
    <t>冯虎军、张维萍</t>
  </si>
  <si>
    <t>0000048</t>
  </si>
  <si>
    <t>10-1-402</t>
  </si>
  <si>
    <t>24652000000081497799</t>
  </si>
  <si>
    <t>0000143（冯虎军）</t>
  </si>
  <si>
    <t>张楚轩（冯虎军）</t>
  </si>
  <si>
    <t>2023.6.2</t>
  </si>
  <si>
    <t>13779237584</t>
  </si>
  <si>
    <t>511321200412226432</t>
  </si>
  <si>
    <t>罗江涛</t>
  </si>
  <si>
    <t>10-1-501</t>
  </si>
  <si>
    <t>24652000000081468890</t>
  </si>
  <si>
    <t>18799820836</t>
  </si>
  <si>
    <t>620422199803062210</t>
  </si>
  <si>
    <t>吴健宏</t>
  </si>
  <si>
    <t>10-1-502</t>
  </si>
  <si>
    <t>24652000000081530455</t>
  </si>
  <si>
    <t>0000220（吴健宏）</t>
  </si>
  <si>
    <t>肖陶丽（吴健宏）</t>
  </si>
  <si>
    <t>2023.8.24</t>
  </si>
  <si>
    <t>17399905690</t>
  </si>
  <si>
    <t>622323199808155259</t>
  </si>
  <si>
    <t>闫金琪</t>
  </si>
  <si>
    <t>10-1-601</t>
  </si>
  <si>
    <t>24652000000081531035</t>
  </si>
  <si>
    <t>2023.2.22</t>
  </si>
  <si>
    <t>2023.4.24</t>
  </si>
  <si>
    <t>17693517252</t>
  </si>
  <si>
    <t>62230119980816857X</t>
  </si>
  <si>
    <t>常汉杰</t>
  </si>
  <si>
    <t>0000050</t>
  </si>
  <si>
    <t>10-1-602</t>
  </si>
  <si>
    <t>24652000000081511585</t>
  </si>
  <si>
    <t>0000108（常汉杰）</t>
  </si>
  <si>
    <t>李世平（常汉杰）</t>
  </si>
  <si>
    <t>18699311793</t>
  </si>
  <si>
    <t>65422320000802061X</t>
  </si>
  <si>
    <t>郭少杰</t>
  </si>
  <si>
    <t>0000052</t>
  </si>
  <si>
    <t>10-1-701</t>
  </si>
  <si>
    <t>24652000000081541944</t>
  </si>
  <si>
    <t>0000105（郭少杰）</t>
  </si>
  <si>
    <t>闫金秀（郭少杰）</t>
  </si>
  <si>
    <t>2023.4.1</t>
  </si>
  <si>
    <t>2023.7.19</t>
  </si>
  <si>
    <t>18209056881</t>
  </si>
  <si>
    <t>652201197601012114</t>
  </si>
  <si>
    <t>蒋海</t>
  </si>
  <si>
    <t>0000051</t>
  </si>
  <si>
    <t>10-1-702</t>
  </si>
  <si>
    <t>24652000000081532384</t>
  </si>
  <si>
    <t>0000077（蒋海）</t>
  </si>
  <si>
    <t>肖陶丽（蒋海）</t>
  </si>
  <si>
    <t>13899065535</t>
  </si>
  <si>
    <t>652829199405200319</t>
  </si>
  <si>
    <t>赵宝成</t>
  </si>
  <si>
    <t>10-1-801</t>
  </si>
  <si>
    <t>24652000000081533572</t>
  </si>
  <si>
    <t>15739857616</t>
  </si>
  <si>
    <t>652826197610011439</t>
  </si>
  <si>
    <t>马学礼</t>
  </si>
  <si>
    <t>0000053</t>
  </si>
  <si>
    <t>10-1-802</t>
  </si>
  <si>
    <t>24652000000081534312</t>
  </si>
  <si>
    <t>0000107（马学礼）</t>
  </si>
  <si>
    <t>单小龙（马学礼）</t>
  </si>
  <si>
    <t>13150267765</t>
  </si>
  <si>
    <t>510304197211016111</t>
  </si>
  <si>
    <t>黄腾、黄泽君、钟丽萍</t>
  </si>
  <si>
    <t>0000039</t>
  </si>
  <si>
    <t>10-1-901</t>
  </si>
  <si>
    <t>24652000000081535070</t>
  </si>
  <si>
    <t>黄泽军无会费单</t>
  </si>
  <si>
    <t>王荣（黄泽军）</t>
  </si>
  <si>
    <t>2023.2.27</t>
  </si>
  <si>
    <t>13565767548</t>
  </si>
  <si>
    <t>652828197010110815</t>
  </si>
  <si>
    <t>10-1-902</t>
  </si>
  <si>
    <t>24652000000081407994</t>
  </si>
  <si>
    <t>18196246995</t>
  </si>
  <si>
    <t>62272619970316079X</t>
  </si>
  <si>
    <t>谢彪</t>
  </si>
  <si>
    <t>10-1-1001</t>
  </si>
  <si>
    <t>24652000000081515544</t>
  </si>
  <si>
    <t>652826196503060046</t>
  </si>
  <si>
    <t>李晨辉、张国菊</t>
  </si>
  <si>
    <t>0000056</t>
  </si>
  <si>
    <t>10-1-1002</t>
  </si>
  <si>
    <t>24652000000080528964</t>
  </si>
  <si>
    <t>无会费单（张国菊）</t>
  </si>
  <si>
    <t>刘宁宁（张国菊）</t>
  </si>
  <si>
    <t>2023.3.27</t>
  </si>
  <si>
    <t>13899014992</t>
  </si>
  <si>
    <t>320321199405193618</t>
  </si>
  <si>
    <t>杨培誉、董辰辰</t>
  </si>
  <si>
    <t>0000245</t>
  </si>
  <si>
    <t>10-1-1101</t>
  </si>
  <si>
    <t>24652000000081554063</t>
  </si>
  <si>
    <t>0000011（杨培誉）</t>
  </si>
  <si>
    <t>闫金秀（杨培誉）</t>
  </si>
  <si>
    <t>17699478888</t>
  </si>
  <si>
    <t>652101197501170427</t>
  </si>
  <si>
    <t>王月</t>
  </si>
  <si>
    <t>0000267</t>
  </si>
  <si>
    <t>10-1-1102</t>
  </si>
  <si>
    <t>25652000000009524521</t>
  </si>
  <si>
    <t>2023.3.22</t>
  </si>
  <si>
    <t>2024.1.7</t>
  </si>
  <si>
    <t>13579009541</t>
  </si>
  <si>
    <t>马江燕、马利忠</t>
  </si>
  <si>
    <t>0000294</t>
  </si>
  <si>
    <t>10-2-101</t>
  </si>
  <si>
    <t>24652000000070541045</t>
  </si>
  <si>
    <t>2023.3.1</t>
  </si>
  <si>
    <t>2023.3.14</t>
  </si>
  <si>
    <t>18963853521</t>
  </si>
  <si>
    <t>622101198411181121</t>
  </si>
  <si>
    <t>刘娜、孙卓利</t>
  </si>
  <si>
    <t>0000284</t>
  </si>
  <si>
    <t>10-2-102</t>
  </si>
  <si>
    <t>24652000000070622673</t>
  </si>
  <si>
    <t>李世平（刘娜、孙卓利）</t>
  </si>
  <si>
    <t>2023.1.11</t>
  </si>
  <si>
    <t>18099593206</t>
  </si>
  <si>
    <t>654224200001060412</t>
  </si>
  <si>
    <t>蒋佳熹</t>
  </si>
  <si>
    <t>10-2-201</t>
  </si>
  <si>
    <t>24652000000070643435</t>
  </si>
  <si>
    <t>2023.8.7</t>
  </si>
  <si>
    <t>18509013662</t>
  </si>
  <si>
    <t>652824199601300016</t>
  </si>
  <si>
    <t>萨拉木·伊力</t>
  </si>
  <si>
    <t>0000336</t>
  </si>
  <si>
    <t>10-2-202</t>
  </si>
  <si>
    <t>24652000000070625202</t>
  </si>
  <si>
    <t>2023.8.21</t>
  </si>
  <si>
    <t>18599170959</t>
  </si>
  <si>
    <t>622223199212064617</t>
  </si>
  <si>
    <t>10-2-301</t>
  </si>
  <si>
    <t>24652000000070625893</t>
  </si>
  <si>
    <t>2023.8.17</t>
  </si>
  <si>
    <t>18139096223</t>
  </si>
  <si>
    <t>411425198806060970</t>
  </si>
  <si>
    <t>赵东雷、崔丽</t>
  </si>
  <si>
    <t>10-2-302</t>
  </si>
  <si>
    <t>24652000000070606434</t>
  </si>
  <si>
    <t>（赵东雷）</t>
  </si>
  <si>
    <t>15276469827</t>
  </si>
  <si>
    <t>650300196907235719</t>
  </si>
  <si>
    <t>逯顺全</t>
  </si>
  <si>
    <t>0000094</t>
  </si>
  <si>
    <t>10-2-401</t>
  </si>
  <si>
    <t>24652000000070637158</t>
  </si>
  <si>
    <t>0000109（逯顺全）</t>
  </si>
  <si>
    <t>李秀莲（逯顺全）</t>
  </si>
  <si>
    <t>2023.4.6</t>
  </si>
  <si>
    <t>18699670723</t>
  </si>
  <si>
    <t>654125199705115579</t>
  </si>
  <si>
    <t>0000292</t>
  </si>
  <si>
    <t>10-2-402</t>
  </si>
  <si>
    <t>24652000000070598027</t>
  </si>
  <si>
    <t>闫金秀（王坤）</t>
  </si>
  <si>
    <t>2023.4.21</t>
  </si>
  <si>
    <t>18299775321</t>
  </si>
  <si>
    <t>652827198810020947</t>
  </si>
  <si>
    <t>巴音查汗、乔龙</t>
  </si>
  <si>
    <t>0000243</t>
  </si>
  <si>
    <t>10-2-501</t>
  </si>
  <si>
    <t>24652000000070690294</t>
  </si>
  <si>
    <t>（巴音查汗）</t>
  </si>
  <si>
    <t>肖陶丽（巴音查汗）</t>
  </si>
  <si>
    <t>18139293355</t>
  </si>
  <si>
    <t>622426199208211119
622426199301021141</t>
  </si>
  <si>
    <t>刘彦平、孙芮</t>
  </si>
  <si>
    <t>10-2-502</t>
  </si>
  <si>
    <t>24652000000070661094</t>
  </si>
  <si>
    <t>0000152（孙芮）</t>
  </si>
  <si>
    <t>王荣（孙芮）</t>
  </si>
  <si>
    <t>2024.7.19</t>
  </si>
  <si>
    <t>17699687726</t>
  </si>
  <si>
    <t>622827199702182518</t>
  </si>
  <si>
    <t>0000096</t>
  </si>
  <si>
    <t>10-2-601</t>
  </si>
  <si>
    <t>24652000000070661438</t>
  </si>
  <si>
    <t>0000006（张春波）</t>
  </si>
  <si>
    <t>霍子涵（张春波）</t>
  </si>
  <si>
    <t>13919616442</t>
  </si>
  <si>
    <t>62242619940184812</t>
  </si>
  <si>
    <t>0000107</t>
  </si>
  <si>
    <t>10-2-602</t>
  </si>
  <si>
    <t>24652000000070701486</t>
  </si>
  <si>
    <t>0000005（吴彦良）</t>
  </si>
  <si>
    <t>霍子涵（吴彦良）</t>
  </si>
  <si>
    <t>13919256233</t>
  </si>
  <si>
    <t>622322199606201871</t>
  </si>
  <si>
    <t>薛维仓</t>
  </si>
  <si>
    <t>0000278</t>
  </si>
  <si>
    <t>10-2-701</t>
  </si>
  <si>
    <t>24652000000070652367</t>
  </si>
  <si>
    <t>2023.3.3</t>
  </si>
  <si>
    <t>18294148063</t>
  </si>
  <si>
    <t>652801198912021613</t>
  </si>
  <si>
    <t>职啸晨</t>
  </si>
  <si>
    <t>0000108</t>
  </si>
  <si>
    <t>10-2-702</t>
  </si>
  <si>
    <t>24652000000070672660</t>
  </si>
  <si>
    <t>0000044（职啸晨）</t>
  </si>
  <si>
    <t>霍子涵（职啸晨）</t>
  </si>
  <si>
    <t>13779340931</t>
  </si>
  <si>
    <t>632821199110181013</t>
  </si>
  <si>
    <t>王振兴</t>
  </si>
  <si>
    <t>0000098</t>
  </si>
  <si>
    <t>10-2-801</t>
  </si>
  <si>
    <t>24652000000070653331</t>
  </si>
  <si>
    <t>0000052（王振兴）</t>
  </si>
  <si>
    <t>赵帆（王振兴）</t>
  </si>
  <si>
    <t>2023.10.9</t>
  </si>
  <si>
    <t>18160288399</t>
  </si>
  <si>
    <t>62232219990303001X</t>
  </si>
  <si>
    <t>王诺</t>
  </si>
  <si>
    <t>0000109</t>
  </si>
  <si>
    <t>10-2-802</t>
  </si>
  <si>
    <t>24652000000070653679</t>
  </si>
  <si>
    <t>（王诺）</t>
  </si>
  <si>
    <t>连阵阵（王诺）</t>
  </si>
  <si>
    <t>2023.7.7</t>
  </si>
  <si>
    <t>18035145750</t>
  </si>
  <si>
    <t>652827199211063819</t>
  </si>
  <si>
    <t>蒋利军、何亚军</t>
  </si>
  <si>
    <t>0000272</t>
  </si>
  <si>
    <t>10-2-901</t>
  </si>
  <si>
    <t>24652000000070654255</t>
  </si>
  <si>
    <t>0000172（蒋利军）</t>
  </si>
  <si>
    <t>肖陶丽（蒋利军）</t>
  </si>
  <si>
    <t>2023.7.24</t>
  </si>
  <si>
    <t>2023.9.8</t>
  </si>
  <si>
    <t>18997618879</t>
  </si>
  <si>
    <t>620123198706117713</t>
  </si>
  <si>
    <t>孙燕黎</t>
  </si>
  <si>
    <t>0000110</t>
  </si>
  <si>
    <t>10-2-902</t>
  </si>
  <si>
    <t>24652000000070664490</t>
  </si>
  <si>
    <t>0000029（孙燕黎）</t>
  </si>
  <si>
    <t>米云鹤（孙燕黎）</t>
  </si>
  <si>
    <t>2023.3.23</t>
  </si>
  <si>
    <t>13899099315</t>
  </si>
  <si>
    <t>620522199611094475</t>
  </si>
  <si>
    <t>张辉军</t>
  </si>
  <si>
    <t>0000280</t>
  </si>
  <si>
    <t>10-2-1001</t>
  </si>
  <si>
    <t>24652000000070674772</t>
  </si>
  <si>
    <t>2023.5.25</t>
  </si>
  <si>
    <t>2023.7.14</t>
  </si>
  <si>
    <t>15276245115</t>
  </si>
  <si>
    <t>652801197004281683</t>
  </si>
  <si>
    <t>张灵霞、刘敬涛</t>
  </si>
  <si>
    <t>0000285</t>
  </si>
  <si>
    <t>10-2-1002</t>
  </si>
  <si>
    <t>24652000000070675105</t>
  </si>
  <si>
    <t>0000041（张灵霞）</t>
  </si>
  <si>
    <t>李世平（张灵霞）</t>
  </si>
  <si>
    <t>2023.4.16</t>
  </si>
  <si>
    <t>15276162615</t>
  </si>
  <si>
    <t>652801197511222225</t>
  </si>
  <si>
    <t>杜海燕、吴晓军</t>
  </si>
  <si>
    <t>0000101</t>
  </si>
  <si>
    <t>10-2-1101</t>
  </si>
  <si>
    <t>24652000000070675314</t>
  </si>
  <si>
    <t>0000045（杜海燕）</t>
  </si>
  <si>
    <t>闫金秀（杜海燕）</t>
  </si>
  <si>
    <t>18999011975</t>
  </si>
  <si>
    <t>65010719861220001X</t>
  </si>
  <si>
    <t>宋哲、李晨晖</t>
  </si>
  <si>
    <t>0000227</t>
  </si>
  <si>
    <t>10-2-1102</t>
  </si>
  <si>
    <t>24652000000070695476</t>
  </si>
  <si>
    <t>（宋哲）</t>
  </si>
  <si>
    <t>李秀莲（宋哲）</t>
  </si>
  <si>
    <t>2023.4.11</t>
  </si>
  <si>
    <t>2023.7.28</t>
  </si>
  <si>
    <t>13779688505</t>
  </si>
  <si>
    <t>13043019941102151X</t>
  </si>
  <si>
    <t>0000188</t>
  </si>
  <si>
    <t>10-3-101</t>
  </si>
  <si>
    <t>24652000000074228085</t>
  </si>
  <si>
    <t>（刘钦）</t>
  </si>
  <si>
    <t>潘亦玹（刘钦）</t>
  </si>
  <si>
    <t>2022-9-4
2022-8-31</t>
  </si>
  <si>
    <t>2023.8.18</t>
  </si>
  <si>
    <t>18139297355</t>
  </si>
  <si>
    <t>10-3-102</t>
  </si>
  <si>
    <t>652201197808182110</t>
  </si>
  <si>
    <t>郭天林</t>
  </si>
  <si>
    <t>0000189</t>
  </si>
  <si>
    <t>10-3-201</t>
  </si>
  <si>
    <t>24652000000074199414</t>
  </si>
  <si>
    <t>0000040（郭天林）</t>
  </si>
  <si>
    <t>闫金秀（郭天林）</t>
  </si>
  <si>
    <t>13345337374</t>
  </si>
  <si>
    <t>510921199508202810</t>
  </si>
  <si>
    <t>刘柯</t>
  </si>
  <si>
    <t>0000326</t>
  </si>
  <si>
    <t>10-3-202</t>
  </si>
  <si>
    <t>24652000000074260381</t>
  </si>
  <si>
    <t>王荣（刘柯）</t>
  </si>
  <si>
    <t>2023.5.15</t>
  </si>
  <si>
    <t>18099777654</t>
  </si>
  <si>
    <t>652325199808103617</t>
  </si>
  <si>
    <t>李义明</t>
  </si>
  <si>
    <t>0000190</t>
  </si>
  <si>
    <t>10-3-301</t>
  </si>
  <si>
    <t>24652000000074300517</t>
  </si>
  <si>
    <t>0000008（李义明）</t>
  </si>
  <si>
    <t>闫金秀（李义明）</t>
  </si>
  <si>
    <t>18742880081</t>
  </si>
  <si>
    <t>622723199008203832</t>
  </si>
  <si>
    <t xml:space="preserve">刘小刚、张彩娥
</t>
  </si>
  <si>
    <t>0000259</t>
  </si>
  <si>
    <t>10-3-302</t>
  </si>
  <si>
    <t>24652000000074271086</t>
  </si>
  <si>
    <t>刘小刚</t>
  </si>
  <si>
    <t>张玉琴（刘小刚）</t>
  </si>
  <si>
    <t>2023.3.16</t>
  </si>
  <si>
    <t>2023.4.22</t>
  </si>
  <si>
    <t>2023.9.4</t>
  </si>
  <si>
    <t>15999012343</t>
  </si>
  <si>
    <t>652801197710293720</t>
  </si>
  <si>
    <t>李佳芮、仝森</t>
  </si>
  <si>
    <t>0000191</t>
  </si>
  <si>
    <t>10-3-401</t>
  </si>
  <si>
    <t>24652000000074291315</t>
  </si>
  <si>
    <t>0000204（李佳芮）
0000219（李佳芮）</t>
  </si>
  <si>
    <t>张楚轩（李佳芮）</t>
  </si>
  <si>
    <t>15352769812</t>
  </si>
  <si>
    <t>652322199701103511</t>
  </si>
  <si>
    <t>穆亚东</t>
  </si>
  <si>
    <t>10-3-402</t>
  </si>
  <si>
    <t>24652000000074581656</t>
  </si>
  <si>
    <t>2023.9.18</t>
  </si>
  <si>
    <t>15559361663</t>
  </si>
  <si>
    <t>622201198904107814</t>
  </si>
  <si>
    <t>刘素涵</t>
  </si>
  <si>
    <t xml:space="preserve">
'0000192</t>
  </si>
  <si>
    <t>10-3-501</t>
  </si>
  <si>
    <t>24652000000074552510</t>
  </si>
  <si>
    <t xml:space="preserve">
0000031（王培山）</t>
  </si>
  <si>
    <t xml:space="preserve">
李秀莲（王培山）</t>
  </si>
  <si>
    <t>2023.11.10</t>
  </si>
  <si>
    <t>15099256534</t>
  </si>
  <si>
    <t>原王培山退房，还原点数1月未变</t>
  </si>
  <si>
    <t>622726199301081351</t>
  </si>
  <si>
    <t>邵鹏飞</t>
  </si>
  <si>
    <t>0000288</t>
  </si>
  <si>
    <t>10-3-502</t>
  </si>
  <si>
    <t>24652000000074553060</t>
  </si>
  <si>
    <t>2023.2.18</t>
  </si>
  <si>
    <t>2023.4.25</t>
  </si>
  <si>
    <t>2023.8.8</t>
  </si>
  <si>
    <t>17767684332</t>
  </si>
  <si>
    <t>622323198610063418</t>
  </si>
  <si>
    <t>闫鹏忠、张艳梅</t>
  </si>
  <si>
    <t>0000194</t>
  </si>
  <si>
    <t>10-3-601</t>
  </si>
  <si>
    <t>2465200000078176695</t>
  </si>
  <si>
    <t>0000017（闫鹏忠）</t>
  </si>
  <si>
    <t>赵帆（闫鹏忠）</t>
  </si>
  <si>
    <t>15099220163</t>
  </si>
  <si>
    <t>412721199908133</t>
  </si>
  <si>
    <t>张昊</t>
  </si>
  <si>
    <t>10-3-602</t>
  </si>
  <si>
    <t>24652000000081427351</t>
  </si>
  <si>
    <t>0000027（张昊）</t>
  </si>
  <si>
    <t>潘亦玹（张昊）</t>
  </si>
  <si>
    <t>15299352302</t>
  </si>
  <si>
    <t>652828199312020320</t>
  </si>
  <si>
    <t>王晓惠</t>
  </si>
  <si>
    <t>0000299</t>
  </si>
  <si>
    <t>10-3-701</t>
  </si>
  <si>
    <t>24652000000081428769</t>
  </si>
  <si>
    <t>0000038（王晓惠）</t>
  </si>
  <si>
    <t>潘亦玹（王晓惠）</t>
  </si>
  <si>
    <t>13199961656</t>
  </si>
  <si>
    <t>411424200209231376</t>
  </si>
  <si>
    <t>崔丽、陈士豪</t>
  </si>
  <si>
    <t>10-3-702</t>
  </si>
  <si>
    <t>24652000000081439467</t>
  </si>
  <si>
    <t>崔丽</t>
  </si>
  <si>
    <t>13999608599</t>
  </si>
  <si>
    <t>652801199607263418</t>
  </si>
  <si>
    <t>史锐</t>
  </si>
  <si>
    <t>10-3-801</t>
  </si>
  <si>
    <t>24652000000081439769</t>
  </si>
  <si>
    <t>（史锐）</t>
  </si>
  <si>
    <t>潘亦玹（史锐）</t>
  </si>
  <si>
    <t>17780315985</t>
  </si>
  <si>
    <t>622825199504060912</t>
  </si>
  <si>
    <t>彭立刚</t>
  </si>
  <si>
    <t>0000289</t>
  </si>
  <si>
    <t>10-3-802</t>
  </si>
  <si>
    <t>24652000000081460314</t>
  </si>
  <si>
    <t>2023.6.12</t>
  </si>
  <si>
    <t>13293158913</t>
  </si>
  <si>
    <t>652827199007230333</t>
  </si>
  <si>
    <t>杨龙、贾晏平、田东华</t>
  </si>
  <si>
    <t>0000197</t>
  </si>
  <si>
    <t>10-3-901</t>
  </si>
  <si>
    <t>24652000000081470675</t>
  </si>
  <si>
    <t>0000042-43（田东华、杨龙）</t>
  </si>
  <si>
    <t>李世平（田东华、杨龙）</t>
  </si>
  <si>
    <t>15899009478</t>
  </si>
  <si>
    <t>652801196612301614</t>
  </si>
  <si>
    <t>许德宏</t>
  </si>
  <si>
    <t>10-3-902</t>
  </si>
  <si>
    <t>24652000000081491305</t>
  </si>
  <si>
    <t>13899083100</t>
  </si>
  <si>
    <t>0000198</t>
  </si>
  <si>
    <t>10-3-1001</t>
  </si>
  <si>
    <t>24652000000081462352</t>
  </si>
  <si>
    <t>0000131（何文斌）</t>
  </si>
  <si>
    <t>霍红霞（何文斌）</t>
  </si>
  <si>
    <t>2023.6.5</t>
  </si>
  <si>
    <t>2023.7.12</t>
  </si>
  <si>
    <t>13150241703</t>
  </si>
  <si>
    <t>211321199710254291</t>
  </si>
  <si>
    <t>张明旭</t>
  </si>
  <si>
    <t>0000247</t>
  </si>
  <si>
    <t>10-3-1002</t>
  </si>
  <si>
    <t>24652000000081453093</t>
  </si>
  <si>
    <t>王荣（张明旭）</t>
  </si>
  <si>
    <t>2023.3.12</t>
  </si>
  <si>
    <t>16699500510</t>
  </si>
  <si>
    <t>650107198712280029</t>
  </si>
  <si>
    <t>李菲辉</t>
  </si>
  <si>
    <t>0000079</t>
  </si>
  <si>
    <t>10-3-1101</t>
  </si>
  <si>
    <t>24652000000082000200</t>
  </si>
  <si>
    <t>0000067（李菲辉）</t>
  </si>
  <si>
    <t>刘宁宁（李菲辉）</t>
  </si>
  <si>
    <t>15099266194</t>
  </si>
  <si>
    <t>650104198206090725</t>
  </si>
  <si>
    <t>热米拉·阿不都音
阿德里江·阿里甫</t>
  </si>
  <si>
    <t>0000246</t>
  </si>
  <si>
    <t>10-3-1102</t>
  </si>
  <si>
    <t>25652000000000376357</t>
  </si>
  <si>
    <t>热米拉·阿布都音</t>
  </si>
  <si>
    <t>2023.2.28</t>
  </si>
  <si>
    <t>2023.5.19</t>
  </si>
  <si>
    <t>13565008557</t>
  </si>
  <si>
    <t>11-负1-泡沫间</t>
  </si>
  <si>
    <t>11-负1-风机房</t>
  </si>
  <si>
    <t>11-负1-配电间</t>
  </si>
  <si>
    <t>没门</t>
  </si>
  <si>
    <t>11-负1-101</t>
  </si>
  <si>
    <t>何健康</t>
  </si>
  <si>
    <t>11-负1-102</t>
  </si>
  <si>
    <t>孟庆嫄</t>
  </si>
  <si>
    <t>11-负1-103</t>
  </si>
  <si>
    <t>11-负1-104</t>
  </si>
  <si>
    <t>11-负1-105</t>
  </si>
  <si>
    <t>11-负1-106</t>
  </si>
  <si>
    <t>11-负1-107</t>
  </si>
  <si>
    <t>王伟</t>
  </si>
  <si>
    <t>11-负1-201</t>
  </si>
  <si>
    <t>宋哲</t>
  </si>
  <si>
    <t>11-负1-202</t>
  </si>
  <si>
    <t>2025.5.16</t>
  </si>
  <si>
    <t>2025.5.21</t>
  </si>
  <si>
    <t>11-负1-203</t>
  </si>
  <si>
    <t>11-负1-204</t>
  </si>
  <si>
    <t>王恩博</t>
  </si>
  <si>
    <t>11-负1-205</t>
  </si>
  <si>
    <t>11-负1-206</t>
  </si>
  <si>
    <t>张珂柯</t>
  </si>
  <si>
    <t>11-负1-207</t>
  </si>
  <si>
    <t>需审批单，有问题</t>
  </si>
  <si>
    <t>2024.11.3</t>
  </si>
  <si>
    <t>暂不能提佣，未见价格批复单</t>
  </si>
  <si>
    <t>张旭凯</t>
  </si>
  <si>
    <t>11-负1-301</t>
  </si>
  <si>
    <t>2024.12.30</t>
  </si>
  <si>
    <t>11-负1-302</t>
  </si>
  <si>
    <t>周敬</t>
  </si>
  <si>
    <t>11-负1-303</t>
  </si>
  <si>
    <t>11-负1-304</t>
  </si>
  <si>
    <t>11-负1-305</t>
  </si>
  <si>
    <t>邢立春</t>
  </si>
  <si>
    <t>11-负1-306</t>
  </si>
  <si>
    <t>刘波</t>
  </si>
  <si>
    <t>11-负1-307</t>
  </si>
  <si>
    <t>周永亮</t>
  </si>
  <si>
    <t>11-负1-308</t>
  </si>
  <si>
    <t>2024.10.26</t>
  </si>
  <si>
    <t>20230001252</t>
  </si>
  <si>
    <t>652801199404281624</t>
  </si>
  <si>
    <t>周丹妮、郭耀文</t>
  </si>
  <si>
    <t>0000235</t>
  </si>
  <si>
    <t>11-1-101</t>
  </si>
  <si>
    <t>24652000000068278439</t>
  </si>
  <si>
    <t>0000150（周丹妮）</t>
  </si>
  <si>
    <t>潘亦玹（周丹妮）</t>
  </si>
  <si>
    <t>2023.4.13</t>
  </si>
  <si>
    <t>15509965332</t>
  </si>
  <si>
    <t>0000318</t>
  </si>
  <si>
    <t>11-1-102</t>
  </si>
  <si>
    <t>25652000000008780960</t>
  </si>
  <si>
    <t>张利玮</t>
  </si>
  <si>
    <t>13565086261</t>
  </si>
  <si>
    <t>20240000951</t>
  </si>
  <si>
    <t>652823199302110048</t>
  </si>
  <si>
    <t>韩茹楠（韩学勤）</t>
  </si>
  <si>
    <t>0000636</t>
  </si>
  <si>
    <t>11-1-201</t>
  </si>
  <si>
    <t>24652000000068279096</t>
  </si>
  <si>
    <t>刘宁宁</t>
  </si>
  <si>
    <t>2023.9.10</t>
  </si>
  <si>
    <t>2024.1.28</t>
  </si>
  <si>
    <t>2024.2.24</t>
  </si>
  <si>
    <t>15276255270</t>
  </si>
  <si>
    <t>20230010589</t>
  </si>
  <si>
    <t>滕先尧</t>
  </si>
  <si>
    <t>11-1-202</t>
  </si>
  <si>
    <t>24652000000068259700</t>
  </si>
  <si>
    <t>0000530</t>
  </si>
  <si>
    <t>2024.5.15</t>
  </si>
  <si>
    <t>20230005423</t>
  </si>
  <si>
    <t>659001199609064028</t>
  </si>
  <si>
    <t>赵焕君</t>
  </si>
  <si>
    <t>0000373</t>
  </si>
  <si>
    <t>11-1-301</t>
  </si>
  <si>
    <t>24652000000068309698</t>
  </si>
  <si>
    <t>17794893996</t>
  </si>
  <si>
    <t>20240000174</t>
  </si>
  <si>
    <t>370827199206291033</t>
  </si>
  <si>
    <t>王悬</t>
  </si>
  <si>
    <t>0000616</t>
  </si>
  <si>
    <t>11-1-302</t>
  </si>
  <si>
    <t>24652000000063863574</t>
  </si>
  <si>
    <t>（王悬）</t>
  </si>
  <si>
    <t>2023.12.2</t>
  </si>
  <si>
    <t>2024.1.8</t>
  </si>
  <si>
    <t>1500156388</t>
  </si>
  <si>
    <t>20230005291</t>
  </si>
  <si>
    <t>620523199710024349</t>
  </si>
  <si>
    <t>宋瑞鹏</t>
  </si>
  <si>
    <t>0000335</t>
  </si>
  <si>
    <t>11-1-401</t>
  </si>
  <si>
    <t>24652000000068340100</t>
  </si>
  <si>
    <t>17590029300</t>
  </si>
  <si>
    <t>20230005335</t>
  </si>
  <si>
    <t>652827196808240060</t>
  </si>
  <si>
    <t>虎春梅</t>
  </si>
  <si>
    <t>0000340</t>
  </si>
  <si>
    <t>11-1-402</t>
  </si>
  <si>
    <t>24652000000068320812</t>
  </si>
  <si>
    <t>2023.6.18</t>
  </si>
  <si>
    <t>15809967322</t>
  </si>
  <si>
    <t>20230004096</t>
  </si>
  <si>
    <t>652801198507240513</t>
  </si>
  <si>
    <t>关江涛</t>
  </si>
  <si>
    <t>11-1-501</t>
  </si>
  <si>
    <t>24652000000068331217</t>
  </si>
  <si>
    <t>林欢欢</t>
  </si>
  <si>
    <t>2023.5.13</t>
  </si>
  <si>
    <t>2023.7.18</t>
  </si>
  <si>
    <t>13279962308</t>
  </si>
  <si>
    <t>20230004446</t>
  </si>
  <si>
    <t>642221197608192625</t>
  </si>
  <si>
    <t>屈晓燕</t>
  </si>
  <si>
    <t>0000314</t>
  </si>
  <si>
    <t>11-1-502</t>
  </si>
  <si>
    <t>24652000000068361107</t>
  </si>
  <si>
    <t>2023.5.26</t>
  </si>
  <si>
    <t>18009965129</t>
  </si>
  <si>
    <t>20230006448</t>
  </si>
  <si>
    <t>652801200404235527</t>
  </si>
  <si>
    <t>0000329</t>
  </si>
  <si>
    <t>11-1-601</t>
  </si>
  <si>
    <t>24652000000068321921</t>
  </si>
  <si>
    <t>2023.4.2</t>
  </si>
  <si>
    <t>2023.5.2</t>
  </si>
  <si>
    <t>18963857487</t>
  </si>
  <si>
    <t>20230000696</t>
  </si>
  <si>
    <t>652827196306133628</t>
  </si>
  <si>
    <t>梅素芬、崔保新</t>
  </si>
  <si>
    <t>0000219</t>
  </si>
  <si>
    <t>11-1-602</t>
  </si>
  <si>
    <t>24652000000068332141</t>
  </si>
  <si>
    <t>（梅素芬）</t>
  </si>
  <si>
    <t>闫金秀（梅素芬）</t>
  </si>
  <si>
    <t>2023.5.14</t>
  </si>
  <si>
    <t>15999025128</t>
  </si>
  <si>
    <t>20230003682</t>
  </si>
  <si>
    <t>120224197402210336</t>
  </si>
  <si>
    <t>0000310</t>
  </si>
  <si>
    <t>11-1-701</t>
  </si>
  <si>
    <t>24652000000068342053</t>
  </si>
  <si>
    <t>2023.4.26</t>
  </si>
  <si>
    <t>18622101517</t>
  </si>
  <si>
    <t>20230005209</t>
  </si>
  <si>
    <t>652201199109171649</t>
  </si>
  <si>
    <t>0000374</t>
  </si>
  <si>
    <t>11-1-702</t>
  </si>
  <si>
    <t>24652000000068415462</t>
  </si>
  <si>
    <t>13335464320</t>
  </si>
  <si>
    <t>20230004524</t>
  </si>
  <si>
    <t>220182199907110016</t>
  </si>
  <si>
    <t>李炳润</t>
  </si>
  <si>
    <t>0000369</t>
  </si>
  <si>
    <t>11-1-801</t>
  </si>
  <si>
    <t>24652000000068425948</t>
  </si>
  <si>
    <t>2023.5.11</t>
  </si>
  <si>
    <t>2023.8.29</t>
  </si>
  <si>
    <t>13756821303</t>
  </si>
  <si>
    <t>20230004341</t>
  </si>
  <si>
    <t>65280119900824221X</t>
  </si>
  <si>
    <t>周勇</t>
  </si>
  <si>
    <t>0000333</t>
  </si>
  <si>
    <t>11-1-802</t>
  </si>
  <si>
    <t>24652000000068426513</t>
  </si>
  <si>
    <t>2023.5.23</t>
  </si>
  <si>
    <t>13999607673</t>
  </si>
  <si>
    <t>20230005714</t>
  </si>
  <si>
    <t>652823199202023713</t>
  </si>
  <si>
    <t>朱星恺</t>
  </si>
  <si>
    <t>0000347</t>
  </si>
  <si>
    <t>11-1-901</t>
  </si>
  <si>
    <t>24652000000068397841</t>
  </si>
  <si>
    <t>2023.7.2</t>
  </si>
  <si>
    <t>13565009165</t>
  </si>
  <si>
    <t>20230005006</t>
  </si>
  <si>
    <t>511325199409051117</t>
  </si>
  <si>
    <t>唐潇、李星2</t>
  </si>
  <si>
    <t>0000365</t>
  </si>
  <si>
    <t>11-1-902</t>
  </si>
  <si>
    <t>24652000000068418031</t>
  </si>
  <si>
    <t>赵帆</t>
  </si>
  <si>
    <t>2023.6.14</t>
  </si>
  <si>
    <t>18799985041</t>
  </si>
  <si>
    <t>20230007310</t>
  </si>
  <si>
    <t>620523199609051093</t>
  </si>
  <si>
    <t>王贵军</t>
  </si>
  <si>
    <t>11-1-1001</t>
  </si>
  <si>
    <t>24652000000068408847</t>
  </si>
  <si>
    <t>2023.8.27</t>
  </si>
  <si>
    <t>2023.11.30</t>
  </si>
  <si>
    <t>15809388951</t>
  </si>
  <si>
    <t>20230004259</t>
  </si>
  <si>
    <t>211022199704096573</t>
  </si>
  <si>
    <t>夏泽宝</t>
  </si>
  <si>
    <t>0000368</t>
  </si>
  <si>
    <t>11-1-1002</t>
  </si>
  <si>
    <t>24652000000068451252</t>
  </si>
  <si>
    <t>17710947630</t>
  </si>
  <si>
    <t>20230004417</t>
  </si>
  <si>
    <t>65012119920111002X</t>
  </si>
  <si>
    <t>徐琳</t>
  </si>
  <si>
    <t>0000337</t>
  </si>
  <si>
    <t>11-1-1101</t>
  </si>
  <si>
    <t>24652000000068451685</t>
  </si>
  <si>
    <t>13779631500</t>
  </si>
  <si>
    <t>20230008690</t>
  </si>
  <si>
    <t>220183199206265011</t>
  </si>
  <si>
    <t>杨东、梅红艳</t>
  </si>
  <si>
    <t>0000346</t>
  </si>
  <si>
    <t>11-1-1102</t>
  </si>
  <si>
    <t>24652000000068089193</t>
  </si>
  <si>
    <t>2023.11.8</t>
  </si>
  <si>
    <t>15292558151</t>
  </si>
  <si>
    <t>20230004718</t>
  </si>
  <si>
    <t>652801199509131622</t>
  </si>
  <si>
    <t>王继雯、揭弢（换房，重签合同）</t>
  </si>
  <si>
    <t>11-2-101</t>
  </si>
  <si>
    <t>24652000000061336980</t>
  </si>
  <si>
    <t>2023.6.4</t>
  </si>
  <si>
    <t>2023.11.24</t>
  </si>
  <si>
    <t>13639927971</t>
  </si>
  <si>
    <t>20240007387</t>
  </si>
  <si>
    <t>抵账杜929183</t>
  </si>
  <si>
    <t>毕鑫茹</t>
  </si>
  <si>
    <t>11-2-102</t>
  </si>
  <si>
    <t>24652000000080560790</t>
  </si>
  <si>
    <t>11-1-601周敬重复交印花，算到此房</t>
  </si>
  <si>
    <t>20260001120</t>
  </si>
  <si>
    <t>抵账杜634586</t>
  </si>
  <si>
    <t>652801199308301672</t>
  </si>
  <si>
    <t>潘俊良</t>
  </si>
  <si>
    <t>11-2-201</t>
  </si>
  <si>
    <t>26652000000213135691</t>
  </si>
  <si>
    <t>2026.4.24</t>
  </si>
  <si>
    <t>开票已申报</t>
  </si>
  <si>
    <t>抵账杜633876</t>
  </si>
  <si>
    <t>11-2-202</t>
  </si>
  <si>
    <t>20230004017</t>
  </si>
  <si>
    <t>652823199801290012</t>
  </si>
  <si>
    <t>闫昶升</t>
  </si>
  <si>
    <t>0000308</t>
  </si>
  <si>
    <t>11-2-301</t>
  </si>
  <si>
    <t>24652000000061337082</t>
  </si>
  <si>
    <t>2023.5.10</t>
  </si>
  <si>
    <t>13579037391</t>
  </si>
  <si>
    <t>20230006877</t>
  </si>
  <si>
    <t>41152819860723301X</t>
  </si>
  <si>
    <t>彭虎</t>
  </si>
  <si>
    <t>0000356</t>
  </si>
  <si>
    <t>11-2-302</t>
  </si>
  <si>
    <t>24652000000061327195</t>
  </si>
  <si>
    <t>2023.7.15</t>
  </si>
  <si>
    <t>19999466630</t>
  </si>
  <si>
    <t>20230003985</t>
  </si>
  <si>
    <t>652801196505101676</t>
  </si>
  <si>
    <t>赵红梅、王同义、王耀健</t>
  </si>
  <si>
    <t>0000312</t>
  </si>
  <si>
    <t>11-2-401</t>
  </si>
  <si>
    <t>24652000000061327373</t>
  </si>
  <si>
    <t>2023.5.9</t>
  </si>
  <si>
    <t>20230005181</t>
  </si>
  <si>
    <t>650104197702170738</t>
  </si>
  <si>
    <t>孟克巴图</t>
  </si>
  <si>
    <t>0000313</t>
  </si>
  <si>
    <t>11-2-402</t>
  </si>
  <si>
    <t>24652000000061317761</t>
  </si>
  <si>
    <t>20230003520</t>
  </si>
  <si>
    <t>211202199211141327</t>
  </si>
  <si>
    <t>代佳为</t>
  </si>
  <si>
    <t>0000305</t>
  </si>
  <si>
    <t>11-2-501</t>
  </si>
  <si>
    <t>24652000000061347174</t>
  </si>
  <si>
    <t>2023.4.19</t>
  </si>
  <si>
    <t>15898019119</t>
  </si>
  <si>
    <t>20230004181</t>
  </si>
  <si>
    <t>622225200006082118</t>
  </si>
  <si>
    <t>陈泓霖</t>
  </si>
  <si>
    <t>0000306</t>
  </si>
  <si>
    <t>11-2-502</t>
  </si>
  <si>
    <t>24652000000061308022</t>
  </si>
  <si>
    <t>18799852171</t>
  </si>
  <si>
    <t>652801198907071632</t>
  </si>
  <si>
    <t>0000236</t>
  </si>
  <si>
    <t>11-2-601</t>
  </si>
  <si>
    <t>24652000000061317932</t>
  </si>
  <si>
    <t>0000183（王恩博）</t>
  </si>
  <si>
    <t>赵帆（王恩博）</t>
  </si>
  <si>
    <t>2023.6.9</t>
  </si>
  <si>
    <t>2023.9.6</t>
  </si>
  <si>
    <t>15309963207</t>
  </si>
  <si>
    <t>20230001522</t>
  </si>
  <si>
    <t>65280119880325221X</t>
  </si>
  <si>
    <t>0000117</t>
  </si>
  <si>
    <t>11-2-602</t>
  </si>
  <si>
    <t>24652000000061318050</t>
  </si>
  <si>
    <t>0000100（何健康）</t>
  </si>
  <si>
    <t>李秀莲（何健康）</t>
  </si>
  <si>
    <t>2023.2.14</t>
  </si>
  <si>
    <t>13779655965</t>
  </si>
  <si>
    <t>20230004547</t>
  </si>
  <si>
    <t>652801197903285815</t>
  </si>
  <si>
    <t>韩修伟</t>
  </si>
  <si>
    <t>0000324</t>
  </si>
  <si>
    <t>11-2-701</t>
  </si>
  <si>
    <t>24652000000061328059</t>
  </si>
  <si>
    <t>13565030844</t>
  </si>
  <si>
    <t>20230005849</t>
  </si>
  <si>
    <t>654222198510013013</t>
  </si>
  <si>
    <t>骆泽东</t>
  </si>
  <si>
    <t>0000215</t>
  </si>
  <si>
    <t>11-2-702</t>
  </si>
  <si>
    <t>24652000000061348068</t>
  </si>
  <si>
    <t>0000117（骆泽东）</t>
  </si>
  <si>
    <t>闫金秀（骆泽东）</t>
  </si>
  <si>
    <t>18699685171</t>
  </si>
  <si>
    <t>20230003722</t>
  </si>
  <si>
    <t>652827199701741411</t>
  </si>
  <si>
    <t>周明亮</t>
  </si>
  <si>
    <t>0000316</t>
  </si>
  <si>
    <t>11-2-801</t>
  </si>
  <si>
    <t>24652000000061298830</t>
  </si>
  <si>
    <t>王玉慧</t>
  </si>
  <si>
    <t>19999177933</t>
  </si>
  <si>
    <t>20230005017</t>
  </si>
  <si>
    <t>659001198903145414</t>
  </si>
  <si>
    <t>0000315</t>
  </si>
  <si>
    <t>11-2-802</t>
  </si>
  <si>
    <t>24652000000061328550</t>
  </si>
  <si>
    <t>2023.6.11</t>
  </si>
  <si>
    <t>18099592600</t>
  </si>
  <si>
    <t>20230004087</t>
  </si>
  <si>
    <t>622201199109274538</t>
  </si>
  <si>
    <t>0000362</t>
  </si>
  <si>
    <t>11-2-901</t>
  </si>
  <si>
    <t>24652000000061338575</t>
  </si>
  <si>
    <t>2023.5.4</t>
  </si>
  <si>
    <t>18199968948</t>
  </si>
  <si>
    <t>202300004283</t>
  </si>
  <si>
    <t>62242119951204451X</t>
  </si>
  <si>
    <t>李星1</t>
  </si>
  <si>
    <t>0000364</t>
  </si>
  <si>
    <t>11-2-902</t>
  </si>
  <si>
    <t>24652000000061318812</t>
  </si>
  <si>
    <t>王荣（李星1）</t>
  </si>
  <si>
    <t>2023.5.5</t>
  </si>
  <si>
    <t>2023.5.20</t>
  </si>
  <si>
    <t>17614051630</t>
  </si>
  <si>
    <t>20230007299</t>
  </si>
  <si>
    <t>652801199806165538</t>
  </si>
  <si>
    <t>陈岩</t>
  </si>
  <si>
    <t>0000505</t>
  </si>
  <si>
    <t>11-2-1001</t>
  </si>
  <si>
    <t>24652000000061309080</t>
  </si>
  <si>
    <t>2023.8.26</t>
  </si>
  <si>
    <t>2023.11.3</t>
  </si>
  <si>
    <t>18129351020</t>
  </si>
  <si>
    <t>20230004513</t>
  </si>
  <si>
    <t>622323199912150036</t>
  </si>
  <si>
    <t>王亚鹏</t>
  </si>
  <si>
    <t>0000370</t>
  </si>
  <si>
    <t>11-2-1002</t>
  </si>
  <si>
    <t>24652000000061348493</t>
  </si>
  <si>
    <t>18509943784</t>
  </si>
  <si>
    <t>20230006280</t>
  </si>
  <si>
    <t>412724199703136915</t>
  </si>
  <si>
    <t>郑闯</t>
  </si>
  <si>
    <t>0000354</t>
  </si>
  <si>
    <t>11-2-1101</t>
  </si>
  <si>
    <t>24652000000068290715</t>
  </si>
  <si>
    <t>2023.9.26</t>
  </si>
  <si>
    <t>17609964818</t>
  </si>
  <si>
    <t>20240000167</t>
  </si>
  <si>
    <t>620423199705201025</t>
  </si>
  <si>
    <t>王亚莉、杨生新</t>
  </si>
  <si>
    <t>0001048</t>
  </si>
  <si>
    <t>11-2-1102</t>
  </si>
  <si>
    <t>2024000000068251982</t>
  </si>
  <si>
    <t>17793676336</t>
  </si>
  <si>
    <t>26652000000593348326</t>
  </si>
  <si>
    <t>2026-6-18</t>
  </si>
  <si>
    <t>20230003922</t>
  </si>
  <si>
    <t>652826197410010810</t>
  </si>
  <si>
    <t>杨春涛、刘丽</t>
  </si>
  <si>
    <t>11-3-102</t>
  </si>
  <si>
    <t>24652000000056554081</t>
  </si>
  <si>
    <t>18999611201</t>
  </si>
  <si>
    <t>抵账杜633166</t>
  </si>
  <si>
    <t>652801196806082253</t>
  </si>
  <si>
    <t>杨合礼</t>
  </si>
  <si>
    <t>11-3-201</t>
  </si>
  <si>
    <t>25652000000017882072</t>
  </si>
  <si>
    <t>13999610080</t>
  </si>
  <si>
    <t>20240002568</t>
  </si>
  <si>
    <t>622301200010029015</t>
  </si>
  <si>
    <t>鲁强</t>
  </si>
  <si>
    <t>0001096</t>
  </si>
  <si>
    <t>11-3-202</t>
  </si>
  <si>
    <t>24652000000056563437</t>
  </si>
  <si>
    <t>2024.6.7</t>
  </si>
  <si>
    <t>17590522436</t>
  </si>
  <si>
    <t>20230007781</t>
  </si>
  <si>
    <t>620522199907122711</t>
  </si>
  <si>
    <t>0000541</t>
  </si>
  <si>
    <t>11-3-301</t>
  </si>
  <si>
    <t>24652000000056564334</t>
  </si>
  <si>
    <t>2023.8.19</t>
  </si>
  <si>
    <t>17361605225</t>
  </si>
  <si>
    <t>20230007554</t>
  </si>
  <si>
    <t>62230199009131500</t>
  </si>
  <si>
    <t>马秀梅</t>
  </si>
  <si>
    <t>0000537</t>
  </si>
  <si>
    <t>11-3-302</t>
  </si>
  <si>
    <t>24652000000056604337</t>
  </si>
  <si>
    <t>2023.8.20</t>
  </si>
  <si>
    <t>2023.9.3</t>
  </si>
  <si>
    <t>18199579661</t>
  </si>
  <si>
    <t>20230005761</t>
  </si>
  <si>
    <t>652201199411191659</t>
  </si>
  <si>
    <t>汤庆辉</t>
  </si>
  <si>
    <t>0000344</t>
  </si>
  <si>
    <t>11-3-401</t>
  </si>
  <si>
    <t>24652000000056564995</t>
  </si>
  <si>
    <t>2023.6.27</t>
  </si>
  <si>
    <t>2023.8.25</t>
  </si>
  <si>
    <t>18299339404</t>
  </si>
  <si>
    <t>20230006455</t>
  </si>
  <si>
    <t>620321198801011536</t>
  </si>
  <si>
    <t>赵开业</t>
  </si>
  <si>
    <t>11-3-402</t>
  </si>
  <si>
    <t>24652000000056555298</t>
  </si>
  <si>
    <t>17590862099</t>
  </si>
  <si>
    <t>20230003794</t>
  </si>
  <si>
    <t>152630199909266019</t>
  </si>
  <si>
    <t>朱伟</t>
  </si>
  <si>
    <t>0000307</t>
  </si>
  <si>
    <t>11-3-501</t>
  </si>
  <si>
    <t>24652000000056575581</t>
  </si>
  <si>
    <t>2023.4.20</t>
  </si>
  <si>
    <t>15299373314</t>
  </si>
  <si>
    <t>20230006337</t>
  </si>
  <si>
    <t>341226198001025286</t>
  </si>
  <si>
    <t>姜芹</t>
  </si>
  <si>
    <t>0000357</t>
  </si>
  <si>
    <t>11-3-502</t>
  </si>
  <si>
    <t>24652000000056586978</t>
  </si>
  <si>
    <t>15559397712</t>
  </si>
  <si>
    <t>622421197310143510</t>
  </si>
  <si>
    <t>张浪</t>
  </si>
  <si>
    <t>0000328</t>
  </si>
  <si>
    <t>11-3-601</t>
  </si>
  <si>
    <t>24652000000056587310</t>
  </si>
  <si>
    <t>13629966041</t>
  </si>
  <si>
    <t>511202197710241359</t>
  </si>
  <si>
    <t>王洪林、唐仁红</t>
  </si>
  <si>
    <t>11-3-602</t>
  </si>
  <si>
    <t>24652000000056577733</t>
  </si>
  <si>
    <t>13565090539</t>
  </si>
  <si>
    <t>20230005214</t>
  </si>
  <si>
    <t>652801198808152226</t>
  </si>
  <si>
    <t>马蓉</t>
  </si>
  <si>
    <t>0000338</t>
  </si>
  <si>
    <t>11-3-701</t>
  </si>
  <si>
    <t>24652000000056557975</t>
  </si>
  <si>
    <t>赵帆、闫金秀</t>
  </si>
  <si>
    <t>19999760808</t>
  </si>
  <si>
    <t>510623199712285832</t>
  </si>
  <si>
    <t>肖俊</t>
  </si>
  <si>
    <t>0000348</t>
  </si>
  <si>
    <t>11-3-702</t>
  </si>
  <si>
    <t>24652000000056597913</t>
  </si>
  <si>
    <t>15999106653</t>
  </si>
  <si>
    <t>650104196706200733</t>
  </si>
  <si>
    <t>常新龙、朱颖华</t>
  </si>
  <si>
    <t>0000372</t>
  </si>
  <si>
    <t>11-3-801</t>
  </si>
  <si>
    <t>24652000000061335596</t>
  </si>
  <si>
    <t>2023.6.16</t>
  </si>
  <si>
    <t>13999601234</t>
  </si>
  <si>
    <t>65400119830129117X</t>
  </si>
  <si>
    <t>库来西·居买洪</t>
  </si>
  <si>
    <t>11-3-802</t>
  </si>
  <si>
    <t>24652000000061325828</t>
  </si>
  <si>
    <t>2023.6.26</t>
  </si>
  <si>
    <t>620525199008171033</t>
  </si>
  <si>
    <t>11-3-901</t>
  </si>
  <si>
    <t>24652000000061296322</t>
  </si>
  <si>
    <t>37082719971026101X</t>
  </si>
  <si>
    <t>刘帅、王星星</t>
  </si>
  <si>
    <t>0000350</t>
  </si>
  <si>
    <t>11-3-902</t>
  </si>
  <si>
    <t>24652000000061306454</t>
  </si>
  <si>
    <t>2023.7.9</t>
  </si>
  <si>
    <t>2023.8.10</t>
  </si>
  <si>
    <t>18149844416</t>
  </si>
  <si>
    <t>652826200904270019</t>
  </si>
  <si>
    <t>海书凯、海涛、马燕灵</t>
  </si>
  <si>
    <t>0000551</t>
  </si>
  <si>
    <t>11-3-1001</t>
  </si>
  <si>
    <t>24652000000061316401</t>
  </si>
  <si>
    <t>2023.9.9</t>
  </si>
  <si>
    <t>622301198910204317</t>
  </si>
  <si>
    <t>杨立文
何俊奎 退</t>
  </si>
  <si>
    <t>0000643</t>
  </si>
  <si>
    <t>11-3-1002</t>
  </si>
  <si>
    <t>24652000000061326428</t>
  </si>
  <si>
    <t xml:space="preserve">肖陶丽
</t>
  </si>
  <si>
    <t>13779234954</t>
  </si>
  <si>
    <t>652201199408051620</t>
  </si>
  <si>
    <t>郭婧</t>
  </si>
  <si>
    <t>0001049</t>
  </si>
  <si>
    <t>11-3-1101</t>
  </si>
  <si>
    <t>24652000000061296821</t>
  </si>
  <si>
    <t>2024.1.21</t>
  </si>
  <si>
    <t>13809901836</t>
  </si>
  <si>
    <t>230621198510260616</t>
  </si>
  <si>
    <t>王志国</t>
  </si>
  <si>
    <t>0000498</t>
  </si>
  <si>
    <t>11-3-1102</t>
  </si>
  <si>
    <t>24652000000061316737</t>
  </si>
  <si>
    <t>2023.8.16</t>
  </si>
  <si>
    <t>15199913615</t>
  </si>
  <si>
    <t>李代静</t>
  </si>
  <si>
    <t>12-负1-101</t>
  </si>
  <si>
    <t>12-负1-102</t>
  </si>
  <si>
    <t>无测绘</t>
  </si>
  <si>
    <t>12-负1-103</t>
  </si>
  <si>
    <t>12-负1-104</t>
  </si>
  <si>
    <t>12-负1-105</t>
  </si>
  <si>
    <t>陈洁茹</t>
  </si>
  <si>
    <t>12-负1-106</t>
  </si>
  <si>
    <t>2025.5.5</t>
  </si>
  <si>
    <t>李迎鹏</t>
  </si>
  <si>
    <t>12-负1-107</t>
  </si>
  <si>
    <t>王杰</t>
  </si>
  <si>
    <t>12-负1-108</t>
  </si>
  <si>
    <t>12-负1-201</t>
  </si>
  <si>
    <t>2024.9.27</t>
  </si>
  <si>
    <t>2024.11.21</t>
  </si>
  <si>
    <t>12-负1-202</t>
  </si>
  <si>
    <t>12-负1-203</t>
  </si>
  <si>
    <t>12-负1-204</t>
  </si>
  <si>
    <t>12-负1-205</t>
  </si>
  <si>
    <t>段金龙</t>
  </si>
  <si>
    <t>12-负1-206</t>
  </si>
  <si>
    <t>王玉萍</t>
  </si>
  <si>
    <t>12-负1-207</t>
  </si>
  <si>
    <t>张秦基</t>
  </si>
  <si>
    <t>12-负1-301</t>
  </si>
  <si>
    <t>12-负1-302</t>
  </si>
  <si>
    <t>江晨</t>
  </si>
  <si>
    <t>12-负1-303</t>
  </si>
  <si>
    <t>2024.10.20</t>
  </si>
  <si>
    <t>12-负1-304</t>
  </si>
  <si>
    <t>12-负1-305</t>
  </si>
  <si>
    <t>杨程清退</t>
  </si>
  <si>
    <t>12-负1-306</t>
  </si>
  <si>
    <t>刘红旗</t>
  </si>
  <si>
    <t>12-负1-307</t>
  </si>
  <si>
    <t>李芹</t>
  </si>
  <si>
    <t>12-负1-308</t>
  </si>
  <si>
    <t>抵账924242</t>
  </si>
  <si>
    <t>12-1-101</t>
  </si>
  <si>
    <t>抵账923957</t>
  </si>
  <si>
    <t>622623198202102656</t>
  </si>
  <si>
    <t>杨太红</t>
  </si>
  <si>
    <t>12-1-102</t>
  </si>
  <si>
    <t>25652000000015553039</t>
  </si>
  <si>
    <t>2024.10.22</t>
  </si>
  <si>
    <t>抵账 华汇638309</t>
  </si>
  <si>
    <t>41152719900316404X</t>
  </si>
  <si>
    <t>黄燕</t>
  </si>
  <si>
    <t>12-1-201</t>
  </si>
  <si>
    <t>2565200000013998450</t>
  </si>
  <si>
    <t>2025.3.17</t>
  </si>
  <si>
    <t>18509961677</t>
  </si>
  <si>
    <t>抵账 华汇638645</t>
  </si>
  <si>
    <t>65282919960602071X</t>
  </si>
  <si>
    <t>回志龙</t>
  </si>
  <si>
    <t>12-1-202</t>
  </si>
  <si>
    <t>24652000000080677985</t>
  </si>
  <si>
    <t>2024.12.26</t>
  </si>
  <si>
    <t>2025.1.15</t>
  </si>
  <si>
    <t>抵账沁644279</t>
  </si>
  <si>
    <t>652823199006202618</t>
  </si>
  <si>
    <t>郭星宇</t>
  </si>
  <si>
    <t>12-1-301</t>
  </si>
  <si>
    <t>25652000000026039057</t>
  </si>
  <si>
    <t>2025.4.28</t>
  </si>
  <si>
    <t>17767655515</t>
  </si>
  <si>
    <t>652823198609053817</t>
  </si>
  <si>
    <t>陈绩力、王喜妹</t>
  </si>
  <si>
    <t>0000147</t>
  </si>
  <si>
    <t>12-1-302</t>
  </si>
  <si>
    <t>24652000000056381004</t>
  </si>
  <si>
    <t>0000132（王喜妹）</t>
  </si>
  <si>
    <t>肖陶丽（王喜妹）</t>
  </si>
  <si>
    <t>2022.7.24
2022.7.30</t>
  </si>
  <si>
    <t>13579023077</t>
  </si>
  <si>
    <t>抵账刘品全647841</t>
  </si>
  <si>
    <t>652423195209092228</t>
  </si>
  <si>
    <t>马秀英</t>
  </si>
  <si>
    <t>12-1-401</t>
  </si>
  <si>
    <t>25652000000041860475</t>
  </si>
  <si>
    <t>15001599932</t>
  </si>
  <si>
    <t>抵账房 有车位</t>
  </si>
  <si>
    <t>已交（10月）</t>
  </si>
  <si>
    <t>623121199503070935</t>
  </si>
  <si>
    <t>麦麦提艾则孜·吾布力卡斯穆</t>
  </si>
  <si>
    <t>12-1-402</t>
  </si>
  <si>
    <t>24652000000056420882</t>
  </si>
  <si>
    <t>2023.12.7</t>
  </si>
  <si>
    <t>2023.12.19</t>
  </si>
  <si>
    <t>2024.2.6</t>
  </si>
  <si>
    <t>13079975219</t>
  </si>
  <si>
    <t>654223199810192915</t>
  </si>
  <si>
    <t>0000119</t>
  </si>
  <si>
    <t>12-1-501</t>
  </si>
  <si>
    <t>24652000000056371879</t>
  </si>
  <si>
    <t>0000217（王杰）</t>
  </si>
  <si>
    <t>潘亦玹（王杰）</t>
  </si>
  <si>
    <t>18690825109</t>
  </si>
  <si>
    <t>610424197304047210</t>
  </si>
  <si>
    <t>杨军科</t>
  </si>
  <si>
    <t>0000239</t>
  </si>
  <si>
    <t>12-1-502</t>
  </si>
  <si>
    <t>24652000000056382735</t>
  </si>
  <si>
    <t>13999621621</t>
  </si>
  <si>
    <t>623023199501160015</t>
  </si>
  <si>
    <t>杨生财</t>
  </si>
  <si>
    <t>0000264</t>
  </si>
  <si>
    <t>12-1-601</t>
  </si>
  <si>
    <t>24652000000056459241</t>
  </si>
  <si>
    <t>2023.4.3</t>
  </si>
  <si>
    <t>18199969722</t>
  </si>
  <si>
    <t>41132919991226383X</t>
  </si>
  <si>
    <t>夏黎明</t>
  </si>
  <si>
    <t>0000202</t>
  </si>
  <si>
    <t>12-1-602</t>
  </si>
  <si>
    <t>24652000000056459584</t>
  </si>
  <si>
    <t>（夏黎明）</t>
  </si>
  <si>
    <t>王世杰（夏黎明）</t>
  </si>
  <si>
    <t>2023.1.10</t>
  </si>
  <si>
    <t>17590023528</t>
  </si>
  <si>
    <t>622102199610166611</t>
  </si>
  <si>
    <t>12-1-701</t>
  </si>
  <si>
    <t>24652000000056469628</t>
  </si>
  <si>
    <t>0000114（李迎鹏）</t>
  </si>
  <si>
    <t>张玉琴（李迎鹏）</t>
  </si>
  <si>
    <t>2023.1.9</t>
  </si>
  <si>
    <t>17393190436</t>
  </si>
  <si>
    <t>65282719810926162X</t>
  </si>
  <si>
    <t>胡荣</t>
  </si>
  <si>
    <t>0000254</t>
  </si>
  <si>
    <t>12-1-702</t>
  </si>
  <si>
    <t>24652000000056490515</t>
  </si>
  <si>
    <t>林欢欢（胡荣）</t>
  </si>
  <si>
    <t>2023.3.13</t>
  </si>
  <si>
    <t>18997621573</t>
  </si>
  <si>
    <t>622425199510046015</t>
  </si>
  <si>
    <t>刘建疆</t>
  </si>
  <si>
    <t>0000263</t>
  </si>
  <si>
    <t>12-1-801</t>
  </si>
  <si>
    <t>24652000000056520317</t>
  </si>
  <si>
    <t>15099471899</t>
  </si>
  <si>
    <t>653125199706215810</t>
  </si>
  <si>
    <t>阿力木江·阿卜力米提</t>
  </si>
  <si>
    <t>12-1-802</t>
  </si>
  <si>
    <t>2023.3.17</t>
  </si>
  <si>
    <t>2024.1.22</t>
  </si>
  <si>
    <t>320321199211023119</t>
  </si>
  <si>
    <t>刘肖肖 张倩</t>
  </si>
  <si>
    <t>0000345</t>
  </si>
  <si>
    <t>12-1-901</t>
  </si>
  <si>
    <t>24652000000056531561</t>
  </si>
  <si>
    <t>2023.7.5</t>
  </si>
  <si>
    <t>2025.11.19</t>
  </si>
  <si>
    <t>17509963666</t>
  </si>
  <si>
    <t>612423199608255638</t>
  </si>
  <si>
    <t>0000262</t>
  </si>
  <si>
    <t>12-1-902</t>
  </si>
  <si>
    <t>24652000000056492489</t>
  </si>
  <si>
    <t>2023.3.19</t>
  </si>
  <si>
    <t>2026.4.8</t>
  </si>
  <si>
    <t>13899026497</t>
  </si>
  <si>
    <t>622301199906056336</t>
  </si>
  <si>
    <t>叶发贤</t>
  </si>
  <si>
    <t>0000632</t>
  </si>
  <si>
    <t>12-1-1001</t>
  </si>
  <si>
    <t>24652000000056532441</t>
  </si>
  <si>
    <t>2024.12.12</t>
  </si>
  <si>
    <t>17699942188
13899035111</t>
  </si>
  <si>
    <t>622301199809109512</t>
  </si>
  <si>
    <t>刘永杰</t>
  </si>
  <si>
    <t>0000553</t>
  </si>
  <si>
    <t>12-1-1002</t>
  </si>
  <si>
    <t>24652000000056522777</t>
  </si>
  <si>
    <t>2023.10.4</t>
  </si>
  <si>
    <t>15276177315</t>
  </si>
  <si>
    <t>20240000617</t>
  </si>
  <si>
    <t>511023199706121776</t>
  </si>
  <si>
    <t>罗益</t>
  </si>
  <si>
    <t>0000624</t>
  </si>
  <si>
    <t>12-1-1101</t>
  </si>
  <si>
    <t>24652000000056523161</t>
  </si>
  <si>
    <t>2024.3.18</t>
  </si>
  <si>
    <t>2024.6.4</t>
  </si>
  <si>
    <t>2025.2.5</t>
  </si>
  <si>
    <t>15099258463</t>
  </si>
  <si>
    <t>20240006231</t>
  </si>
  <si>
    <t>抵帐高802724</t>
  </si>
  <si>
    <t>13063719900112006X</t>
  </si>
  <si>
    <t>李美田</t>
  </si>
  <si>
    <t>12-1-1102</t>
  </si>
  <si>
    <t>7459.57抵账单价</t>
  </si>
  <si>
    <t>26652000000169298311</t>
  </si>
  <si>
    <t>20240003442</t>
  </si>
  <si>
    <t>320321198810281860</t>
  </si>
  <si>
    <t>张桂芝（1）</t>
  </si>
  <si>
    <t>0000353</t>
  </si>
  <si>
    <t>12-2-101</t>
  </si>
  <si>
    <t>24652000000056535152</t>
  </si>
  <si>
    <t>0000125（张桂芝）</t>
  </si>
  <si>
    <t>李秀莲（张桂芝）</t>
  </si>
  <si>
    <t>2023.10.28</t>
  </si>
  <si>
    <t>2024.6.2</t>
  </si>
  <si>
    <t>2024.7.26
2025.6.17</t>
  </si>
  <si>
    <t>15109968981</t>
  </si>
  <si>
    <t>抵账高924521</t>
  </si>
  <si>
    <t>512930196903115551</t>
  </si>
  <si>
    <t>陈自伟</t>
  </si>
  <si>
    <t>12-2-102</t>
  </si>
  <si>
    <t>25652000000018138975</t>
  </si>
  <si>
    <t>2024.12.3</t>
  </si>
  <si>
    <t>19999196628</t>
  </si>
  <si>
    <t>抵账639354 唐山通宝</t>
  </si>
  <si>
    <t>412702199701011045</t>
  </si>
  <si>
    <t>刘芳</t>
  </si>
  <si>
    <t>12-2-201</t>
  </si>
  <si>
    <t>25652000000009272413</t>
  </si>
  <si>
    <t>2025.1.11</t>
  </si>
  <si>
    <t>2025.2.21</t>
  </si>
  <si>
    <t>18099582213</t>
  </si>
  <si>
    <t>26652000000448100776</t>
  </si>
  <si>
    <t>2026.5.13</t>
  </si>
  <si>
    <t>652823196307160024</t>
  </si>
  <si>
    <t>12-2-301</t>
  </si>
  <si>
    <t>24652000000056535890</t>
  </si>
  <si>
    <t>2025.5.27</t>
  </si>
  <si>
    <t>13667521555</t>
  </si>
  <si>
    <t>20230002365</t>
  </si>
  <si>
    <t>652826197208180429</t>
  </si>
  <si>
    <t>文华、罗勇</t>
  </si>
  <si>
    <t>0000293</t>
  </si>
  <si>
    <t>12-2-302</t>
  </si>
  <si>
    <t>24652000000056526237</t>
  </si>
  <si>
    <t>文华</t>
  </si>
  <si>
    <t>林欢欢（文华）</t>
  </si>
  <si>
    <t>2025.4.16</t>
  </si>
  <si>
    <t>13899027936</t>
  </si>
  <si>
    <t>20230002673</t>
  </si>
  <si>
    <t>652827198904270314</t>
  </si>
  <si>
    <t>王博、张旭</t>
  </si>
  <si>
    <t>0000255</t>
  </si>
  <si>
    <t>12-2-401</t>
  </si>
  <si>
    <t>24652000000056507100</t>
  </si>
  <si>
    <t>王博</t>
  </si>
  <si>
    <t>闫金秀（王博）</t>
  </si>
  <si>
    <t>2023.9.20</t>
  </si>
  <si>
    <t>25.3.11</t>
  </si>
  <si>
    <t>16609961871</t>
  </si>
  <si>
    <t>612423197402281815</t>
  </si>
  <si>
    <t>万应林、卢玉梅</t>
  </si>
  <si>
    <t>0000115</t>
  </si>
  <si>
    <t>12-2-402</t>
  </si>
  <si>
    <t>24652000000056517411</t>
  </si>
  <si>
    <t>（万应林）</t>
  </si>
  <si>
    <t>王尔东（万应林）</t>
  </si>
  <si>
    <t>203.2.10</t>
  </si>
  <si>
    <t>19199167134</t>
  </si>
  <si>
    <t>20230001413</t>
  </si>
  <si>
    <t>622103198510063510</t>
  </si>
  <si>
    <t>哈红伟、李朝梅</t>
  </si>
  <si>
    <t>12-2-501</t>
  </si>
  <si>
    <t>24652000000056497763</t>
  </si>
  <si>
    <t>哈红伟</t>
  </si>
  <si>
    <t>13999600927</t>
  </si>
  <si>
    <t>20230000268</t>
  </si>
  <si>
    <t>622425199604032917</t>
  </si>
  <si>
    <t>车维兵</t>
  </si>
  <si>
    <t>0000175</t>
  </si>
  <si>
    <t>12-2-502</t>
  </si>
  <si>
    <t>24652000000056508125</t>
  </si>
  <si>
    <t>（车维兵）</t>
  </si>
  <si>
    <t>霍红霞（车维兵）</t>
  </si>
  <si>
    <t>2023.1.6</t>
  </si>
  <si>
    <t>2025.3.20</t>
  </si>
  <si>
    <t>15739357883</t>
  </si>
  <si>
    <t>20230001158</t>
  </si>
  <si>
    <t>653124199501234667
652827199106021617</t>
  </si>
  <si>
    <t>秦莉 伍星</t>
  </si>
  <si>
    <t>0000164</t>
  </si>
  <si>
    <t>12-2-601</t>
  </si>
  <si>
    <t>24652000000056498396</t>
  </si>
  <si>
    <t>0000016（伍星）</t>
  </si>
  <si>
    <t>林欢欢（伍星）闫金秀</t>
  </si>
  <si>
    <t>13899087851</t>
  </si>
  <si>
    <t>20230005071</t>
  </si>
  <si>
    <t>652801196601032236</t>
  </si>
  <si>
    <t>杨江山</t>
  </si>
  <si>
    <t>0000173</t>
  </si>
  <si>
    <t>12-2-602</t>
  </si>
  <si>
    <t>24652000000056518596</t>
  </si>
  <si>
    <t>0000004（杨江山）</t>
  </si>
  <si>
    <t>闫金秀（杨江山）</t>
  </si>
  <si>
    <t>2025.1.6</t>
  </si>
  <si>
    <t>13999020557</t>
  </si>
  <si>
    <t>630121199705042813</t>
  </si>
  <si>
    <t>吴文仓</t>
  </si>
  <si>
    <t>0000253</t>
  </si>
  <si>
    <t>12-2-701</t>
  </si>
  <si>
    <t>24652000000056538357</t>
  </si>
  <si>
    <t>王荣（吴文仓）</t>
  </si>
  <si>
    <t>2023.3.18</t>
  </si>
  <si>
    <t>18797305175</t>
  </si>
  <si>
    <t>652801197802171624</t>
  </si>
  <si>
    <t>赵亚敏、张进</t>
  </si>
  <si>
    <t>0000171</t>
  </si>
  <si>
    <t>12-2-702</t>
  </si>
  <si>
    <t>24652000000056499073</t>
  </si>
  <si>
    <t>（赵亚敏）</t>
  </si>
  <si>
    <t>张楚轩（赵亚敏）</t>
  </si>
  <si>
    <t>13629966788</t>
  </si>
  <si>
    <t>20230001285</t>
  </si>
  <si>
    <t>512821196402146804</t>
  </si>
  <si>
    <t>青小风、孟建清</t>
  </si>
  <si>
    <t>12-2-801</t>
  </si>
  <si>
    <t>24652000000056509665</t>
  </si>
  <si>
    <t>青小风</t>
  </si>
  <si>
    <t>2025.2.11</t>
  </si>
  <si>
    <t>13999022277</t>
  </si>
  <si>
    <t>20230001290</t>
  </si>
  <si>
    <t>652829198803100351</t>
  </si>
  <si>
    <t>赵宝征、孟雪娇</t>
  </si>
  <si>
    <t>12-2-802</t>
  </si>
  <si>
    <t>24652000000056519921</t>
  </si>
  <si>
    <t>赵宝征</t>
  </si>
  <si>
    <t>王荣（赵宝征）</t>
  </si>
  <si>
    <t>15001581113</t>
  </si>
  <si>
    <t>20230009869</t>
  </si>
  <si>
    <t>622722199804102411</t>
  </si>
  <si>
    <t>0000261</t>
  </si>
  <si>
    <t>12-2-901</t>
  </si>
  <si>
    <t>24652000000070550033</t>
  </si>
  <si>
    <t>林欢欢（段金龙）</t>
  </si>
  <si>
    <t>2023.11.23</t>
  </si>
  <si>
    <t>2025.6.20</t>
  </si>
  <si>
    <t>18083986582</t>
  </si>
  <si>
    <t>622424198708146117</t>
  </si>
  <si>
    <t>段军永、王燕</t>
  </si>
  <si>
    <t>0000252</t>
  </si>
  <si>
    <t>12-2-902</t>
  </si>
  <si>
    <t>24652000000056560446</t>
  </si>
  <si>
    <t>段军永</t>
  </si>
  <si>
    <t>王荣（段军永）</t>
  </si>
  <si>
    <t>18083988738</t>
  </si>
  <si>
    <t>622424198509275012</t>
  </si>
  <si>
    <t>胡启龙 李芹、</t>
  </si>
  <si>
    <t>0000172</t>
  </si>
  <si>
    <t>12-2-1001</t>
  </si>
  <si>
    <t>24652000000056580322</t>
  </si>
  <si>
    <t>0000222（李芹）</t>
  </si>
  <si>
    <t>张楚轩（李芹）</t>
  </si>
  <si>
    <t>2022.12.23</t>
  </si>
  <si>
    <t>18935749580</t>
  </si>
  <si>
    <t>20230007308</t>
  </si>
  <si>
    <t>620522197402020518</t>
  </si>
  <si>
    <t>孙彦丰、何元花</t>
  </si>
  <si>
    <t>0000547</t>
  </si>
  <si>
    <t>12-2-1002</t>
  </si>
  <si>
    <t>24652000000056551065</t>
  </si>
  <si>
    <t>2023.10.10</t>
  </si>
  <si>
    <t>13999023619</t>
  </si>
  <si>
    <t>20240002088</t>
  </si>
  <si>
    <t>622628199404162936</t>
  </si>
  <si>
    <t>林玉强</t>
  </si>
  <si>
    <t>0001088</t>
  </si>
  <si>
    <t>12-2-1101</t>
  </si>
  <si>
    <t>24652000000056571499</t>
  </si>
  <si>
    <t>2024.4.10</t>
  </si>
  <si>
    <t>13279826082</t>
  </si>
  <si>
    <t>20250000204</t>
  </si>
  <si>
    <t>抵账高798627</t>
  </si>
  <si>
    <t>320321201303040653</t>
  </si>
  <si>
    <t>高邵博</t>
  </si>
  <si>
    <t>12-2-1102</t>
  </si>
  <si>
    <t>25652000000003077473</t>
  </si>
  <si>
    <t>2024.7.18</t>
  </si>
  <si>
    <t>15899029658</t>
  </si>
  <si>
    <t>20240005087</t>
  </si>
  <si>
    <t>抵账巩红卫925697</t>
  </si>
  <si>
    <t>372925198609146957</t>
  </si>
  <si>
    <t>孙振广</t>
  </si>
  <si>
    <t>12-3-101</t>
  </si>
  <si>
    <t>24652000000065383428</t>
  </si>
  <si>
    <t>2024.11.1</t>
  </si>
  <si>
    <t>抵帐高沁930581</t>
  </si>
  <si>
    <t>12-3-102</t>
  </si>
  <si>
    <t>抵帐高画640776</t>
  </si>
  <si>
    <t>652828198410180323</t>
  </si>
  <si>
    <t>张荣荣</t>
  </si>
  <si>
    <t>12-3-201</t>
  </si>
  <si>
    <t>25652000000019564653</t>
  </si>
  <si>
    <t>2025.4.11</t>
  </si>
  <si>
    <t>2025.5.8</t>
  </si>
  <si>
    <t>13565097188</t>
  </si>
  <si>
    <t>抵帐高画642793</t>
  </si>
  <si>
    <t>12-3-202</t>
  </si>
  <si>
    <t>20230003182</t>
  </si>
  <si>
    <t>652801196512121130</t>
  </si>
  <si>
    <t>郭忠文、沈玉荣</t>
  </si>
  <si>
    <t>0000250</t>
  </si>
  <si>
    <t>12-3-301</t>
  </si>
  <si>
    <t>24652000000056073513</t>
  </si>
  <si>
    <t>郭忠文</t>
  </si>
  <si>
    <t>霍红霞（郭忠文）</t>
  </si>
  <si>
    <t>2023.4.8</t>
  </si>
  <si>
    <t>18083980593</t>
  </si>
  <si>
    <t>20230004128</t>
  </si>
  <si>
    <t>652827199611291634</t>
  </si>
  <si>
    <t>梁小龙</t>
  </si>
  <si>
    <t>0000270</t>
  </si>
  <si>
    <t>12-3-302</t>
  </si>
  <si>
    <t>24652000000056054562</t>
  </si>
  <si>
    <t>2025.5.15</t>
  </si>
  <si>
    <t>18160271692</t>
  </si>
  <si>
    <t>20230002121</t>
  </si>
  <si>
    <t>652801198612181623</t>
  </si>
  <si>
    <t>侯珍珍</t>
  </si>
  <si>
    <t>0000295</t>
  </si>
  <si>
    <t>12-3-401</t>
  </si>
  <si>
    <t>24652000000056074696</t>
  </si>
  <si>
    <t>张楚轩（侯珍珍）</t>
  </si>
  <si>
    <t>18509965720</t>
  </si>
  <si>
    <t>20230003599</t>
  </si>
  <si>
    <t>622323198904177218</t>
  </si>
  <si>
    <t>胡兆祥 袁承华</t>
  </si>
  <si>
    <t>0000304</t>
  </si>
  <si>
    <t>12-3-402</t>
  </si>
  <si>
    <t>24652000000056095085</t>
  </si>
  <si>
    <t>18963881720</t>
  </si>
  <si>
    <t>20230000872</t>
  </si>
  <si>
    <t>652201195901011122</t>
  </si>
  <si>
    <t>王香梅 刘红旗、</t>
  </si>
  <si>
    <t>0000127</t>
  </si>
  <si>
    <t>12-3-501</t>
  </si>
  <si>
    <t>24652000000056066018</t>
  </si>
  <si>
    <t>0000120（刘红旗）</t>
  </si>
  <si>
    <t>米云鹤（刘红旗）</t>
  </si>
  <si>
    <t>15999022995</t>
  </si>
  <si>
    <t>20230000185</t>
  </si>
  <si>
    <t>622827199510115142</t>
  </si>
  <si>
    <t>郭倩</t>
  </si>
  <si>
    <t>0000139</t>
  </si>
  <si>
    <t>12-3-502</t>
  </si>
  <si>
    <t>24652000000056086024</t>
  </si>
  <si>
    <t>0000096（郭倩）</t>
  </si>
  <si>
    <t>吴文强（郭倩）</t>
  </si>
  <si>
    <t>2023.1.8</t>
  </si>
  <si>
    <t>15276171316</t>
  </si>
  <si>
    <t>20230002459</t>
  </si>
  <si>
    <t>654124199911252236</t>
  </si>
  <si>
    <t>龙雪峰</t>
  </si>
  <si>
    <t>0000128</t>
  </si>
  <si>
    <t>12-3-601</t>
  </si>
  <si>
    <t>24652000000056076385</t>
  </si>
  <si>
    <t>0000140（龙雪峰）</t>
  </si>
  <si>
    <t>王士杰（龙雪峰）</t>
  </si>
  <si>
    <t>17699688144</t>
  </si>
  <si>
    <t>20230001169</t>
  </si>
  <si>
    <t>652827198912023225</t>
  </si>
  <si>
    <t>杨程清、王群杰、张淑红</t>
  </si>
  <si>
    <t>12-3-602</t>
  </si>
  <si>
    <t>24652000000056106480</t>
  </si>
  <si>
    <t>0000223（张淑红）</t>
  </si>
  <si>
    <t>赵江龙（张淑红）</t>
  </si>
  <si>
    <t>2025.3.7</t>
  </si>
  <si>
    <t>18997622029</t>
  </si>
  <si>
    <t>20230001049</t>
  </si>
  <si>
    <t>620103198203152642</t>
  </si>
  <si>
    <t>李萍</t>
  </si>
  <si>
    <t>0000129</t>
  </si>
  <si>
    <t>12-3-701</t>
  </si>
  <si>
    <t>24652000000056107071</t>
  </si>
  <si>
    <t>0000055（李萍）</t>
  </si>
  <si>
    <t>霍子涵（李萍）</t>
  </si>
  <si>
    <t>2022.7.10</t>
  </si>
  <si>
    <t>13565093886</t>
  </si>
  <si>
    <t>20230001138</t>
  </si>
  <si>
    <t>0000143</t>
  </si>
  <si>
    <t>12-3-702</t>
  </si>
  <si>
    <t>24652000000056107371</t>
  </si>
  <si>
    <t>0000033（刘俊平）</t>
  </si>
  <si>
    <t>单小龙（刘俊平）</t>
  </si>
  <si>
    <t>2025.4.7</t>
  </si>
  <si>
    <t>14799095699</t>
  </si>
  <si>
    <t>20230004441</t>
  </si>
  <si>
    <t>652801199206151116</t>
  </si>
  <si>
    <t>郭振超</t>
  </si>
  <si>
    <t>0000251</t>
  </si>
  <si>
    <t>12-3-801</t>
  </si>
  <si>
    <t>24652000000056107646</t>
  </si>
  <si>
    <t>霍红霞（郭振超）</t>
  </si>
  <si>
    <t>18509964615</t>
  </si>
  <si>
    <t>20230001297</t>
  </si>
  <si>
    <t>410726200011156612</t>
  </si>
  <si>
    <t>赵嘉豪</t>
  </si>
  <si>
    <t>0000140</t>
  </si>
  <si>
    <t>12-3-802</t>
  </si>
  <si>
    <t>24652000000056356480</t>
  </si>
  <si>
    <t>0000092（赵嘉豪）</t>
  </si>
  <si>
    <t>肖陶丽（赵嘉豪）</t>
  </si>
  <si>
    <t>2025.5.12</t>
  </si>
  <si>
    <t>15199928441</t>
  </si>
  <si>
    <t>20230002799</t>
  </si>
  <si>
    <t>140322199607202415</t>
  </si>
  <si>
    <t>0000260</t>
  </si>
  <si>
    <t>12-3-901</t>
  </si>
  <si>
    <t>24652000000056346866</t>
  </si>
  <si>
    <t>2023.9.21</t>
  </si>
  <si>
    <t>2025.4.9</t>
  </si>
  <si>
    <t>17635781763</t>
  </si>
  <si>
    <t>20230004014</t>
  </si>
  <si>
    <t>652827199209162914</t>
  </si>
  <si>
    <t>江晨（程秀芬）</t>
  </si>
  <si>
    <t>0000248</t>
  </si>
  <si>
    <t>12-3-902</t>
  </si>
  <si>
    <t>24652000000056338156</t>
  </si>
  <si>
    <t>程秀芬</t>
  </si>
  <si>
    <t>赵帆（程秀芬）</t>
  </si>
  <si>
    <t>19199237043</t>
  </si>
  <si>
    <t>20230007654</t>
  </si>
  <si>
    <t>622323199406024416</t>
  </si>
  <si>
    <t>李金文</t>
  </si>
  <si>
    <t>12-3-1001</t>
  </si>
  <si>
    <t>24652000000056368225</t>
  </si>
  <si>
    <t>2023.8.9</t>
  </si>
  <si>
    <t>20230007570</t>
  </si>
  <si>
    <t>62232319980725081X</t>
  </si>
  <si>
    <t>张向乾</t>
  </si>
  <si>
    <t>0000550</t>
  </si>
  <si>
    <t>12-3-1002</t>
  </si>
  <si>
    <t>24652000000056349168</t>
  </si>
  <si>
    <t>15099035848</t>
  </si>
  <si>
    <t>20240004980</t>
  </si>
  <si>
    <t>650204198609021228</t>
  </si>
  <si>
    <t>0000908</t>
  </si>
  <si>
    <t>12-3-1101</t>
  </si>
  <si>
    <t>24652000000055978428</t>
  </si>
  <si>
    <t>13689980669</t>
  </si>
  <si>
    <t>20230010301</t>
  </si>
  <si>
    <t>652801196902105048</t>
  </si>
  <si>
    <t>陈爱春
李桂文</t>
  </si>
  <si>
    <t>0000268</t>
  </si>
  <si>
    <t>12-3-1102</t>
  </si>
  <si>
    <t>24652000000056359511</t>
  </si>
  <si>
    <t xml:space="preserve">
0000018（李桂文）</t>
  </si>
  <si>
    <t>米云鹤（陈爱春）
霍子涵（李桂文）</t>
  </si>
  <si>
    <t>2023.12.3</t>
  </si>
  <si>
    <t>18109967100</t>
  </si>
  <si>
    <t>144以下</t>
  </si>
  <si>
    <t>储藏间定金</t>
  </si>
  <si>
    <t>总建筑面积</t>
  </si>
  <si>
    <t>其中</t>
  </si>
  <si>
    <t>红色字为已备案</t>
  </si>
  <si>
    <t>住宅</t>
  </si>
  <si>
    <t>非住宅</t>
  </si>
  <si>
    <t>公用面积</t>
  </si>
  <si>
    <t>阳台面积</t>
  </si>
  <si>
    <t>9#楼</t>
  </si>
  <si>
    <t>10#楼</t>
  </si>
  <si>
    <t>11#楼</t>
  </si>
  <si>
    <t>12#楼</t>
  </si>
  <si>
    <t xml:space="preserve">             1#-5#/7#楼住宅销售明细表 </t>
  </si>
  <si>
    <t>支付套奖2023.3月</t>
  </si>
  <si>
    <t>支付套奖2023.4月</t>
  </si>
  <si>
    <t>支付套奖2023.5月</t>
  </si>
  <si>
    <t>支付套奖2023.6月</t>
  </si>
  <si>
    <t>支付套奖2023.7月</t>
  </si>
  <si>
    <t>支付套奖2023.8月</t>
  </si>
  <si>
    <t>支付套奖及转定2023.9月</t>
  </si>
  <si>
    <t>支付套奖及转定2023.10月</t>
  </si>
  <si>
    <t>8月佣金</t>
  </si>
  <si>
    <t>9月佣金</t>
  </si>
  <si>
    <t>10月佣金</t>
  </si>
  <si>
    <t>11月佣金</t>
  </si>
  <si>
    <t>12月佣金</t>
  </si>
  <si>
    <t>2024.1月佣金</t>
  </si>
  <si>
    <t>2024.2月佣金</t>
  </si>
  <si>
    <t>2024.3月佣金</t>
  </si>
  <si>
    <t>2024.4月佣金</t>
  </si>
  <si>
    <t>2024.5月佣金</t>
  </si>
  <si>
    <t>2024.6月佣金</t>
  </si>
  <si>
    <t>2024.7月佣金</t>
  </si>
  <si>
    <t>2024.8月佣金</t>
  </si>
  <si>
    <t>2025.1月</t>
  </si>
  <si>
    <t>2025.2月</t>
  </si>
  <si>
    <t>2025.3月</t>
  </si>
  <si>
    <t>2025.4月佣金</t>
  </si>
  <si>
    <t>2025.5月佣金</t>
  </si>
  <si>
    <t>2025.6月佣金</t>
  </si>
  <si>
    <t>2025.7月佣金</t>
  </si>
  <si>
    <t>2025.8月</t>
  </si>
  <si>
    <t>2025.9月</t>
  </si>
  <si>
    <t>2025.10月</t>
  </si>
  <si>
    <t>2025.11月</t>
  </si>
  <si>
    <t>2025.12月</t>
  </si>
  <si>
    <t>2026.1月</t>
  </si>
  <si>
    <t>2026.2月</t>
  </si>
  <si>
    <t>2026.3月</t>
  </si>
  <si>
    <t>1-负1-人防工程</t>
  </si>
  <si>
    <t>衡俊安、邢雨轩</t>
  </si>
  <si>
    <t>1-负1-101</t>
  </si>
  <si>
    <t>2025.7.20</t>
  </si>
  <si>
    <t>1-负1-102</t>
  </si>
  <si>
    <t>1-负1-103</t>
  </si>
  <si>
    <t>无价</t>
  </si>
  <si>
    <t>1-负1-104</t>
  </si>
  <si>
    <t>1-负1-105</t>
  </si>
  <si>
    <t>李红映</t>
  </si>
  <si>
    <t>1-负1-106</t>
  </si>
  <si>
    <t>2025.6.2</t>
  </si>
  <si>
    <t>1-负1-201</t>
  </si>
  <si>
    <t>1-负1-202</t>
  </si>
  <si>
    <t>1-负1-203</t>
  </si>
  <si>
    <t>1-负1-204</t>
  </si>
  <si>
    <t>李亮</t>
  </si>
  <si>
    <t>1-负1-205</t>
  </si>
  <si>
    <t>2025.4.29</t>
  </si>
  <si>
    <t>张高红</t>
  </si>
  <si>
    <t>1-负1-206</t>
  </si>
  <si>
    <t>2025.4.24</t>
  </si>
  <si>
    <t>1-负1-301</t>
  </si>
  <si>
    <t>1-负1-302</t>
  </si>
  <si>
    <t>1-负1-303</t>
  </si>
  <si>
    <t>1-1-101</t>
  </si>
  <si>
    <t>500225198309096227</t>
  </si>
  <si>
    <t>邢冬梅</t>
  </si>
  <si>
    <t>0000702</t>
  </si>
  <si>
    <t>1-1-102</t>
  </si>
  <si>
    <t>25652000000044240590</t>
  </si>
  <si>
    <t>2025.4.26</t>
  </si>
  <si>
    <t>抵账718477</t>
  </si>
  <si>
    <t>652827198705273213</t>
  </si>
  <si>
    <t>孙琛皓 李彬（抵账）</t>
  </si>
  <si>
    <t>1-1-201</t>
  </si>
  <si>
    <t>26652000000010250041</t>
  </si>
  <si>
    <t>已交（12月）</t>
  </si>
  <si>
    <t>654223199807203433</t>
  </si>
  <si>
    <t>孙乾</t>
  </si>
  <si>
    <t>0000909</t>
  </si>
  <si>
    <t>1-1-202</t>
  </si>
  <si>
    <t>25652000000044142293</t>
  </si>
  <si>
    <t>2024.11.11</t>
  </si>
  <si>
    <t>2024.12.9</t>
  </si>
  <si>
    <t>无车位无礼品</t>
  </si>
  <si>
    <t>410225199811126113</t>
  </si>
  <si>
    <t>张欣</t>
  </si>
  <si>
    <t>0000700</t>
  </si>
  <si>
    <t>1-1-301</t>
  </si>
  <si>
    <t>25652000000044142667</t>
  </si>
  <si>
    <t>2024.6.10</t>
  </si>
  <si>
    <t>2024.7.10</t>
  </si>
  <si>
    <t>2024.8.2</t>
  </si>
  <si>
    <t>2025.6.16</t>
  </si>
  <si>
    <t>652829200302271013</t>
  </si>
  <si>
    <t>杜逸心</t>
  </si>
  <si>
    <t>0001012</t>
  </si>
  <si>
    <t>1-1-302</t>
  </si>
  <si>
    <t>25652000000044202082</t>
  </si>
  <si>
    <t>2024.12.1</t>
  </si>
  <si>
    <t>2024.12.27</t>
  </si>
  <si>
    <t>2025.4.27</t>
  </si>
  <si>
    <t>有车位</t>
  </si>
  <si>
    <t>652829199511030317</t>
  </si>
  <si>
    <t>宋昌瑾</t>
  </si>
  <si>
    <t>1-1-401</t>
  </si>
  <si>
    <t>25652000000044222163</t>
  </si>
  <si>
    <t>2025.3.10</t>
  </si>
  <si>
    <t>有车位3年物业费</t>
  </si>
  <si>
    <t>150921199605012739</t>
  </si>
  <si>
    <t>贾磊</t>
  </si>
  <si>
    <t>0000989</t>
  </si>
  <si>
    <t>1-1-402</t>
  </si>
  <si>
    <t>25652000000044202698</t>
  </si>
  <si>
    <t>2025.1.8</t>
  </si>
  <si>
    <t>2025.1.22</t>
  </si>
  <si>
    <t>2025.3.3</t>
  </si>
  <si>
    <t>622301200012132817</t>
  </si>
  <si>
    <t>张龙年</t>
  </si>
  <si>
    <t>0000957</t>
  </si>
  <si>
    <t>1-1-501</t>
  </si>
  <si>
    <t>25652000000044143729</t>
  </si>
  <si>
    <t>2024.8.18</t>
  </si>
  <si>
    <t>无车位送3年物业费</t>
  </si>
  <si>
    <t>65230219990909281X</t>
  </si>
  <si>
    <t>吴志杰</t>
  </si>
  <si>
    <t>1-1-502</t>
  </si>
  <si>
    <t>25652000000044272128</t>
  </si>
  <si>
    <t>2025.1.20</t>
  </si>
  <si>
    <t>652823199604252623</t>
  </si>
  <si>
    <t>熊鑫</t>
  </si>
  <si>
    <t>0001018</t>
  </si>
  <si>
    <t>1-1-601</t>
  </si>
  <si>
    <t>25652000000044219032</t>
  </si>
  <si>
    <t>2025.2.10</t>
  </si>
  <si>
    <t>2025.2.15</t>
  </si>
  <si>
    <t>411327199707112028</t>
  </si>
  <si>
    <t>李莹 石建基</t>
  </si>
  <si>
    <t>0000899</t>
  </si>
  <si>
    <t>1-1-602</t>
  </si>
  <si>
    <t>25652000000044159791</t>
  </si>
  <si>
    <t>0000546</t>
  </si>
  <si>
    <t>2024.1.5</t>
  </si>
  <si>
    <t>2024.6.9</t>
  </si>
  <si>
    <t>2025.2.19</t>
  </si>
  <si>
    <t>652824199605141112</t>
  </si>
  <si>
    <t>高旭</t>
  </si>
  <si>
    <t>1-1-701</t>
  </si>
  <si>
    <t>25652000000044199518</t>
  </si>
  <si>
    <t>2025.1.5</t>
  </si>
  <si>
    <t>不要车位送2年物业费</t>
  </si>
  <si>
    <t>51132519970624242X</t>
  </si>
  <si>
    <t>邓丽萍</t>
  </si>
  <si>
    <t>0000576</t>
  </si>
  <si>
    <t>1-1-702</t>
  </si>
  <si>
    <t>25652000000044219637</t>
  </si>
  <si>
    <t>652829199309021628</t>
  </si>
  <si>
    <t>1-1-801</t>
  </si>
  <si>
    <t>25652000000044229854</t>
  </si>
  <si>
    <t>2025.3.27</t>
  </si>
  <si>
    <t>2025.4.10</t>
  </si>
  <si>
    <t>2025.5.23</t>
  </si>
  <si>
    <t>652325199804053018</t>
  </si>
  <si>
    <t>谷泽群</t>
  </si>
  <si>
    <t>0000982</t>
  </si>
  <si>
    <t>1-1-802</t>
  </si>
  <si>
    <t>25652000000044288845</t>
  </si>
  <si>
    <t>2025.1.1</t>
  </si>
  <si>
    <t>2025.2.27</t>
  </si>
  <si>
    <t>2025.4.14</t>
  </si>
  <si>
    <t>652827199903260311</t>
  </si>
  <si>
    <t>朱俞合</t>
  </si>
  <si>
    <t>0000905</t>
  </si>
  <si>
    <t>1-1-901</t>
  </si>
  <si>
    <t>25652000000044299488</t>
  </si>
  <si>
    <t>2024.8.10</t>
  </si>
  <si>
    <t>220882199812132018</t>
  </si>
  <si>
    <t>尚德怀</t>
  </si>
  <si>
    <t>1-1-902</t>
  </si>
  <si>
    <t>25652000000044370877</t>
  </si>
  <si>
    <t>不要车位</t>
  </si>
  <si>
    <t>652826199109062928</t>
  </si>
  <si>
    <t>王婷</t>
  </si>
  <si>
    <t>1-1-1001</t>
  </si>
  <si>
    <t>25652000000044420528</t>
  </si>
  <si>
    <t>2024.11.24</t>
  </si>
  <si>
    <t>2025.5.3</t>
  </si>
  <si>
    <t>无车位</t>
  </si>
  <si>
    <t>622424199706120057</t>
  </si>
  <si>
    <t>李博</t>
  </si>
  <si>
    <t>1-1-1002</t>
  </si>
  <si>
    <t>25652000000058752285</t>
  </si>
  <si>
    <t>2025-9-1、19</t>
  </si>
  <si>
    <t>不要车位物业费mate手机</t>
  </si>
  <si>
    <t>已申报（直接计收入）</t>
  </si>
  <si>
    <t>652827199304170023</t>
  </si>
  <si>
    <t>刘雪薇</t>
  </si>
  <si>
    <t>0000958</t>
  </si>
  <si>
    <t>1-1-1101</t>
  </si>
  <si>
    <t>25652000000044435699</t>
  </si>
  <si>
    <t>2024.8.24</t>
  </si>
  <si>
    <t>2024.9-13</t>
  </si>
  <si>
    <t>2024.12.4</t>
  </si>
  <si>
    <t>无车位、送两年物业费</t>
  </si>
  <si>
    <t>1-1-1102</t>
  </si>
  <si>
    <t>1-2-101</t>
  </si>
  <si>
    <t>1-2-102</t>
  </si>
  <si>
    <t>411526199306152322</t>
  </si>
  <si>
    <t>樊攀婷</t>
  </si>
  <si>
    <t>1-2-201</t>
  </si>
  <si>
    <t>25652000000066017588</t>
  </si>
  <si>
    <t>陈江玲</t>
  </si>
  <si>
    <t>411381200305086326</t>
  </si>
  <si>
    <t>单小燕</t>
  </si>
  <si>
    <t>0001190</t>
  </si>
  <si>
    <t>1-2-202</t>
  </si>
  <si>
    <t>25652000000070643203</t>
  </si>
  <si>
    <t>620421199501142550</t>
  </si>
  <si>
    <t>段国政</t>
  </si>
  <si>
    <t>0000977</t>
  </si>
  <si>
    <t>1-2-301</t>
  </si>
  <si>
    <t>25652000000044445588</t>
  </si>
  <si>
    <t>赵禄</t>
  </si>
  <si>
    <t>2024.12.28</t>
  </si>
  <si>
    <t>2025.3.25</t>
  </si>
  <si>
    <t>2025.4.3</t>
  </si>
  <si>
    <t>511321199406023481</t>
  </si>
  <si>
    <t>邓凤英</t>
  </si>
  <si>
    <t>1-2-302</t>
  </si>
  <si>
    <t>25652000000044366973</t>
  </si>
  <si>
    <t>2025.1.10</t>
  </si>
  <si>
    <t>2025.1.14</t>
  </si>
  <si>
    <t>652801199506021647</t>
  </si>
  <si>
    <t>冯洁</t>
  </si>
  <si>
    <t>0000743</t>
  </si>
  <si>
    <t>1-2-401</t>
  </si>
  <si>
    <t>25652000000035507618</t>
  </si>
  <si>
    <t>2025.2.17</t>
  </si>
  <si>
    <t>2025.5.7</t>
  </si>
  <si>
    <t>2025.6.17
2026-3-30</t>
  </si>
  <si>
    <t>智诚监理626598.6元</t>
  </si>
  <si>
    <t>652801200507267329</t>
  </si>
  <si>
    <t>杜景怡</t>
  </si>
  <si>
    <t>1-2-402</t>
  </si>
  <si>
    <t>41272320001120551X</t>
  </si>
  <si>
    <t>李尚</t>
  </si>
  <si>
    <t>0000713</t>
  </si>
  <si>
    <t>1-2-501</t>
  </si>
  <si>
    <t>25652000000044327784</t>
  </si>
  <si>
    <t>2024.9.21</t>
  </si>
  <si>
    <t>无物业费15000商业抵用券</t>
  </si>
  <si>
    <t>620121199711245316</t>
  </si>
  <si>
    <t>张志鹏</t>
  </si>
  <si>
    <t>1-2-502</t>
  </si>
  <si>
    <t>25652000000044327959</t>
  </si>
  <si>
    <t>2024.7.13</t>
  </si>
  <si>
    <t>2024.10.14</t>
  </si>
  <si>
    <t>2025.6.1</t>
  </si>
  <si>
    <t>622301200104079013</t>
  </si>
  <si>
    <t>金喜元</t>
  </si>
  <si>
    <t>0001017</t>
  </si>
  <si>
    <t>1-2-601</t>
  </si>
  <si>
    <t>25652000000044367509</t>
  </si>
  <si>
    <t>0000545</t>
  </si>
  <si>
    <t>2025.4.18</t>
  </si>
  <si>
    <t>612729199606273618</t>
  </si>
  <si>
    <t>刘楠楠</t>
  </si>
  <si>
    <t>1-2-602</t>
  </si>
  <si>
    <t>25652000000044328385</t>
  </si>
  <si>
    <t>2024.11.7</t>
  </si>
  <si>
    <t>62272319991204071X</t>
  </si>
  <si>
    <t>李江成</t>
  </si>
  <si>
    <t>0000715</t>
  </si>
  <si>
    <t>1-2-701</t>
  </si>
  <si>
    <t>25652000000044347836</t>
  </si>
  <si>
    <t>610122197106064934</t>
  </si>
  <si>
    <t>王新峰</t>
  </si>
  <si>
    <t>1-2-702</t>
  </si>
  <si>
    <t>25652000000044318560</t>
  </si>
  <si>
    <t>2年物业费</t>
  </si>
  <si>
    <t>652328199705070575</t>
  </si>
  <si>
    <t>杨旭元</t>
  </si>
  <si>
    <t>1-2-801</t>
  </si>
  <si>
    <t>2565200000004444752</t>
  </si>
  <si>
    <t>2025.2.20</t>
  </si>
  <si>
    <t>无车位2年物业费</t>
  </si>
  <si>
    <t>350305199901232319</t>
  </si>
  <si>
    <t>林银峰</t>
  </si>
  <si>
    <t>0000969</t>
  </si>
  <si>
    <t>1-2-802</t>
  </si>
  <si>
    <t>25652000000084268318</t>
  </si>
  <si>
    <t>2024.12.10</t>
  </si>
  <si>
    <t>622301199806022817</t>
  </si>
  <si>
    <t>张生财</t>
  </si>
  <si>
    <t>0000731</t>
  </si>
  <si>
    <t>1-2-901</t>
  </si>
  <si>
    <t>25652000000044378776</t>
  </si>
  <si>
    <t>2024.11.6</t>
  </si>
  <si>
    <t>654301199903150017</t>
  </si>
  <si>
    <t>高雅豪</t>
  </si>
  <si>
    <t>1-2-902</t>
  </si>
  <si>
    <t>25652000000069473508</t>
  </si>
  <si>
    <t>2025.3.16</t>
  </si>
  <si>
    <t>622424197111065811</t>
  </si>
  <si>
    <t>卢克敬</t>
  </si>
  <si>
    <t>1-2-1001</t>
  </si>
  <si>
    <t>25652000000065969511</t>
  </si>
  <si>
    <t>2025-9-15、24</t>
  </si>
  <si>
    <t>2025-10-13、23</t>
  </si>
  <si>
    <t>已申报203669、10月已开发票全额申报</t>
  </si>
  <si>
    <t>654225199211211814</t>
  </si>
  <si>
    <t>常宏磊</t>
  </si>
  <si>
    <t>1-2-1002</t>
  </si>
  <si>
    <t>25652000000076280178</t>
  </si>
  <si>
    <t>有车位+1年物业费+mate70+送地下室</t>
  </si>
  <si>
    <t>1-2-1101</t>
  </si>
  <si>
    <t>1-2-1102</t>
  </si>
  <si>
    <t>1-3-101</t>
  </si>
  <si>
    <t>唐山通宝暂定</t>
  </si>
  <si>
    <t>1-3-102</t>
  </si>
  <si>
    <t>1-3-201</t>
  </si>
  <si>
    <t>抵账江通海713807</t>
  </si>
  <si>
    <t>652801198902140547</t>
  </si>
  <si>
    <t>蒲洁</t>
  </si>
  <si>
    <t>1-3-202</t>
  </si>
  <si>
    <t>25652000000029399529</t>
  </si>
  <si>
    <t>2025.6.11</t>
  </si>
  <si>
    <t>抵杜722230</t>
  </si>
  <si>
    <t>612325199710131110</t>
  </si>
  <si>
    <t>史进航</t>
  </si>
  <si>
    <t>1-3-301</t>
  </si>
  <si>
    <t>25652000000044369285</t>
  </si>
  <si>
    <t>2025.4.22</t>
  </si>
  <si>
    <t>1-3-302</t>
  </si>
  <si>
    <t>652222199711150412</t>
  </si>
  <si>
    <t>刘红东</t>
  </si>
  <si>
    <t>1-3-401</t>
  </si>
  <si>
    <t>25652000000044428706</t>
  </si>
  <si>
    <t>2025.5.6</t>
  </si>
  <si>
    <t>2025.5.20</t>
  </si>
  <si>
    <t>有车位1年物业费+mate70手机</t>
  </si>
  <si>
    <t>抵乌鲁木齐品尚门业723877</t>
  </si>
  <si>
    <t>654201199811060035</t>
  </si>
  <si>
    <t>苏海城</t>
  </si>
  <si>
    <t>1-3-402</t>
  </si>
  <si>
    <t>25652000000041811433</t>
  </si>
  <si>
    <t>2025.7.18</t>
  </si>
  <si>
    <t>654028200502101520</t>
  </si>
  <si>
    <t>贾小雪</t>
  </si>
  <si>
    <t>0000564</t>
  </si>
  <si>
    <t>1-3-501</t>
  </si>
  <si>
    <t>25652000000044438937</t>
  </si>
  <si>
    <t>2025.3.5</t>
  </si>
  <si>
    <t>2025.3.21</t>
  </si>
  <si>
    <t>有车位3年物业费+mate70手机</t>
  </si>
  <si>
    <t>622226199904152510</t>
  </si>
  <si>
    <t>罗志刚
马文杰 退</t>
  </si>
  <si>
    <t>0001129</t>
  </si>
  <si>
    <t>1-3-502</t>
  </si>
  <si>
    <t>25652000000052418184</t>
  </si>
  <si>
    <t>2025.5.11</t>
  </si>
  <si>
    <t>2025.6.24</t>
  </si>
  <si>
    <t>622301200012148093</t>
  </si>
  <si>
    <t>石战龙</t>
  </si>
  <si>
    <t>0000591</t>
  </si>
  <si>
    <t>1-3-601</t>
  </si>
  <si>
    <t>25652000000047727518</t>
  </si>
  <si>
    <t>2025.3.29</t>
  </si>
  <si>
    <t>2025.6.22</t>
  </si>
  <si>
    <t>622301199805291310</t>
  </si>
  <si>
    <t>周兴超  靳国柱（退）</t>
  </si>
  <si>
    <t>0001176</t>
  </si>
  <si>
    <t>1-3-602</t>
  </si>
  <si>
    <t>25652000000066190569</t>
  </si>
  <si>
    <t>2025.3.25（2025.9.26退）</t>
  </si>
  <si>
    <t>2025-9-15、29</t>
  </si>
  <si>
    <t>已申报（直接计收入）靳国柱申报20000开票时已冲减</t>
  </si>
  <si>
    <t>220381200005061112</t>
  </si>
  <si>
    <t>黄红博</t>
  </si>
  <si>
    <t>1-3-701</t>
  </si>
  <si>
    <t>25652000000035181490</t>
  </si>
  <si>
    <t>2025.5.1</t>
  </si>
  <si>
    <t>2025.6.25</t>
  </si>
  <si>
    <t>652923199301133715</t>
  </si>
  <si>
    <t>靳龙</t>
  </si>
  <si>
    <t>0000598</t>
  </si>
  <si>
    <t>1-3-702</t>
  </si>
  <si>
    <t>25652000000044359682</t>
  </si>
  <si>
    <t>2025.4.6</t>
  </si>
  <si>
    <t>652827199804283227</t>
  </si>
  <si>
    <t>邓海燕</t>
  </si>
  <si>
    <t>00001127</t>
  </si>
  <si>
    <t>1-3-801</t>
  </si>
  <si>
    <t>25652000000058553583</t>
  </si>
  <si>
    <t>2025.5.4</t>
  </si>
  <si>
    <t>2025.6.8</t>
  </si>
  <si>
    <t>2025.6.19</t>
  </si>
  <si>
    <t>622822199901203113</t>
  </si>
  <si>
    <t>苏彦龙</t>
  </si>
  <si>
    <t>0001133</t>
  </si>
  <si>
    <t>1-3-802</t>
  </si>
  <si>
    <t>25652000000035488038</t>
  </si>
  <si>
    <t>2025.5.24</t>
  </si>
  <si>
    <t>2025.5.26</t>
  </si>
  <si>
    <t>622301200011222810</t>
  </si>
  <si>
    <t>徐志翔</t>
  </si>
  <si>
    <t>0001166</t>
  </si>
  <si>
    <t>1-3-901</t>
  </si>
  <si>
    <t>25652000000066188960</t>
  </si>
  <si>
    <t>2025.8.23</t>
  </si>
  <si>
    <t>62042219971226081X</t>
  </si>
  <si>
    <t>李鸿飞</t>
  </si>
  <si>
    <t>0001146</t>
  </si>
  <si>
    <t>1-3-902</t>
  </si>
  <si>
    <t>25652000000046211643</t>
  </si>
  <si>
    <t>2025.6.29</t>
  </si>
  <si>
    <t>2025.07.21</t>
  </si>
  <si>
    <t>652301197707110826</t>
  </si>
  <si>
    <t>徐超、武跃伟</t>
  </si>
  <si>
    <t>1-3-1001</t>
  </si>
  <si>
    <t>25652000000069419732</t>
  </si>
  <si>
    <t>2025-9-22、27</t>
  </si>
  <si>
    <t>抵巩红卫755598</t>
  </si>
  <si>
    <t>652826199603272015</t>
  </si>
  <si>
    <t>纪忠来</t>
  </si>
  <si>
    <t>1-3-1002</t>
  </si>
  <si>
    <t>26652000000034010641</t>
  </si>
  <si>
    <t>2025.12.6</t>
  </si>
  <si>
    <t>41272419980510296X</t>
  </si>
  <si>
    <t>黄珍珍</t>
  </si>
  <si>
    <t>1-3-1101</t>
  </si>
  <si>
    <t>25652000000044379951</t>
  </si>
  <si>
    <t>2025.1.9</t>
  </si>
  <si>
    <t>26652000000305760181</t>
  </si>
  <si>
    <t>2026.4.3</t>
  </si>
  <si>
    <t>2-负1-101</t>
  </si>
  <si>
    <t>2-负1-102</t>
  </si>
  <si>
    <t>2-负1-103</t>
  </si>
  <si>
    <t>2-负1-104</t>
  </si>
  <si>
    <t>2-负1-105</t>
  </si>
  <si>
    <t>岳志文</t>
  </si>
  <si>
    <t>2-负1-106</t>
  </si>
  <si>
    <t>2025.5.17</t>
  </si>
  <si>
    <t>2-负1-107</t>
  </si>
  <si>
    <t>张学良</t>
  </si>
  <si>
    <t>2-负1-108</t>
  </si>
  <si>
    <t>2-负1-109</t>
  </si>
  <si>
    <t>邱兴瑞</t>
  </si>
  <si>
    <t>2-负1-110</t>
  </si>
  <si>
    <t>2026.4.22</t>
  </si>
  <si>
    <t>2-负1-111</t>
  </si>
  <si>
    <t>赵梓颖</t>
  </si>
  <si>
    <t>2-负1-112</t>
  </si>
  <si>
    <t>2-负1-113</t>
  </si>
  <si>
    <t>2-负1-114配电间2（多栋建筑服务）</t>
  </si>
  <si>
    <t>李小勇</t>
  </si>
  <si>
    <t>2-负1+3工具间1</t>
  </si>
  <si>
    <t>2025.4.23</t>
  </si>
  <si>
    <t>2-负1-116 工具间2</t>
  </si>
  <si>
    <t>2-负1-117 水泵间（多栋建筑服务）</t>
  </si>
  <si>
    <t>230221196303020045</t>
  </si>
  <si>
    <t>张凤云、宋宝才
王成 退</t>
  </si>
  <si>
    <t>0000881</t>
  </si>
  <si>
    <t>2-1-101</t>
  </si>
  <si>
    <t>25652000000035600811</t>
  </si>
  <si>
    <t>米云鹤
刘宁宁</t>
  </si>
  <si>
    <t>2024.3.25</t>
  </si>
  <si>
    <t>2024.4.21</t>
  </si>
  <si>
    <t>620622200208092825</t>
  </si>
  <si>
    <t>王娜</t>
  </si>
  <si>
    <t>0001163</t>
  </si>
  <si>
    <t>2-1-102</t>
  </si>
  <si>
    <t>25652000000087463806</t>
  </si>
  <si>
    <t>12月开票已申报</t>
  </si>
  <si>
    <t>2-1-103</t>
  </si>
  <si>
    <t>652825199506153018</t>
  </si>
  <si>
    <t>肖鹏</t>
  </si>
  <si>
    <t>0001086</t>
  </si>
  <si>
    <t>2-1-201</t>
  </si>
  <si>
    <t>25652000000035670656</t>
  </si>
  <si>
    <t>2024.4.6</t>
  </si>
  <si>
    <t>622301199208271768</t>
  </si>
  <si>
    <t>杨荣</t>
  </si>
  <si>
    <t>2-1-202</t>
  </si>
  <si>
    <t>25652000000035569220</t>
  </si>
  <si>
    <t>2024.3.28</t>
  </si>
  <si>
    <t>2025.3.30</t>
  </si>
  <si>
    <t>411627200003176439</t>
  </si>
  <si>
    <t>陶志</t>
  </si>
  <si>
    <t>0000898</t>
  </si>
  <si>
    <t>2-1-203</t>
  </si>
  <si>
    <t>25652000000035621941</t>
  </si>
  <si>
    <t>2024.6.3</t>
  </si>
  <si>
    <t>2024.6.12</t>
  </si>
  <si>
    <t>2024.6.26</t>
  </si>
  <si>
    <t>610123196607095538</t>
  </si>
  <si>
    <t>0000651</t>
  </si>
  <si>
    <t>2-1-301</t>
  </si>
  <si>
    <t>25652000000035592113</t>
  </si>
  <si>
    <t>0000543</t>
  </si>
  <si>
    <t>2024.8.5</t>
  </si>
  <si>
    <t>652826196004041123</t>
  </si>
  <si>
    <t>刘玉珍</t>
  </si>
  <si>
    <t>0000879</t>
  </si>
  <si>
    <t>2-1-302</t>
  </si>
  <si>
    <t>25652000000035681331</t>
  </si>
  <si>
    <t>2024.4.17</t>
  </si>
  <si>
    <t>620523199911102015</t>
  </si>
  <si>
    <t>牛蹬鹏</t>
  </si>
  <si>
    <t>0001042</t>
  </si>
  <si>
    <t>2-1-303</t>
  </si>
  <si>
    <t>25652000000035711073</t>
  </si>
  <si>
    <t>2024.1.12</t>
  </si>
  <si>
    <t>652825199109031527</t>
  </si>
  <si>
    <t>李丹、王进</t>
  </si>
  <si>
    <t>0001058</t>
  </si>
  <si>
    <t>2-1-401</t>
  </si>
  <si>
    <t>25652000000039390724</t>
  </si>
  <si>
    <t>2024.2.21</t>
  </si>
  <si>
    <t>2024.3.2</t>
  </si>
  <si>
    <t>652801196603103412</t>
  </si>
  <si>
    <t>努仁古丽·艾木都力</t>
  </si>
  <si>
    <t>房票TL000125</t>
  </si>
  <si>
    <t>2-1-402</t>
  </si>
  <si>
    <t>25652000000035731355</t>
  </si>
  <si>
    <t>2024.5.14</t>
  </si>
  <si>
    <t>房票TL000125（423293元）</t>
  </si>
  <si>
    <t>房票</t>
  </si>
  <si>
    <t>622722199001281436</t>
  </si>
  <si>
    <t>吴文龙 成交</t>
  </si>
  <si>
    <t>0001028</t>
  </si>
  <si>
    <t>2-1-403</t>
  </si>
  <si>
    <t>25652000000035593406</t>
  </si>
  <si>
    <t>0000534</t>
  </si>
  <si>
    <t>532122199312062420</t>
  </si>
  <si>
    <t>代志仙</t>
  </si>
  <si>
    <t>0001051</t>
  </si>
  <si>
    <t>2-1-501</t>
  </si>
  <si>
    <t>25652000000035673141</t>
  </si>
  <si>
    <t>652801196305291663</t>
  </si>
  <si>
    <t>关玉梅 成交
甄慧琴 退</t>
  </si>
  <si>
    <t>0001047</t>
  </si>
  <si>
    <t>2-1-502</t>
  </si>
  <si>
    <t>25652000000035653453</t>
  </si>
  <si>
    <t xml:space="preserve">
'0000528</t>
  </si>
  <si>
    <t xml:space="preserve">
李秀莲</t>
  </si>
  <si>
    <t>2024.1.13</t>
  </si>
  <si>
    <t>230704200106270027</t>
  </si>
  <si>
    <t>李久威</t>
  </si>
  <si>
    <t>0001039</t>
  </si>
  <si>
    <t>2-1-503</t>
  </si>
  <si>
    <t>25652000000035744505</t>
  </si>
  <si>
    <t>2024.2.19</t>
  </si>
  <si>
    <t>652801201107184537</t>
  </si>
  <si>
    <t>张濠疆</t>
  </si>
  <si>
    <t>00001034</t>
  </si>
  <si>
    <t>2-1-601</t>
  </si>
  <si>
    <t>25652000000035704927</t>
  </si>
  <si>
    <t>65280119930623164X</t>
  </si>
  <si>
    <t>杨露斐</t>
  </si>
  <si>
    <t>2-1-602</t>
  </si>
  <si>
    <t>25652000000041600142</t>
  </si>
  <si>
    <t>2024.5.2</t>
  </si>
  <si>
    <t>652827199703080316</t>
  </si>
  <si>
    <t>买乌兰江·买买提</t>
  </si>
  <si>
    <t>0000654</t>
  </si>
  <si>
    <t>2-1-603</t>
  </si>
  <si>
    <t>25652000000035744837</t>
  </si>
  <si>
    <t>2024.1.25</t>
  </si>
  <si>
    <t>2024.3.7</t>
  </si>
  <si>
    <t>653125199906220227</t>
  </si>
  <si>
    <t>茹克耶姆·赛帕尔
那晓云 退</t>
  </si>
  <si>
    <t>2-1-701</t>
  </si>
  <si>
    <t>25652000000035705198</t>
  </si>
  <si>
    <t>0000531
'0000542</t>
  </si>
  <si>
    <t>肖陶丽
王荣</t>
  </si>
  <si>
    <t>2024.1.23</t>
  </si>
  <si>
    <t>房票0000126#
房票0000156#</t>
  </si>
  <si>
    <t>652801196603016117</t>
  </si>
  <si>
    <t>吾斯曼·麦麦提、卡斯木·纳斯尔
夏天 退房</t>
  </si>
  <si>
    <t>2-1-702</t>
  </si>
  <si>
    <t>25652000000054707226</t>
  </si>
  <si>
    <t>652827196710012932</t>
  </si>
  <si>
    <t>刘忠祥、刘羿杉（由刘弈彬改），</t>
  </si>
  <si>
    <t>0001038</t>
  </si>
  <si>
    <t>2-1-703</t>
  </si>
  <si>
    <t>25652000000035656809</t>
  </si>
  <si>
    <t>2024.1.3</t>
  </si>
  <si>
    <t>622326200104065233</t>
  </si>
  <si>
    <t>王有强</t>
  </si>
  <si>
    <t>0000629</t>
  </si>
  <si>
    <t>2-1-801</t>
  </si>
  <si>
    <t>25652000000035725620</t>
  </si>
  <si>
    <t>653126199809100369</t>
  </si>
  <si>
    <t>艾合塔尔尼沙·阿塔吾拉</t>
  </si>
  <si>
    <t>0000686</t>
  </si>
  <si>
    <t>2-1-802</t>
  </si>
  <si>
    <t>25652000000035618209</t>
  </si>
  <si>
    <t>2024.3.6</t>
  </si>
  <si>
    <t>652823199907052215</t>
  </si>
  <si>
    <t>郭宇昕</t>
  </si>
  <si>
    <t>0000685</t>
  </si>
  <si>
    <t>2-1-803</t>
  </si>
  <si>
    <t>25652000000035657990</t>
  </si>
  <si>
    <t>2024.3.4</t>
  </si>
  <si>
    <t>2024.3.19</t>
  </si>
  <si>
    <t>已换房</t>
  </si>
  <si>
    <t>620421198703035126</t>
  </si>
  <si>
    <t>张琴忠、邱兴瑞</t>
  </si>
  <si>
    <t>0001031</t>
  </si>
  <si>
    <t>2-1-901</t>
  </si>
  <si>
    <t>25652000000035707230</t>
  </si>
  <si>
    <t>0000540</t>
  </si>
  <si>
    <t>2024.1.15</t>
  </si>
  <si>
    <t>622421197412120635</t>
  </si>
  <si>
    <t>梁桂堂</t>
  </si>
  <si>
    <t>0001024</t>
  </si>
  <si>
    <t>2-1-902</t>
  </si>
  <si>
    <t>25652000000035698279</t>
  </si>
  <si>
    <t>2024.6.20</t>
  </si>
  <si>
    <t>142602199806103519</t>
  </si>
  <si>
    <t>尹泉力</t>
  </si>
  <si>
    <t>0001027</t>
  </si>
  <si>
    <t>2-1-903</t>
  </si>
  <si>
    <t>25652000000035698499</t>
  </si>
  <si>
    <t>0000539</t>
  </si>
  <si>
    <t>2024.3.12</t>
  </si>
  <si>
    <t>50022619860405283X</t>
  </si>
  <si>
    <t>0001040</t>
  </si>
  <si>
    <t>2-1-1001</t>
  </si>
  <si>
    <t>25652000000035609557</t>
  </si>
  <si>
    <t>620523199607071111</t>
  </si>
  <si>
    <t>王瑞鹏</t>
  </si>
  <si>
    <t>0000960</t>
  </si>
  <si>
    <t>2-1-1002</t>
  </si>
  <si>
    <t>25652000000035688665</t>
  </si>
  <si>
    <t>2年物业费15000商业抵用券</t>
  </si>
  <si>
    <t>510524198908135154</t>
  </si>
  <si>
    <t>周传苓</t>
  </si>
  <si>
    <t>0000628</t>
  </si>
  <si>
    <t>2-1-1003</t>
  </si>
  <si>
    <t>25652000000035659578</t>
  </si>
  <si>
    <t>372928197410127235</t>
  </si>
  <si>
    <t>杨兆立 成交
张忠 退</t>
  </si>
  <si>
    <t>0001052</t>
  </si>
  <si>
    <t>2-1-1101</t>
  </si>
  <si>
    <t>25652000000035699122</t>
  </si>
  <si>
    <t xml:space="preserve">
'0000529</t>
  </si>
  <si>
    <t>米云鹤
霍红霞</t>
  </si>
  <si>
    <t>652825197206080014</t>
  </si>
  <si>
    <t>张红军</t>
  </si>
  <si>
    <t>0000867</t>
  </si>
  <si>
    <t>2-1-1102</t>
  </si>
  <si>
    <t>25652000000035770137</t>
  </si>
  <si>
    <t>2024.6.22</t>
  </si>
  <si>
    <t>2024.7.16</t>
  </si>
  <si>
    <t>不要车位，没有家装大礼包</t>
  </si>
  <si>
    <t>652801199502020516</t>
  </si>
  <si>
    <t>王锦浩</t>
  </si>
  <si>
    <t>0001075</t>
  </si>
  <si>
    <t>2-1-1103</t>
  </si>
  <si>
    <t>25652000000035699474</t>
  </si>
  <si>
    <t>2024.2.25</t>
  </si>
  <si>
    <t>65280120000185510</t>
  </si>
  <si>
    <t>赵亮</t>
  </si>
  <si>
    <t>0000656</t>
  </si>
  <si>
    <t>2-1-1201</t>
  </si>
  <si>
    <t>25652000000035861669</t>
  </si>
  <si>
    <t>0000535</t>
  </si>
  <si>
    <t>61043119991110317</t>
  </si>
  <si>
    <t>成二龙</t>
  </si>
  <si>
    <t>0001030</t>
  </si>
  <si>
    <t>2-1-1202</t>
  </si>
  <si>
    <t>25652000000035840175</t>
  </si>
  <si>
    <t>0000533</t>
  </si>
  <si>
    <t>341227199905204915</t>
  </si>
  <si>
    <t>刘晨
蒲洋 退</t>
  </si>
  <si>
    <t>0001070</t>
  </si>
  <si>
    <t>2-1-1203</t>
  </si>
  <si>
    <t>25652000000035699758</t>
  </si>
  <si>
    <t xml:space="preserve">
'0000537</t>
  </si>
  <si>
    <t>2023.12.21</t>
  </si>
  <si>
    <t>2024.2.22</t>
  </si>
  <si>
    <t>2024.3.8</t>
  </si>
  <si>
    <t>652825196908231513</t>
  </si>
  <si>
    <t>袁士龙、张红丽</t>
  </si>
  <si>
    <t>0001060</t>
  </si>
  <si>
    <t>2-1-1301</t>
  </si>
  <si>
    <t>25652000000035780832</t>
  </si>
  <si>
    <t>2024.2.5</t>
  </si>
  <si>
    <t>65280119830726051X</t>
  </si>
  <si>
    <t>焦健</t>
  </si>
  <si>
    <t>2-1-1302</t>
  </si>
  <si>
    <t>25652000000035886224</t>
  </si>
  <si>
    <t>2025.2.25</t>
  </si>
  <si>
    <t>2025.3.13</t>
  </si>
  <si>
    <t>622323199707280819</t>
  </si>
  <si>
    <t>袁才雨 成交</t>
  </si>
  <si>
    <t>2-1-1303</t>
  </si>
  <si>
    <t>25652000000035875785</t>
  </si>
  <si>
    <t>2024.2.27</t>
  </si>
  <si>
    <t>20240000997</t>
  </si>
  <si>
    <t>620525199405010647</t>
  </si>
  <si>
    <t>马银英</t>
  </si>
  <si>
    <t>0001071</t>
  </si>
  <si>
    <t>2-1-1401</t>
  </si>
  <si>
    <t>25652000000035807315</t>
  </si>
  <si>
    <t>17699688163</t>
  </si>
  <si>
    <t>抵账杜495030</t>
  </si>
  <si>
    <t>2-1-1402</t>
  </si>
  <si>
    <t>652828199904081813</t>
  </si>
  <si>
    <t>马旭东</t>
  </si>
  <si>
    <t>0000976</t>
  </si>
  <si>
    <t>2-1-1403</t>
  </si>
  <si>
    <t>25652000000035777543</t>
  </si>
  <si>
    <t>2025.3.6</t>
  </si>
  <si>
    <t>622301199801151732</t>
  </si>
  <si>
    <t>杨财</t>
  </si>
  <si>
    <t>2-1-1501</t>
  </si>
  <si>
    <t>25652000000035767781</t>
  </si>
  <si>
    <t>抵账杜495946</t>
  </si>
  <si>
    <t>91652826MA78B36Y1A</t>
  </si>
  <si>
    <t xml:space="preserve"> 巴州合邦建材有限公司 戴惠琳退</t>
  </si>
  <si>
    <t>2-1-1502</t>
  </si>
  <si>
    <t>25652000000086258955</t>
  </si>
  <si>
    <t>622301200012080535</t>
  </si>
  <si>
    <t>王旭林
而再提 退</t>
  </si>
  <si>
    <t>0000697</t>
  </si>
  <si>
    <t>2-1-1503</t>
  </si>
  <si>
    <t>25652000000035778086</t>
  </si>
  <si>
    <t>652801197511080546</t>
  </si>
  <si>
    <t>宁湘</t>
  </si>
  <si>
    <t>0000676</t>
  </si>
  <si>
    <t>2-1-1601</t>
  </si>
  <si>
    <t>25652000000035886459</t>
  </si>
  <si>
    <t>抵账杜458925</t>
  </si>
  <si>
    <t>2-1-1602</t>
  </si>
  <si>
    <t>622223200108204638</t>
  </si>
  <si>
    <t>高博</t>
  </si>
  <si>
    <t>0000848</t>
  </si>
  <si>
    <t>2-1-1603</t>
  </si>
  <si>
    <t>25652000000035916361</t>
  </si>
  <si>
    <t>2024.6.5</t>
  </si>
  <si>
    <t>物业管理用房</t>
  </si>
  <si>
    <t>2-2-101</t>
  </si>
  <si>
    <t>2-2-102</t>
  </si>
  <si>
    <t>510723199108111516</t>
  </si>
  <si>
    <t>0000882</t>
  </si>
  <si>
    <t>2-2-103</t>
  </si>
  <si>
    <t>25652000000036573832</t>
  </si>
  <si>
    <t>2024.3.26</t>
  </si>
  <si>
    <t>2024.6.15</t>
  </si>
  <si>
    <t>652801197903011638</t>
  </si>
  <si>
    <t>王峰</t>
  </si>
  <si>
    <t>0000906</t>
  </si>
  <si>
    <t>2-2-201</t>
  </si>
  <si>
    <t>25652000000036445760</t>
  </si>
  <si>
    <t>2024.9.10</t>
  </si>
  <si>
    <t>抵账杜454984</t>
  </si>
  <si>
    <t>652824198203010019</t>
  </si>
  <si>
    <t>刘明辉</t>
  </si>
  <si>
    <t>2-2-202</t>
  </si>
  <si>
    <t>25652000000036485430</t>
  </si>
  <si>
    <t>2024.8.19</t>
  </si>
  <si>
    <t>652827200504163210</t>
  </si>
  <si>
    <t>朱郑阳</t>
  </si>
  <si>
    <t>0001084</t>
  </si>
  <si>
    <t>2-2-203</t>
  </si>
  <si>
    <t>2024.4.5</t>
  </si>
  <si>
    <t>2024.5.6</t>
  </si>
  <si>
    <t>41132919900520502X</t>
  </si>
  <si>
    <t>贾欢</t>
  </si>
  <si>
    <t>0000682</t>
  </si>
  <si>
    <t>2-2-301</t>
  </si>
  <si>
    <t>25652000000078717187</t>
  </si>
  <si>
    <t>652801199602130528</t>
  </si>
  <si>
    <t>褚桐菲</t>
  </si>
  <si>
    <t>0000931</t>
  </si>
  <si>
    <t>2-2-302</t>
  </si>
  <si>
    <t>25652000000036465687</t>
  </si>
  <si>
    <t>652801199906173711</t>
  </si>
  <si>
    <t>张志荣</t>
  </si>
  <si>
    <t>2-2-303</t>
  </si>
  <si>
    <t>25652000000036475673</t>
  </si>
  <si>
    <t>2024.7.23</t>
  </si>
  <si>
    <t>65282719880115322X</t>
  </si>
  <si>
    <t>祝丽娜</t>
  </si>
  <si>
    <t>0001033</t>
  </si>
  <si>
    <t>2-2-401</t>
  </si>
  <si>
    <t xml:space="preserve">25652000000033320841
</t>
  </si>
  <si>
    <t>0000544</t>
  </si>
  <si>
    <t>652828199403140838</t>
  </si>
  <si>
    <t>刘健才</t>
  </si>
  <si>
    <t>2-2-402</t>
  </si>
  <si>
    <t>25652000000036456078</t>
  </si>
  <si>
    <t>2024.4.23</t>
  </si>
  <si>
    <t>610124198312080326</t>
  </si>
  <si>
    <t>何琼琳 成交
张强 退</t>
  </si>
  <si>
    <t>0001054</t>
  </si>
  <si>
    <t>2-2-403</t>
  </si>
  <si>
    <t>25652000000036486012</t>
  </si>
  <si>
    <t xml:space="preserve">
'0000532</t>
  </si>
  <si>
    <t>霍红霞
连阵阵</t>
  </si>
  <si>
    <t>652801199501141631</t>
  </si>
  <si>
    <t>张学飞、张丽华</t>
  </si>
  <si>
    <t>0000657</t>
  </si>
  <si>
    <t>2-2-501</t>
  </si>
  <si>
    <t>622424197406282215</t>
  </si>
  <si>
    <t>姚军平、蔡萍萍</t>
  </si>
  <si>
    <t>2-2-502</t>
  </si>
  <si>
    <t>25652000000036476298</t>
  </si>
  <si>
    <t>0000538</t>
  </si>
  <si>
    <t>2024.3.21</t>
  </si>
  <si>
    <t>622427197811202708</t>
  </si>
  <si>
    <t>党泽生 石小燕</t>
  </si>
  <si>
    <t>0001078</t>
  </si>
  <si>
    <t>2-2-503</t>
  </si>
  <si>
    <t>25652000000036486180</t>
  </si>
  <si>
    <t>2024.3.10</t>
  </si>
  <si>
    <t>652823199410290816</t>
  </si>
  <si>
    <t>0001037</t>
  </si>
  <si>
    <t>2-2-601</t>
  </si>
  <si>
    <t>25652000000036466782</t>
  </si>
  <si>
    <t>652122197606081019</t>
  </si>
  <si>
    <t>王志刚2</t>
  </si>
  <si>
    <t>2-2-602</t>
  </si>
  <si>
    <t>25652000000036526369</t>
  </si>
  <si>
    <t>2024.4.16</t>
  </si>
  <si>
    <t>652827199801010012</t>
  </si>
  <si>
    <t>张思维</t>
  </si>
  <si>
    <t>0001067</t>
  </si>
  <si>
    <t>2-2-603</t>
  </si>
  <si>
    <t>25652000000036575793</t>
  </si>
  <si>
    <t>652325199812052031</t>
  </si>
  <si>
    <t>赵文彬</t>
  </si>
  <si>
    <t>0001023</t>
  </si>
  <si>
    <t>2-2-701</t>
  </si>
  <si>
    <t>25652000000036566225</t>
  </si>
  <si>
    <t>0000526</t>
  </si>
  <si>
    <t>2024.1.16</t>
  </si>
  <si>
    <t>511323199701062670</t>
  </si>
  <si>
    <t>董健、董克友</t>
  </si>
  <si>
    <t>0001066</t>
  </si>
  <si>
    <t>2-2-702</t>
  </si>
  <si>
    <t>25652000000036469066</t>
  </si>
  <si>
    <t>2024.2.23</t>
  </si>
  <si>
    <t>342622198510032406</t>
  </si>
  <si>
    <t>王艳之</t>
  </si>
  <si>
    <t>0000871</t>
  </si>
  <si>
    <t>2-2-703</t>
  </si>
  <si>
    <t>25652000000036469436</t>
  </si>
  <si>
    <t>2024.3.17</t>
  </si>
  <si>
    <t>2024.4.7</t>
  </si>
  <si>
    <t>620524199510012138</t>
  </si>
  <si>
    <t>范志良</t>
  </si>
  <si>
    <t>0000659</t>
  </si>
  <si>
    <t>2-2-801</t>
  </si>
  <si>
    <t>25652000000036499635</t>
  </si>
  <si>
    <t>2024.1.17</t>
  </si>
  <si>
    <t>2024.1.30</t>
  </si>
  <si>
    <t>652801195906283111</t>
  </si>
  <si>
    <t>艾沙·艾力亚孜
马木提·依明</t>
  </si>
  <si>
    <t>房票TL0000100
房票TL0000121</t>
  </si>
  <si>
    <t>2-2-802</t>
  </si>
  <si>
    <t>25652000000036620595</t>
  </si>
  <si>
    <t>622323199612010533</t>
  </si>
  <si>
    <t>胡国林</t>
  </si>
  <si>
    <t>2-2-803</t>
  </si>
  <si>
    <t>25652000000039350940</t>
  </si>
  <si>
    <t>622201199608123013</t>
  </si>
  <si>
    <t>0000612</t>
  </si>
  <si>
    <t>2-2-901</t>
  </si>
  <si>
    <t>25652000000039271457</t>
  </si>
  <si>
    <t>2024.3.15</t>
  </si>
  <si>
    <t>622126199612191424</t>
  </si>
  <si>
    <t>祁婷</t>
  </si>
  <si>
    <t>0001010</t>
  </si>
  <si>
    <t>2-2-902</t>
  </si>
  <si>
    <t>25652000000039361342</t>
  </si>
  <si>
    <t>2025.2.14</t>
  </si>
  <si>
    <t>610424199806050814</t>
  </si>
  <si>
    <t>0001077</t>
  </si>
  <si>
    <t>2-2-903</t>
  </si>
  <si>
    <t>25652000000039411535</t>
  </si>
  <si>
    <t>610125199809195533</t>
  </si>
  <si>
    <t>梁梦凡</t>
  </si>
  <si>
    <t>2-2-1001</t>
  </si>
  <si>
    <t>25652000000039371848</t>
  </si>
  <si>
    <t>2024.2.3</t>
  </si>
  <si>
    <t>360521199307125513</t>
  </si>
  <si>
    <t>黄峰</t>
  </si>
  <si>
    <t>0000914</t>
  </si>
  <si>
    <t>2-2-1002</t>
  </si>
  <si>
    <t>25652000000039382003</t>
  </si>
  <si>
    <t>2024.10.29</t>
  </si>
  <si>
    <t>412828199604074596</t>
  </si>
  <si>
    <t>王江林</t>
  </si>
  <si>
    <t>0000842</t>
  </si>
  <si>
    <t>2-2-1003</t>
  </si>
  <si>
    <t>25652000000039272488</t>
  </si>
  <si>
    <t>2024.3.24</t>
  </si>
  <si>
    <t>652825200006150019</t>
  </si>
  <si>
    <t>杨磊</t>
  </si>
  <si>
    <t>0000687</t>
  </si>
  <si>
    <t>2-2-1101</t>
  </si>
  <si>
    <t>25652000000039352478</t>
  </si>
  <si>
    <t>2024.3.22</t>
  </si>
  <si>
    <t>房票0000118#
房票0000117#</t>
  </si>
  <si>
    <t>65280119850313342X</t>
  </si>
  <si>
    <t>汉沙古力·依达也提
吐尔逊江·克依木</t>
  </si>
  <si>
    <t>2-2-1102</t>
  </si>
  <si>
    <t>25652000000039362782</t>
  </si>
  <si>
    <t>2024.12.13</t>
  </si>
  <si>
    <t>62272720000926681X</t>
  </si>
  <si>
    <t>王春刚</t>
  </si>
  <si>
    <t>0000653</t>
  </si>
  <si>
    <t>2-2-1103</t>
  </si>
  <si>
    <t>25652000000039283360</t>
  </si>
  <si>
    <t>0000536</t>
  </si>
  <si>
    <t>652823199605222215</t>
  </si>
  <si>
    <t>孟一鸣</t>
  </si>
  <si>
    <t>0000886</t>
  </si>
  <si>
    <t>2-2-1201</t>
  </si>
  <si>
    <t>25652000000039293696</t>
  </si>
  <si>
    <t>2024.4.13</t>
  </si>
  <si>
    <t>232330200001234227</t>
  </si>
  <si>
    <t>沈梦琦</t>
  </si>
  <si>
    <t>2-2-1202</t>
  </si>
  <si>
    <t>25652000000039344729</t>
  </si>
  <si>
    <t>2024.12.14</t>
  </si>
  <si>
    <t>2025.1.27</t>
  </si>
  <si>
    <t>15042919990419461X</t>
  </si>
  <si>
    <t>丁焱烽</t>
  </si>
  <si>
    <t>0000844</t>
  </si>
  <si>
    <t>2-2-1203</t>
  </si>
  <si>
    <t>25652000000041207188</t>
  </si>
  <si>
    <t>411329200212100728</t>
  </si>
  <si>
    <t>0001045</t>
  </si>
  <si>
    <t>2-2-1301</t>
  </si>
  <si>
    <t>25652000000041148232</t>
  </si>
  <si>
    <t>652826197106040054</t>
  </si>
  <si>
    <t>海如拉·排孜拉</t>
  </si>
  <si>
    <t>2-2-1302</t>
  </si>
  <si>
    <t>25652000000028697892</t>
  </si>
  <si>
    <t>2025.4.13</t>
  </si>
  <si>
    <t>2025.4.19</t>
  </si>
  <si>
    <t>2025.4.25</t>
  </si>
  <si>
    <t>622827199510180614</t>
  </si>
  <si>
    <t>慕元浩</t>
  </si>
  <si>
    <t>0000887</t>
  </si>
  <si>
    <t>2-2-1303</t>
  </si>
  <si>
    <t>25652000000041419127</t>
  </si>
  <si>
    <t>411024199906245514</t>
  </si>
  <si>
    <t>陈晓飞</t>
  </si>
  <si>
    <t>0000699</t>
  </si>
  <si>
    <t>2-2-1401</t>
  </si>
  <si>
    <t>25652000000041369547</t>
  </si>
  <si>
    <t>2-2-1402</t>
  </si>
  <si>
    <t>622226199508080535</t>
  </si>
  <si>
    <t>马铭</t>
  </si>
  <si>
    <t>000857</t>
  </si>
  <si>
    <t>2-2-1403</t>
  </si>
  <si>
    <t>25652000000041429325</t>
  </si>
  <si>
    <t>412721199601193434</t>
  </si>
  <si>
    <t>李康</t>
  </si>
  <si>
    <t>0000895</t>
  </si>
  <si>
    <t>2-2-1501</t>
  </si>
  <si>
    <t>25652000000041429517</t>
  </si>
  <si>
    <t>2024.8.8</t>
  </si>
  <si>
    <t>抵账杜496863</t>
  </si>
  <si>
    <t xml:space="preserve"> 巴州合邦建材有限公司</t>
  </si>
  <si>
    <t>2-2-1502</t>
  </si>
  <si>
    <t>25652000000086259045</t>
  </si>
  <si>
    <t>622201199606037517</t>
  </si>
  <si>
    <t>颉洋阳</t>
  </si>
  <si>
    <t>0001081</t>
  </si>
  <si>
    <t>2-2-1503</t>
  </si>
  <si>
    <t>25652000000041389798</t>
  </si>
  <si>
    <t>150404199912311612</t>
  </si>
  <si>
    <t>徐胜宇</t>
  </si>
  <si>
    <t>2-2-1601</t>
  </si>
  <si>
    <t>25652000000041429906</t>
  </si>
  <si>
    <t>2024.6.8</t>
  </si>
  <si>
    <t>17547457374</t>
  </si>
  <si>
    <t>抵账杜459841</t>
  </si>
  <si>
    <t>2-2-1602</t>
  </si>
  <si>
    <t>420621199909084239</t>
  </si>
  <si>
    <t>张万阳</t>
  </si>
  <si>
    <t>0001197</t>
  </si>
  <si>
    <t>2-2-1603</t>
  </si>
  <si>
    <t>25652000000081336506</t>
  </si>
  <si>
    <t>11月开票已全额申报</t>
  </si>
  <si>
    <t>抵账高805665</t>
  </si>
  <si>
    <t>2-3-101</t>
  </si>
  <si>
    <t>2-3-102</t>
  </si>
  <si>
    <t>652801198711196118</t>
  </si>
  <si>
    <t>艾合麦提·木库依提
布麦尔艳木·买买提</t>
  </si>
  <si>
    <t>0000880</t>
  </si>
  <si>
    <t>2-3-103</t>
  </si>
  <si>
    <t>65280119990413003X</t>
  </si>
  <si>
    <t>哈青</t>
  </si>
  <si>
    <t>0001115</t>
  </si>
  <si>
    <t>2-3-201</t>
  </si>
  <si>
    <t>25652000000058493294</t>
  </si>
  <si>
    <t>抵账杜455901</t>
  </si>
  <si>
    <t>2-3-202</t>
  </si>
  <si>
    <t>610404199911142010</t>
  </si>
  <si>
    <t>李耕耘</t>
  </si>
  <si>
    <t>0000689</t>
  </si>
  <si>
    <t>2-3-203</t>
  </si>
  <si>
    <t>25652000000041597517</t>
  </si>
  <si>
    <t>652801198805270024</t>
  </si>
  <si>
    <t>郑馨怡</t>
  </si>
  <si>
    <t>0001106</t>
  </si>
  <si>
    <t>2-3-301</t>
  </si>
  <si>
    <t>25652000000041469195</t>
  </si>
  <si>
    <t>2024.4.27</t>
  </si>
  <si>
    <t>2024.5.28</t>
  </si>
  <si>
    <t>2-3-302</t>
  </si>
  <si>
    <t>620503200001176015</t>
  </si>
  <si>
    <t>陶玮</t>
  </si>
  <si>
    <t>0000677</t>
  </si>
  <si>
    <t>2-3-303</t>
  </si>
  <si>
    <t>25652000000041597853</t>
  </si>
  <si>
    <t>513022199710078016</t>
  </si>
  <si>
    <t>崔伟
艾里夏提·沙迪克 退
陈岚 退</t>
  </si>
  <si>
    <t>0000674</t>
  </si>
  <si>
    <t>2-3-401</t>
  </si>
  <si>
    <t>25652000000041607993</t>
  </si>
  <si>
    <t>李秀莲
李秀莲
刘思汉</t>
  </si>
  <si>
    <t>2023.11.2</t>
  </si>
  <si>
    <t>抵账杜463140</t>
  </si>
  <si>
    <t>65280119930927002X</t>
  </si>
  <si>
    <t>王晶羽</t>
  </si>
  <si>
    <t>2-3-402</t>
  </si>
  <si>
    <t>25652000000058671495</t>
  </si>
  <si>
    <t>2025-9-4、23</t>
  </si>
  <si>
    <t>512326196802064831</t>
  </si>
  <si>
    <t>谭贤利</t>
  </si>
  <si>
    <t>0000681</t>
  </si>
  <si>
    <t>2-3-403</t>
  </si>
  <si>
    <t>25652000000041568137</t>
  </si>
  <si>
    <t>620502199909174317</t>
  </si>
  <si>
    <t>高小虎</t>
  </si>
  <si>
    <t>0001069</t>
  </si>
  <si>
    <t>2-3-501</t>
  </si>
  <si>
    <t>25652000000041588279</t>
  </si>
  <si>
    <t>抵账杜468730</t>
  </si>
  <si>
    <t>652826197402122038</t>
  </si>
  <si>
    <t>马世华</t>
  </si>
  <si>
    <t>2-3-502</t>
  </si>
  <si>
    <t>25652000000076158987</t>
  </si>
  <si>
    <t>652801195805151654</t>
  </si>
  <si>
    <t>王建新、马金花</t>
  </si>
  <si>
    <t>0001056</t>
  </si>
  <si>
    <t>2-3-503</t>
  </si>
  <si>
    <t>25652000000037053768</t>
  </si>
  <si>
    <t>2023.1.30</t>
  </si>
  <si>
    <t>2024.9.23</t>
  </si>
  <si>
    <t>511602199903246392</t>
  </si>
  <si>
    <t>0001068</t>
  </si>
  <si>
    <t>2-3-601</t>
  </si>
  <si>
    <t>25652000000041655935</t>
  </si>
  <si>
    <t>652201197706201616</t>
  </si>
  <si>
    <t>杨文忠</t>
  </si>
  <si>
    <t>2-3-602</t>
  </si>
  <si>
    <t>25652000000041695768</t>
  </si>
  <si>
    <t>620522199709293798</t>
  </si>
  <si>
    <t>王志刚</t>
  </si>
  <si>
    <t>2-3-603</t>
  </si>
  <si>
    <t>25652000000041676042</t>
  </si>
  <si>
    <t>652801199901211635</t>
  </si>
  <si>
    <t>黄家辉</t>
  </si>
  <si>
    <t>0001065</t>
  </si>
  <si>
    <t>2-3-701</t>
  </si>
  <si>
    <t>25652000000041656279</t>
  </si>
  <si>
    <t>2024.2.18</t>
  </si>
  <si>
    <t>抵账杜481743</t>
  </si>
  <si>
    <t>654125199002285272</t>
  </si>
  <si>
    <t>廖晟海</t>
  </si>
  <si>
    <t>2-3-702</t>
  </si>
  <si>
    <t>25652000000043933105</t>
  </si>
  <si>
    <t>62272719980406025X</t>
  </si>
  <si>
    <t>韩虎</t>
  </si>
  <si>
    <t>0001055</t>
  </si>
  <si>
    <t>2-3-703</t>
  </si>
  <si>
    <t>25652000000043794801</t>
  </si>
  <si>
    <t>2024.3.9</t>
  </si>
  <si>
    <t>2024.3.13</t>
  </si>
  <si>
    <t>157394431545</t>
  </si>
  <si>
    <t>650104200005163350</t>
  </si>
  <si>
    <t>钟玮鹏 成交
张岩 退</t>
  </si>
  <si>
    <t>0000875</t>
  </si>
  <si>
    <t>2-3-801</t>
  </si>
  <si>
    <t>25652000000043834271</t>
  </si>
  <si>
    <t>李秀莲
霍红霞</t>
  </si>
  <si>
    <t>抵账杜483575</t>
  </si>
  <si>
    <t>500221199109254568</t>
  </si>
  <si>
    <t>程婷</t>
  </si>
  <si>
    <t>2-3-802</t>
  </si>
  <si>
    <t>25652000000076158594</t>
  </si>
  <si>
    <t>622301199908054895</t>
  </si>
  <si>
    <t>吴进治</t>
  </si>
  <si>
    <t>0000675</t>
  </si>
  <si>
    <t>2-3-803</t>
  </si>
  <si>
    <t>25652000000043903855</t>
  </si>
  <si>
    <t>652827199502151616</t>
  </si>
  <si>
    <t>蒋磊</t>
  </si>
  <si>
    <t>0001064</t>
  </si>
  <si>
    <t>2-3-901</t>
  </si>
  <si>
    <t>25652000000043825199</t>
  </si>
  <si>
    <t>2024.2.16</t>
  </si>
  <si>
    <t>2024.4.9</t>
  </si>
  <si>
    <t>抵账杜487058</t>
  </si>
  <si>
    <t>2-3-902</t>
  </si>
  <si>
    <t>653126199310030218</t>
  </si>
  <si>
    <t>魏辉</t>
  </si>
  <si>
    <t>0001063</t>
  </si>
  <si>
    <t>2-3-903</t>
  </si>
  <si>
    <t>25652000000043978972</t>
  </si>
  <si>
    <t>652801199610307012</t>
  </si>
  <si>
    <t>徐杨</t>
  </si>
  <si>
    <t>2-3-1001</t>
  </si>
  <si>
    <t>25652000000044087767</t>
  </si>
  <si>
    <t>2024.4.8</t>
  </si>
  <si>
    <t>2024.4.30</t>
  </si>
  <si>
    <t>抵账杜489990</t>
  </si>
  <si>
    <t>2-3-1002</t>
  </si>
  <si>
    <t>620522199808130943</t>
  </si>
  <si>
    <t>缑转红</t>
  </si>
  <si>
    <t>2-3-1003</t>
  </si>
  <si>
    <t>25652000000043969259</t>
  </si>
  <si>
    <t>632127199706111411</t>
  </si>
  <si>
    <t>廖宝成</t>
  </si>
  <si>
    <t>0000883</t>
  </si>
  <si>
    <t>2-3-1101</t>
  </si>
  <si>
    <t>25652000000044088227</t>
  </si>
  <si>
    <t>抵账杜492739</t>
  </si>
  <si>
    <t>2-3-1102</t>
  </si>
  <si>
    <t>652801197312261619</t>
  </si>
  <si>
    <t>汪建成</t>
  </si>
  <si>
    <t>0001074</t>
  </si>
  <si>
    <t>2-3-1103</t>
  </si>
  <si>
    <t>25652000000044108120</t>
  </si>
  <si>
    <t>652827199810171459</t>
  </si>
  <si>
    <t>张增惠</t>
  </si>
  <si>
    <t>0001083</t>
  </si>
  <si>
    <t>2-3-1201</t>
  </si>
  <si>
    <t>25652000000044039085</t>
  </si>
  <si>
    <t>抵账杜494114</t>
  </si>
  <si>
    <t>411627200211306410</t>
  </si>
  <si>
    <t>于喜</t>
  </si>
  <si>
    <t>2-3-1202</t>
  </si>
  <si>
    <t>25652000000073139999</t>
  </si>
  <si>
    <t>已申报494114</t>
  </si>
  <si>
    <t>652323199701233216</t>
  </si>
  <si>
    <t>梁山</t>
  </si>
  <si>
    <t>0000680</t>
  </si>
  <si>
    <t>2-3-1203</t>
  </si>
  <si>
    <t>25652000000043979887</t>
  </si>
  <si>
    <t>652826199911100020</t>
  </si>
  <si>
    <t>苏比努尔·艾日肯</t>
  </si>
  <si>
    <t>0001085</t>
  </si>
  <si>
    <t>2-3-1301</t>
  </si>
  <si>
    <t>25652000000044160059</t>
  </si>
  <si>
    <t>620523199710191699</t>
  </si>
  <si>
    <t>杨昌谋</t>
  </si>
  <si>
    <t>2-3-1302</t>
  </si>
  <si>
    <t>5412破底</t>
  </si>
  <si>
    <t>26652000000023894281</t>
  </si>
  <si>
    <t>已申报（1月开票)</t>
  </si>
  <si>
    <t>632127199602023011</t>
  </si>
  <si>
    <t>安文平</t>
  </si>
  <si>
    <t>0000684</t>
  </si>
  <si>
    <t>2-3-1303</t>
  </si>
  <si>
    <t>25652000000043999890</t>
  </si>
  <si>
    <t>412727199010016143</t>
  </si>
  <si>
    <t>王倩</t>
  </si>
  <si>
    <t>0000943</t>
  </si>
  <si>
    <t>2-3-1401</t>
  </si>
  <si>
    <t>25652000000044079394</t>
  </si>
  <si>
    <t>2024.7.20</t>
  </si>
  <si>
    <t>2024.7.25</t>
  </si>
  <si>
    <t>2024.11.12</t>
  </si>
  <si>
    <t>2-3-1402</t>
  </si>
  <si>
    <t>62210220030129763X</t>
  </si>
  <si>
    <t>徐永强</t>
  </si>
  <si>
    <t>2-3-1403</t>
  </si>
  <si>
    <t>622301200006113919</t>
  </si>
  <si>
    <t>王涌涛</t>
  </si>
  <si>
    <t>0001099</t>
  </si>
  <si>
    <t>2-3-1501</t>
  </si>
  <si>
    <t>25652000000044200370</t>
  </si>
  <si>
    <t>2024.5.1</t>
  </si>
  <si>
    <t>抵账杜497779</t>
  </si>
  <si>
    <t>422822198304082518</t>
  </si>
  <si>
    <t>董仲义</t>
  </si>
  <si>
    <t>2-3-1502</t>
  </si>
  <si>
    <t>25652000000083027909</t>
  </si>
  <si>
    <t>已申报497779</t>
  </si>
  <si>
    <t>62242119981227451X</t>
  </si>
  <si>
    <t>王富军</t>
  </si>
  <si>
    <t>2-3-1503</t>
  </si>
  <si>
    <t>25652000000044170911</t>
  </si>
  <si>
    <t>410222200106029832</t>
  </si>
  <si>
    <t>李川予</t>
  </si>
  <si>
    <t>2-3-1601</t>
  </si>
  <si>
    <t>25652000000039326268</t>
  </si>
  <si>
    <t>2025.5.22</t>
  </si>
  <si>
    <t>2025.6.3</t>
  </si>
  <si>
    <t>抵账杜460757</t>
  </si>
  <si>
    <t>2-3-1602</t>
  </si>
  <si>
    <t>652823199712100029</t>
  </si>
  <si>
    <t>迪丽那尔·买买提</t>
  </si>
  <si>
    <t>0001092</t>
  </si>
  <si>
    <t>2-3-1603</t>
  </si>
  <si>
    <t>25652000000041734920</t>
  </si>
  <si>
    <t>2024.4.14</t>
  </si>
  <si>
    <t>2-3-消防水箱间</t>
  </si>
  <si>
    <t>3-负1-101</t>
  </si>
  <si>
    <t>3-负1-102</t>
  </si>
  <si>
    <t>3-负1-103</t>
  </si>
  <si>
    <t>3-负1-104</t>
  </si>
  <si>
    <t>3-负1-201</t>
  </si>
  <si>
    <t>3-负1-202</t>
  </si>
  <si>
    <t>3-负1-203</t>
  </si>
  <si>
    <t>3-负1-204</t>
  </si>
  <si>
    <t>3-负1-205</t>
  </si>
  <si>
    <t>3-负1-301</t>
  </si>
  <si>
    <t>3-负1-302</t>
  </si>
  <si>
    <t>3-负1-303</t>
  </si>
  <si>
    <t>3-负1-304</t>
  </si>
  <si>
    <t>3-负1-305</t>
  </si>
  <si>
    <t>3-1-101</t>
  </si>
  <si>
    <t>20250002965</t>
  </si>
  <si>
    <t>抵账刘亭1118915.2</t>
  </si>
  <si>
    <t>412321199110203616</t>
  </si>
  <si>
    <t>刘亭</t>
  </si>
  <si>
    <t>3-1-102</t>
  </si>
  <si>
    <t>25652000000031965797</t>
  </si>
  <si>
    <t>2025.5.30</t>
  </si>
  <si>
    <t>13639991567</t>
  </si>
  <si>
    <t>20240006819</t>
  </si>
  <si>
    <t>抵倪大伟771394</t>
  </si>
  <si>
    <t>652801199904244213</t>
  </si>
  <si>
    <t>何文、廖翊帆</t>
  </si>
  <si>
    <t>3-1-201</t>
  </si>
  <si>
    <t>25652000000044543459</t>
  </si>
  <si>
    <t>2024.12.6</t>
  </si>
  <si>
    <t>15002844835</t>
  </si>
  <si>
    <t>20240006545</t>
  </si>
  <si>
    <t>抵倪大伟771404</t>
  </si>
  <si>
    <t>41072519920310986X</t>
  </si>
  <si>
    <t>吕鹏娜</t>
  </si>
  <si>
    <t>3-1-202</t>
  </si>
  <si>
    <t>25652000000044514194</t>
  </si>
  <si>
    <t>15276222820</t>
  </si>
  <si>
    <t>652801199901081615</t>
  </si>
  <si>
    <t>鲍东阳</t>
  </si>
  <si>
    <t>0000614</t>
  </si>
  <si>
    <t>3-1-301</t>
  </si>
  <si>
    <t>25652000000044603054</t>
  </si>
  <si>
    <t>2023.11.28</t>
  </si>
  <si>
    <t>20230009348</t>
  </si>
  <si>
    <t>511321200009157377</t>
  </si>
  <si>
    <t>向飞荣</t>
  </si>
  <si>
    <t>0000549</t>
  </si>
  <si>
    <t>3-1-302</t>
  </si>
  <si>
    <t>25652000000044543912</t>
  </si>
  <si>
    <t>2024.4.2</t>
  </si>
  <si>
    <t>15199909639</t>
  </si>
  <si>
    <t>20230009403</t>
  </si>
  <si>
    <t>653124197511014220</t>
  </si>
  <si>
    <t>王燕</t>
  </si>
  <si>
    <t>3-1-401</t>
  </si>
  <si>
    <t>25652000000044475267</t>
  </si>
  <si>
    <t>2023.10.23</t>
  </si>
  <si>
    <t>2023.11.4</t>
  </si>
  <si>
    <t>18999093330</t>
  </si>
  <si>
    <t>20240006649</t>
  </si>
  <si>
    <t>231004198904201848</t>
  </si>
  <si>
    <t>李锐</t>
  </si>
  <si>
    <t>0000963</t>
  </si>
  <si>
    <t>3-1-402</t>
  </si>
  <si>
    <t>25652000000044475389</t>
  </si>
  <si>
    <t>20230007360</t>
  </si>
  <si>
    <t>411729199807205218</t>
  </si>
  <si>
    <t>马勇</t>
  </si>
  <si>
    <t>0000548</t>
  </si>
  <si>
    <t>3-1-501</t>
  </si>
  <si>
    <t>25652000000044593928</t>
  </si>
  <si>
    <t>15999026103</t>
  </si>
  <si>
    <t>20240000364</t>
  </si>
  <si>
    <t>652829200004030713</t>
  </si>
  <si>
    <t>尹鸿昌
位登辉 退</t>
  </si>
  <si>
    <t>3-1-502</t>
  </si>
  <si>
    <t>25652000000044564371</t>
  </si>
  <si>
    <t>0000271</t>
  </si>
  <si>
    <t>李秀莲
王荣</t>
  </si>
  <si>
    <t>20230006999</t>
  </si>
  <si>
    <t>620524199910292677</t>
  </si>
  <si>
    <t>李玉琪</t>
  </si>
  <si>
    <t>0000490</t>
  </si>
  <si>
    <t>3-1-601</t>
  </si>
  <si>
    <t>25652000000044485682</t>
  </si>
  <si>
    <t>2024.2.2</t>
  </si>
  <si>
    <t>18593041148</t>
  </si>
  <si>
    <t>20240002602</t>
  </si>
  <si>
    <t>620104199401021134</t>
  </si>
  <si>
    <t>孙敏</t>
  </si>
  <si>
    <t>3-1-602</t>
  </si>
  <si>
    <t>25652000000044584549</t>
  </si>
  <si>
    <t>2024.6.23</t>
  </si>
  <si>
    <t>18189534475</t>
  </si>
  <si>
    <t>20230008565</t>
  </si>
  <si>
    <t>622722199711252613</t>
  </si>
  <si>
    <t>位登辉</t>
  </si>
  <si>
    <t>0000601</t>
  </si>
  <si>
    <t>3-1-701</t>
  </si>
  <si>
    <t>25652000000044495888</t>
  </si>
  <si>
    <t>17339819027</t>
  </si>
  <si>
    <t>20240001583</t>
  </si>
  <si>
    <t>652824198902201113</t>
  </si>
  <si>
    <t>刘士亮</t>
  </si>
  <si>
    <t>0000841</t>
  </si>
  <si>
    <t>3-1-702</t>
  </si>
  <si>
    <t>25652000000050007061</t>
  </si>
  <si>
    <t>2024.8.15</t>
  </si>
  <si>
    <t>13565002521</t>
  </si>
  <si>
    <t>20240003569</t>
  </si>
  <si>
    <t>622322199610183610</t>
  </si>
  <si>
    <t>乔杰</t>
  </si>
  <si>
    <t>0000696</t>
  </si>
  <si>
    <t>3-1-801</t>
  </si>
  <si>
    <t>25652000000049977521</t>
  </si>
  <si>
    <t>17361626831</t>
  </si>
  <si>
    <t>20230006789</t>
  </si>
  <si>
    <t>6223231999011558134</t>
  </si>
  <si>
    <t>李生瑞</t>
  </si>
  <si>
    <t>0000492</t>
  </si>
  <si>
    <t>3-1-802</t>
  </si>
  <si>
    <t>25652000000049968307</t>
  </si>
  <si>
    <t>18509949093</t>
  </si>
  <si>
    <t>20230008518</t>
  </si>
  <si>
    <t>652826197205091420</t>
  </si>
  <si>
    <t>达·阿丽腾、改文</t>
  </si>
  <si>
    <t>0000560</t>
  </si>
  <si>
    <t>3-1-901</t>
  </si>
  <si>
    <t>25652000000050043484</t>
  </si>
  <si>
    <t>15199900382</t>
  </si>
  <si>
    <t>20240004612</t>
  </si>
  <si>
    <t>511602199608307690</t>
  </si>
  <si>
    <t>吴杰</t>
  </si>
  <si>
    <t>0000952</t>
  </si>
  <si>
    <t>3-1-902</t>
  </si>
  <si>
    <t>25652000000050024012</t>
  </si>
  <si>
    <t>2024.7.28</t>
  </si>
  <si>
    <t>2024.8.12</t>
  </si>
  <si>
    <t>18780137497</t>
  </si>
  <si>
    <t>无家装</t>
  </si>
  <si>
    <t>20240004484</t>
  </si>
  <si>
    <t>652829200010111712</t>
  </si>
  <si>
    <t>陈新龙</t>
  </si>
  <si>
    <t>0000902</t>
  </si>
  <si>
    <t>3-1-1001</t>
  </si>
  <si>
    <t>25652000000050024136</t>
  </si>
  <si>
    <t>2024.7.27</t>
  </si>
  <si>
    <t>18699635315</t>
  </si>
  <si>
    <t>20240007366</t>
  </si>
  <si>
    <t>652829199808061616</t>
  </si>
  <si>
    <t>阿斯尔</t>
  </si>
  <si>
    <t>0001011</t>
  </si>
  <si>
    <t>3-1-1002</t>
  </si>
  <si>
    <t>25652000000050124365</t>
  </si>
  <si>
    <t>2024.12.21</t>
  </si>
  <si>
    <t>18599408945</t>
  </si>
  <si>
    <t>有车位6年物业费</t>
  </si>
  <si>
    <t>3-1-1101</t>
  </si>
  <si>
    <t>20240000888</t>
  </si>
  <si>
    <t>65312419731209423X</t>
  </si>
  <si>
    <t>彭虎彪</t>
  </si>
  <si>
    <t>0001061</t>
  </si>
  <si>
    <t>3-1-1102</t>
  </si>
  <si>
    <t>25652000000050134384</t>
  </si>
  <si>
    <t>2024.2.14</t>
  </si>
  <si>
    <t>2024.2.29</t>
  </si>
  <si>
    <t>18709960989</t>
  </si>
  <si>
    <t>抵金克1002187</t>
  </si>
  <si>
    <t>3-2-101</t>
  </si>
  <si>
    <t>20250000441</t>
  </si>
  <si>
    <t>652824197107041136</t>
  </si>
  <si>
    <t>陈建军</t>
  </si>
  <si>
    <t>0000735</t>
  </si>
  <si>
    <t>3-2-102</t>
  </si>
  <si>
    <t>25652000000050015497</t>
  </si>
  <si>
    <t>2025.1.2</t>
  </si>
  <si>
    <t>2025.1.23</t>
  </si>
  <si>
    <t>13899868607</t>
  </si>
  <si>
    <t>6年物业费15000商业抵用券</t>
  </si>
  <si>
    <t>20250002349</t>
  </si>
  <si>
    <t>411222200001020533</t>
  </si>
  <si>
    <t>员龙</t>
  </si>
  <si>
    <t>3-2-201</t>
  </si>
  <si>
    <t>25652000000031186039</t>
  </si>
  <si>
    <t>15713678324</t>
  </si>
  <si>
    <t>抵金克773009</t>
  </si>
  <si>
    <t>3-2-202</t>
  </si>
  <si>
    <t>20240002624</t>
  </si>
  <si>
    <t>410922198809066216</t>
  </si>
  <si>
    <t>张芳近、王红玲</t>
  </si>
  <si>
    <t>3-2-301</t>
  </si>
  <si>
    <t>25652000000050015681</t>
  </si>
  <si>
    <t>15899012005</t>
  </si>
  <si>
    <t>20230010580</t>
  </si>
  <si>
    <t>510303198108111346</t>
  </si>
  <si>
    <t>邱燕、晏世军</t>
  </si>
  <si>
    <t>0000596</t>
  </si>
  <si>
    <t>3-2-302</t>
  </si>
  <si>
    <t>25652000000050134857</t>
  </si>
  <si>
    <t>20230008644</t>
  </si>
  <si>
    <t>652324199805280910</t>
  </si>
  <si>
    <t>万子洋</t>
  </si>
  <si>
    <t>3-2-401</t>
  </si>
  <si>
    <t>25652000000050144924</t>
  </si>
  <si>
    <t>2024.1.4</t>
  </si>
  <si>
    <t>20230010036</t>
  </si>
  <si>
    <t>654223199809180319</t>
  </si>
  <si>
    <t>金振宇</t>
  </si>
  <si>
    <t>0000597</t>
  </si>
  <si>
    <t>3-2-402</t>
  </si>
  <si>
    <t>25652000000050075809</t>
  </si>
  <si>
    <t>2023.11.18</t>
  </si>
  <si>
    <t>17399918091</t>
  </si>
  <si>
    <t>620523199709230857</t>
  </si>
  <si>
    <t>张凯峯</t>
  </si>
  <si>
    <t>0000513</t>
  </si>
  <si>
    <t>3-2-501</t>
  </si>
  <si>
    <t>25652000000050165167</t>
  </si>
  <si>
    <t>2023.7.23</t>
  </si>
  <si>
    <t>18509948644</t>
  </si>
  <si>
    <t>20230008188</t>
  </si>
  <si>
    <t>622101199909262513</t>
  </si>
  <si>
    <t>丁自然</t>
  </si>
  <si>
    <t>0000402</t>
  </si>
  <si>
    <t>3-2-502</t>
  </si>
  <si>
    <t>25652000000050115663</t>
  </si>
  <si>
    <t>15593767271</t>
  </si>
  <si>
    <t>20230007893</t>
  </si>
  <si>
    <t>62242419971007521X</t>
  </si>
  <si>
    <t>孙逸鹏</t>
  </si>
  <si>
    <t>0000497</t>
  </si>
  <si>
    <t>3-2-601</t>
  </si>
  <si>
    <t>25652000000050057182</t>
  </si>
  <si>
    <t>17693601573</t>
  </si>
  <si>
    <t>20230006926</t>
  </si>
  <si>
    <t>622724197709290517</t>
  </si>
  <si>
    <t>刘路、陆喜琴</t>
  </si>
  <si>
    <t>0000488</t>
  </si>
  <si>
    <t>3-2-602</t>
  </si>
  <si>
    <t>25652000000050017673</t>
  </si>
  <si>
    <t>0000281</t>
  </si>
  <si>
    <t>13779315836</t>
  </si>
  <si>
    <t>20230006815</t>
  </si>
  <si>
    <t>23081120010301001X</t>
  </si>
  <si>
    <t>巴震国</t>
  </si>
  <si>
    <t>3-2-701</t>
  </si>
  <si>
    <t>25652000000050167080</t>
  </si>
  <si>
    <t>0000241</t>
  </si>
  <si>
    <t>13134541589</t>
  </si>
  <si>
    <t>20230006872</t>
  </si>
  <si>
    <t>120223199707242892</t>
  </si>
  <si>
    <t>董港林</t>
  </si>
  <si>
    <t>0000500</t>
  </si>
  <si>
    <t>3-2-702</t>
  </si>
  <si>
    <t>25652000000050117509</t>
  </si>
  <si>
    <t>20230007723</t>
  </si>
  <si>
    <t>65272220000119101X</t>
  </si>
  <si>
    <t>俞晨龙</t>
  </si>
  <si>
    <t>3-2-801</t>
  </si>
  <si>
    <t>25652000000050953736</t>
  </si>
  <si>
    <t>20240002011</t>
  </si>
  <si>
    <t>620523198406284992</t>
  </si>
  <si>
    <t>席煜昌</t>
  </si>
  <si>
    <t>3-2-802</t>
  </si>
  <si>
    <t>25652000000050993474</t>
  </si>
  <si>
    <t>18699542386</t>
  </si>
  <si>
    <t>2024000266</t>
  </si>
  <si>
    <t>652823199603262213</t>
  </si>
  <si>
    <t>高焕超
张毅 退</t>
  </si>
  <si>
    <t>0001046</t>
  </si>
  <si>
    <t>3-2-901</t>
  </si>
  <si>
    <t>25652000000051042257</t>
  </si>
  <si>
    <t xml:space="preserve">
'0000286</t>
  </si>
  <si>
    <t>连阵阵
李秀莲</t>
  </si>
  <si>
    <t>2024.1.11</t>
  </si>
  <si>
    <t>18699554360</t>
  </si>
  <si>
    <t>20240001597</t>
  </si>
  <si>
    <t>652301199910206419</t>
  </si>
  <si>
    <t>周嘉乐</t>
  </si>
  <si>
    <t>0000690</t>
  </si>
  <si>
    <t>3-2-902</t>
  </si>
  <si>
    <t>25652000000051151409</t>
  </si>
  <si>
    <t>15739845245</t>
  </si>
  <si>
    <t>20240001955</t>
  </si>
  <si>
    <t>411527199409244779</t>
  </si>
  <si>
    <t>林俊</t>
  </si>
  <si>
    <t>3-2-1001</t>
  </si>
  <si>
    <t>25652000000051181090</t>
  </si>
  <si>
    <t>2024.5.9</t>
  </si>
  <si>
    <t>20240003954</t>
  </si>
  <si>
    <t>152321199912277576</t>
  </si>
  <si>
    <t>孙渴</t>
  </si>
  <si>
    <t>3-2-1002</t>
  </si>
  <si>
    <t>25652000000051062832</t>
  </si>
  <si>
    <t>2024.7.24</t>
  </si>
  <si>
    <t>15847579617</t>
  </si>
  <si>
    <t>3-2-1101</t>
  </si>
  <si>
    <t>3-2-1102</t>
  </si>
  <si>
    <t>20230007301</t>
  </si>
  <si>
    <t>429004198612172355</t>
  </si>
  <si>
    <t>代盛</t>
  </si>
  <si>
    <t>0000499</t>
  </si>
  <si>
    <t>3-3-101</t>
  </si>
  <si>
    <t>25652000000051132417</t>
  </si>
  <si>
    <t>15001572573</t>
  </si>
  <si>
    <t>3-3-102</t>
  </si>
  <si>
    <t>20240003267</t>
  </si>
  <si>
    <t>412702199902271038</t>
  </si>
  <si>
    <t>刘理想 成交
孔思懿 退</t>
  </si>
  <si>
    <t>0000692</t>
  </si>
  <si>
    <t>3-3-201</t>
  </si>
  <si>
    <t>25652000000051182515</t>
  </si>
  <si>
    <t xml:space="preserve">
'0000304</t>
  </si>
  <si>
    <t>肖陶丽
肖陶丽</t>
  </si>
  <si>
    <t>18099582231</t>
  </si>
  <si>
    <t>620522199203242512</t>
  </si>
  <si>
    <t>李瑞红、李宁宁</t>
  </si>
  <si>
    <t>0001188</t>
  </si>
  <si>
    <t>3-3-202</t>
  </si>
  <si>
    <t>26652000000213618106</t>
  </si>
  <si>
    <t>20230008198</t>
  </si>
  <si>
    <t>412726200207185417</t>
  </si>
  <si>
    <t>王佳豪</t>
  </si>
  <si>
    <t>0000600</t>
  </si>
  <si>
    <t>3-3-301</t>
  </si>
  <si>
    <t>25652000000051034606</t>
  </si>
  <si>
    <t>17767654158</t>
  </si>
  <si>
    <t>20230008547</t>
  </si>
  <si>
    <t>652801198808101613</t>
  </si>
  <si>
    <t>郑波</t>
  </si>
  <si>
    <t>0000542</t>
  </si>
  <si>
    <t>3-3-302</t>
  </si>
  <si>
    <t>25652000000051078835</t>
  </si>
  <si>
    <t>13999601553</t>
  </si>
  <si>
    <t>20230008417</t>
  </si>
  <si>
    <t>622323199603184451</t>
  </si>
  <si>
    <t>李振辉</t>
  </si>
  <si>
    <t>0000570</t>
  </si>
  <si>
    <t>3-3-401</t>
  </si>
  <si>
    <t>25652000000051187478</t>
  </si>
  <si>
    <t>2023.12.14</t>
  </si>
  <si>
    <t>15999022694</t>
  </si>
  <si>
    <t>20230009188</t>
  </si>
  <si>
    <t>654201200005173217</t>
  </si>
  <si>
    <t>张茂润</t>
  </si>
  <si>
    <t>3-3-402</t>
  </si>
  <si>
    <t>25652000000051158293</t>
  </si>
  <si>
    <t>20230006875</t>
  </si>
  <si>
    <t>620524200004055974</t>
  </si>
  <si>
    <t>刘家辰</t>
  </si>
  <si>
    <t>0000494</t>
  </si>
  <si>
    <t>3-3-501</t>
  </si>
  <si>
    <t>25652000000051187763</t>
  </si>
  <si>
    <t>15097287096</t>
  </si>
  <si>
    <t>20230008634</t>
  </si>
  <si>
    <t>652801199411301654</t>
  </si>
  <si>
    <t>杨子帆</t>
  </si>
  <si>
    <t>0000489</t>
  </si>
  <si>
    <t>3-3-502</t>
  </si>
  <si>
    <t>25652000000051495062</t>
  </si>
  <si>
    <t>2023.4.29</t>
  </si>
  <si>
    <t>2023.12.8</t>
  </si>
  <si>
    <t>13669959497</t>
  </si>
  <si>
    <t>20230010262</t>
  </si>
  <si>
    <t>622323200007090518</t>
  </si>
  <si>
    <t>王希荣</t>
  </si>
  <si>
    <t>3-3-601</t>
  </si>
  <si>
    <t>25652000000051446088</t>
  </si>
  <si>
    <t>2023.12.10</t>
  </si>
  <si>
    <t>13830508173</t>
  </si>
  <si>
    <t>20230006855</t>
  </si>
  <si>
    <t>652322199810221031</t>
  </si>
  <si>
    <t>0000482</t>
  </si>
  <si>
    <t>3-3-602</t>
  </si>
  <si>
    <t>25652000000051356898</t>
  </si>
  <si>
    <t>13139677707</t>
  </si>
  <si>
    <t>20230006961</t>
  </si>
  <si>
    <t>642221199809221575</t>
  </si>
  <si>
    <t>谢彦堂</t>
  </si>
  <si>
    <t>0000504</t>
  </si>
  <si>
    <t>3-3-701</t>
  </si>
  <si>
    <t>25652000000051446306</t>
  </si>
  <si>
    <t xml:space="preserve">
'0000246</t>
  </si>
  <si>
    <t>2023.8.12</t>
  </si>
  <si>
    <t>15095414146</t>
  </si>
  <si>
    <t>20230010259</t>
  </si>
  <si>
    <t>640322200012240619</t>
  </si>
  <si>
    <t>徐升</t>
  </si>
  <si>
    <t>3-3-702</t>
  </si>
  <si>
    <t>25652000000051386669</t>
  </si>
  <si>
    <t>18599822009</t>
  </si>
  <si>
    <t>20230006810</t>
  </si>
  <si>
    <t>622323200002096814</t>
  </si>
  <si>
    <t>刘璞</t>
  </si>
  <si>
    <t>0000502</t>
  </si>
  <si>
    <t>3-3-801</t>
  </si>
  <si>
    <t>25652000000051367356</t>
  </si>
  <si>
    <t>15699230862</t>
  </si>
  <si>
    <t>20250003063</t>
  </si>
  <si>
    <t>622226199508102052</t>
  </si>
  <si>
    <t>高学博、张金镯 成交
魏娟 退
赵鹏 退</t>
  </si>
  <si>
    <t>3-3-802</t>
  </si>
  <si>
    <t>25652000000051506158</t>
  </si>
  <si>
    <t>2023.10.17</t>
  </si>
  <si>
    <t>13719658633</t>
  </si>
  <si>
    <t>20230008390</t>
  </si>
  <si>
    <t>410581199912180036</t>
  </si>
  <si>
    <t>申浩杰</t>
  </si>
  <si>
    <t>3-3-901</t>
  </si>
  <si>
    <t>25652000000051466969</t>
  </si>
  <si>
    <t>19390606709</t>
  </si>
  <si>
    <t>20230008248</t>
  </si>
  <si>
    <t>321181199912210036</t>
  </si>
  <si>
    <t>蒋昱昕</t>
  </si>
  <si>
    <t>3-3-902</t>
  </si>
  <si>
    <t>25652000000051358170</t>
  </si>
  <si>
    <t>17602512213</t>
  </si>
  <si>
    <t>20240002490</t>
  </si>
  <si>
    <t>622301199606254437</t>
  </si>
  <si>
    <t>王建永、叶梅霞</t>
  </si>
  <si>
    <t>0001043</t>
  </si>
  <si>
    <t>3-3-1001</t>
  </si>
  <si>
    <t>25652000000051427996</t>
  </si>
  <si>
    <t>2024.5.13</t>
  </si>
  <si>
    <t>2024.7.3</t>
  </si>
  <si>
    <t>15299342115</t>
  </si>
  <si>
    <t>20240002506</t>
  </si>
  <si>
    <t>220182199911080614</t>
  </si>
  <si>
    <t>刘宇航</t>
  </si>
  <si>
    <t>0001091</t>
  </si>
  <si>
    <t>3-3-1002</t>
  </si>
  <si>
    <t>25652000000051477639</t>
  </si>
  <si>
    <t>13364644453</t>
  </si>
  <si>
    <t>20240001267</t>
  </si>
  <si>
    <t>653124197511114213</t>
  </si>
  <si>
    <t>杨帆、张静</t>
  </si>
  <si>
    <t>0001062</t>
  </si>
  <si>
    <t>3-3-1101</t>
  </si>
  <si>
    <t>25652000000051358803</t>
  </si>
  <si>
    <t>2024.2.15</t>
  </si>
  <si>
    <t>15292928887</t>
  </si>
  <si>
    <t>20250000884</t>
  </si>
  <si>
    <t>130205200308080915</t>
  </si>
  <si>
    <t>李佳文</t>
  </si>
  <si>
    <t>0000559</t>
  </si>
  <si>
    <t>3-3-1102</t>
  </si>
  <si>
    <t>25652000000051378698</t>
  </si>
  <si>
    <t>2025.3.2</t>
  </si>
  <si>
    <t>2025.3.14</t>
  </si>
  <si>
    <t>13323252141</t>
  </si>
  <si>
    <t>不要车位3年物业费</t>
  </si>
  <si>
    <t>5-负1-101</t>
  </si>
  <si>
    <t>张恒</t>
  </si>
  <si>
    <t>5-负1-102</t>
  </si>
  <si>
    <t>潘兰</t>
  </si>
  <si>
    <t>5-负1-103</t>
  </si>
  <si>
    <t>5-负1-104</t>
  </si>
  <si>
    <t>5-负1-105</t>
  </si>
  <si>
    <t>李志宏</t>
  </si>
  <si>
    <t>5-负1-106</t>
  </si>
  <si>
    <t>杨玉文</t>
  </si>
  <si>
    <t>5-负1-107</t>
  </si>
  <si>
    <t>5-负1-108</t>
  </si>
  <si>
    <t>5-负1-109</t>
  </si>
  <si>
    <t>孙龙</t>
  </si>
  <si>
    <t>5-负1-110</t>
  </si>
  <si>
    <t>2025.6.26</t>
  </si>
  <si>
    <t>5-负1-111</t>
  </si>
  <si>
    <t>5-负1-112</t>
  </si>
  <si>
    <t>5-负1-113</t>
  </si>
  <si>
    <t>5-负1-114</t>
  </si>
  <si>
    <t>白嘉辉</t>
  </si>
  <si>
    <t>5-负1-115</t>
  </si>
  <si>
    <t>李鑫</t>
  </si>
  <si>
    <t>5-负1-116</t>
  </si>
  <si>
    <t>李帅</t>
  </si>
  <si>
    <t>5-负1-117</t>
  </si>
  <si>
    <t>5-负1-118</t>
  </si>
  <si>
    <t>高焕超</t>
  </si>
  <si>
    <t>5-负1-119</t>
  </si>
  <si>
    <t>20230008666</t>
  </si>
  <si>
    <t>652801198912211636</t>
  </si>
  <si>
    <t>王博 1 成交
马文军退</t>
  </si>
  <si>
    <t>5-1-101</t>
  </si>
  <si>
    <t>25652000000058075760</t>
  </si>
  <si>
    <t>0000306
'0000237</t>
  </si>
  <si>
    <t>王荣
连阵阵</t>
  </si>
  <si>
    <t>13199969910</t>
  </si>
  <si>
    <t>20240002391</t>
  </si>
  <si>
    <t>652801199204071614</t>
  </si>
  <si>
    <t>哈加甫</t>
  </si>
  <si>
    <t>0001104</t>
  </si>
  <si>
    <t>5-1-102</t>
  </si>
  <si>
    <t>25652000000057971933</t>
  </si>
  <si>
    <t>2024.4.26</t>
  </si>
  <si>
    <t>2024.8.11</t>
  </si>
  <si>
    <t>15109962801</t>
  </si>
  <si>
    <t>412724199205247911</t>
  </si>
  <si>
    <t>0000723</t>
  </si>
  <si>
    <t>5-1-201</t>
  </si>
  <si>
    <t>25652000000058072749</t>
  </si>
  <si>
    <t>15276663303</t>
  </si>
  <si>
    <t>20250001642</t>
  </si>
  <si>
    <t xml:space="preserve">65280119960923053X </t>
  </si>
  <si>
    <t>马越</t>
  </si>
  <si>
    <t>0000565</t>
  </si>
  <si>
    <t>5-1-202</t>
  </si>
  <si>
    <t>25652000000058111948</t>
  </si>
  <si>
    <t>2025.3.8</t>
  </si>
  <si>
    <t>17691484000</t>
  </si>
  <si>
    <t>20250000718</t>
  </si>
  <si>
    <t>652801196712041696</t>
  </si>
  <si>
    <t>安尼娃</t>
  </si>
  <si>
    <t>5-1-301</t>
  </si>
  <si>
    <t>25652000000058046116</t>
  </si>
  <si>
    <t>15609963666</t>
  </si>
  <si>
    <t>有车位2年物业费 华为三件套</t>
  </si>
  <si>
    <t>142724198701154132</t>
  </si>
  <si>
    <t>张恒 成交</t>
  </si>
  <si>
    <t>0000670</t>
  </si>
  <si>
    <t>5-1-302</t>
  </si>
  <si>
    <t>25652000000057935974</t>
  </si>
  <si>
    <t>15509963727</t>
  </si>
  <si>
    <t>652822198811100568</t>
  </si>
  <si>
    <t>王前丽</t>
  </si>
  <si>
    <t>0000847</t>
  </si>
  <si>
    <t>5-1-401</t>
  </si>
  <si>
    <t>25652000000057946066</t>
  </si>
  <si>
    <t>2025.2.26</t>
  </si>
  <si>
    <t>2025.4.12</t>
  </si>
  <si>
    <t>18963851866</t>
  </si>
  <si>
    <t>652101198812031015</t>
  </si>
  <si>
    <t>0000599</t>
  </si>
  <si>
    <t>5-1-402</t>
  </si>
  <si>
    <t>25652000000057942286</t>
  </si>
  <si>
    <t>2023.12.13</t>
  </si>
  <si>
    <t>2023.12.18</t>
  </si>
  <si>
    <t>18599463690</t>
  </si>
  <si>
    <t>652924200101243618</t>
  </si>
  <si>
    <t>郭子建</t>
  </si>
  <si>
    <t>0001053</t>
  </si>
  <si>
    <t>5-1-501</t>
  </si>
  <si>
    <t>25652000000057923406</t>
  </si>
  <si>
    <t>15770075115</t>
  </si>
  <si>
    <t>652829199301051611</t>
  </si>
  <si>
    <t>巴吐道尔吉</t>
  </si>
  <si>
    <t>5-1-502</t>
  </si>
  <si>
    <t>25652000000058012102</t>
  </si>
  <si>
    <t>13119966664</t>
  </si>
  <si>
    <t>652823199810060016</t>
  </si>
  <si>
    <t>陈浩楠 退
李安格 成交</t>
  </si>
  <si>
    <t>0000567</t>
  </si>
  <si>
    <t>5-1-601</t>
  </si>
  <si>
    <t>25652000000058221359</t>
  </si>
  <si>
    <t>0000229
0000311</t>
  </si>
  <si>
    <t>张玉琴
闫金秀</t>
  </si>
  <si>
    <t>13283885308</t>
  </si>
  <si>
    <t>610124200102082710</t>
  </si>
  <si>
    <t>罗霄</t>
  </si>
  <si>
    <t>0000631</t>
  </si>
  <si>
    <t>5-1-602</t>
  </si>
  <si>
    <t>25652000000058221232</t>
  </si>
  <si>
    <t>17799780828</t>
  </si>
  <si>
    <t>652823198411100047</t>
  </si>
  <si>
    <t>0000558</t>
  </si>
  <si>
    <t>5-1-701</t>
  </si>
  <si>
    <t>25652000000058102048</t>
  </si>
  <si>
    <t>13369968567</t>
  </si>
  <si>
    <t>410526200010279070</t>
  </si>
  <si>
    <t>柴雪龙</t>
  </si>
  <si>
    <t>0000595</t>
  </si>
  <si>
    <t>5-1-702</t>
  </si>
  <si>
    <t>25652000000058006549</t>
  </si>
  <si>
    <t>0000276</t>
  </si>
  <si>
    <t>2024.2.4</t>
  </si>
  <si>
    <t>652801198904270046</t>
  </si>
  <si>
    <t>海晶</t>
  </si>
  <si>
    <t>5-1-801</t>
  </si>
  <si>
    <t>25652000000057986202</t>
  </si>
  <si>
    <t>2023.11.14</t>
  </si>
  <si>
    <t>14709967872</t>
  </si>
  <si>
    <t>150203200004205118</t>
  </si>
  <si>
    <t>董浩宇 成交
李小姚 退</t>
  </si>
  <si>
    <t>5-1-802</t>
  </si>
  <si>
    <t>25652000000058032644</t>
  </si>
  <si>
    <t xml:space="preserve">
'0000310</t>
  </si>
  <si>
    <t>连阵阵
闫金秀</t>
  </si>
  <si>
    <t>13848204162</t>
  </si>
  <si>
    <t>620402199703120916</t>
  </si>
  <si>
    <t>陈浩楠 成交
潘兰 退</t>
  </si>
  <si>
    <t>0000561</t>
  </si>
  <si>
    <t>5-1-901</t>
  </si>
  <si>
    <t>25652000000058067106</t>
  </si>
  <si>
    <t>18139981901</t>
  </si>
  <si>
    <t>652801199601043916</t>
  </si>
  <si>
    <t>王琪翔 成交
邓超超 退</t>
  </si>
  <si>
    <t>0001029</t>
  </si>
  <si>
    <t>5-1-902</t>
  </si>
  <si>
    <t>25652000000060133614</t>
  </si>
  <si>
    <t>2023.3.25</t>
  </si>
  <si>
    <t>2024.1.29</t>
  </si>
  <si>
    <t>18099593617</t>
  </si>
  <si>
    <t>652801199604161619</t>
  </si>
  <si>
    <t>唐彬鑫</t>
  </si>
  <si>
    <t>0001108</t>
  </si>
  <si>
    <t>5-1-1001</t>
  </si>
  <si>
    <t>25652000000049115330</t>
  </si>
  <si>
    <t>2024.4.24</t>
  </si>
  <si>
    <t>2024.6.27</t>
  </si>
  <si>
    <t>19999176617</t>
  </si>
  <si>
    <t>620321199305010926</t>
  </si>
  <si>
    <t>张海荣
何学希 成交</t>
  </si>
  <si>
    <t>0000569</t>
  </si>
  <si>
    <t>5-1-1002</t>
  </si>
  <si>
    <t>2565200000057989695</t>
  </si>
  <si>
    <t>0000327</t>
  </si>
  <si>
    <t xml:space="preserve">刘宁宁
</t>
  </si>
  <si>
    <t>2023.11.17
2023.12.27</t>
  </si>
  <si>
    <t>15352383595</t>
  </si>
  <si>
    <t>65312420002154211</t>
  </si>
  <si>
    <t>李浩辰</t>
  </si>
  <si>
    <t>5-1-1101</t>
  </si>
  <si>
    <t>25652000000058032174</t>
  </si>
  <si>
    <t>2024.2.8</t>
  </si>
  <si>
    <t>18199963170</t>
  </si>
  <si>
    <t>652801198205241633</t>
  </si>
  <si>
    <t>黄俊</t>
  </si>
  <si>
    <t>5-1-1102</t>
  </si>
  <si>
    <t>25652000000057933269</t>
  </si>
  <si>
    <t>2025.1.4</t>
  </si>
  <si>
    <t>18699681113</t>
  </si>
  <si>
    <t>411527199408021012</t>
  </si>
  <si>
    <t>刘闯</t>
  </si>
  <si>
    <t>0000568</t>
  </si>
  <si>
    <t>5-2-101</t>
  </si>
  <si>
    <t>25652000000058587571</t>
  </si>
  <si>
    <t>18693059098</t>
  </si>
  <si>
    <t>652801199412316110</t>
  </si>
  <si>
    <t>李梦元</t>
  </si>
  <si>
    <t>0000854</t>
  </si>
  <si>
    <t>5-2-102</t>
  </si>
  <si>
    <t>25652000000059052858</t>
  </si>
  <si>
    <t>18690681980</t>
  </si>
  <si>
    <t>622425199908302912</t>
  </si>
  <si>
    <t>车宏伟</t>
  </si>
  <si>
    <t>5-2-201</t>
  </si>
  <si>
    <t>25652000000058558039</t>
  </si>
  <si>
    <t>17590023693</t>
  </si>
  <si>
    <t>652827199211260329</t>
  </si>
  <si>
    <t>冯晓宇</t>
  </si>
  <si>
    <t>5-2-202</t>
  </si>
  <si>
    <t>25652000000058554106</t>
  </si>
  <si>
    <t>15001569464</t>
  </si>
  <si>
    <t>622323198912053434</t>
  </si>
  <si>
    <t>姚国瑾</t>
  </si>
  <si>
    <t>0000615</t>
  </si>
  <si>
    <t>5-2-301</t>
  </si>
  <si>
    <t>25652000000058517970</t>
  </si>
  <si>
    <t>15899033249</t>
  </si>
  <si>
    <t>61032619980818061X</t>
  </si>
  <si>
    <t>刘航</t>
  </si>
  <si>
    <t>0000942</t>
  </si>
  <si>
    <t>5-2-302</t>
  </si>
  <si>
    <t>25652000000058467911</t>
  </si>
  <si>
    <t>2024.6.29</t>
  </si>
  <si>
    <t>2024.7.21</t>
  </si>
  <si>
    <t>15229893729</t>
  </si>
  <si>
    <t>650107198208040018</t>
  </si>
  <si>
    <t>0001025</t>
  </si>
  <si>
    <t>5-2-401</t>
  </si>
  <si>
    <t>25652000000058001672</t>
  </si>
  <si>
    <t>15899013571</t>
  </si>
  <si>
    <t>65280119920508058X</t>
  </si>
  <si>
    <t>张瀚允</t>
  </si>
  <si>
    <t>0000705</t>
  </si>
  <si>
    <t>5-2-402</t>
  </si>
  <si>
    <t>25652000000058447005</t>
  </si>
  <si>
    <t>18699662659</t>
  </si>
  <si>
    <t>410322199812101811</t>
  </si>
  <si>
    <t>曲思昱</t>
  </si>
  <si>
    <t>0000555</t>
  </si>
  <si>
    <t>5-2-501</t>
  </si>
  <si>
    <t>25652000000057927156</t>
  </si>
  <si>
    <t>13592036807</t>
  </si>
  <si>
    <t>20240003720</t>
  </si>
  <si>
    <t>652825199511031215</t>
  </si>
  <si>
    <t>陶旭润</t>
  </si>
  <si>
    <t>0000936</t>
  </si>
  <si>
    <t>5-2-502</t>
  </si>
  <si>
    <t>5652000000057971383</t>
  </si>
  <si>
    <t>2024.6.17</t>
  </si>
  <si>
    <t>18299832635</t>
  </si>
  <si>
    <t>511303198609011395</t>
  </si>
  <si>
    <t>胡晶</t>
  </si>
  <si>
    <t>5-2-601</t>
  </si>
  <si>
    <t>25652000000058475738</t>
  </si>
  <si>
    <t xml:space="preserve">
'0000266</t>
  </si>
  <si>
    <t>20240000509</t>
  </si>
  <si>
    <t>622301199608086051</t>
  </si>
  <si>
    <t>李建杰</t>
  </si>
  <si>
    <t>0000658</t>
  </si>
  <si>
    <t>5-2-602</t>
  </si>
  <si>
    <t>25652000000057996738</t>
  </si>
  <si>
    <t>17709939465</t>
  </si>
  <si>
    <t>20240003565</t>
  </si>
  <si>
    <t>622322199610172217</t>
  </si>
  <si>
    <t>刘英德 成交5.31刷卡
米日古丽·巴热提 退房</t>
  </si>
  <si>
    <t>5-2-701</t>
  </si>
  <si>
    <t>25652000000058445533</t>
  </si>
  <si>
    <t>2023.10.15</t>
  </si>
  <si>
    <t>13019905183</t>
  </si>
  <si>
    <t>20240002596</t>
  </si>
  <si>
    <t>652801197004046116</t>
  </si>
  <si>
    <t>刘文平</t>
  </si>
  <si>
    <t>0001093</t>
  </si>
  <si>
    <t>5-2-702</t>
  </si>
  <si>
    <t>25652000000058061308</t>
  </si>
  <si>
    <t>0000298</t>
  </si>
  <si>
    <t>19818330996</t>
  </si>
  <si>
    <t>652823199211173713</t>
  </si>
  <si>
    <t>罗涛（5-2-102已算业绩）</t>
  </si>
  <si>
    <t>5-2-801</t>
  </si>
  <si>
    <t>25652000000058465464</t>
  </si>
  <si>
    <t>18699626730</t>
  </si>
  <si>
    <t>20240004493</t>
  </si>
  <si>
    <t>342401199812226718</t>
  </si>
  <si>
    <t>李志宏
胡宏伟 退</t>
  </si>
  <si>
    <t>0000937</t>
  </si>
  <si>
    <t>5-2-802</t>
  </si>
  <si>
    <t>25652000000058545031</t>
  </si>
  <si>
    <t xml:space="preserve">
'0000296</t>
  </si>
  <si>
    <t>16609961669</t>
  </si>
  <si>
    <t>20240001795</t>
  </si>
  <si>
    <t>622322199509293014</t>
  </si>
  <si>
    <t>甘泽天</t>
  </si>
  <si>
    <t>5-2-901</t>
  </si>
  <si>
    <t>25652000000058534958</t>
  </si>
  <si>
    <t>2024.5.16</t>
  </si>
  <si>
    <t>20240004162</t>
  </si>
  <si>
    <t>652826200112072612</t>
  </si>
  <si>
    <t>白嘉辉
达·阿丽腾 退</t>
  </si>
  <si>
    <t>0000850</t>
  </si>
  <si>
    <t>5-2-902</t>
  </si>
  <si>
    <t>25652000000058102548</t>
  </si>
  <si>
    <t>连阵阵
王荣</t>
  </si>
  <si>
    <t>2024.8.13</t>
  </si>
  <si>
    <t>17799444156</t>
  </si>
  <si>
    <t>20240004167</t>
  </si>
  <si>
    <t>63282219971219001X</t>
  </si>
  <si>
    <t>孙延鑫</t>
  </si>
  <si>
    <t>5-2-1001</t>
  </si>
  <si>
    <t>25652000000058162310</t>
  </si>
  <si>
    <t>2024.9.2</t>
  </si>
  <si>
    <t>17679116923</t>
  </si>
  <si>
    <t>20240005154</t>
  </si>
  <si>
    <t>652822199612310022</t>
  </si>
  <si>
    <t>蒋艺媛</t>
  </si>
  <si>
    <t>0000915</t>
  </si>
  <si>
    <t>5-2-1002</t>
  </si>
  <si>
    <t>25652000000058162216</t>
  </si>
  <si>
    <t>2024.9.7</t>
  </si>
  <si>
    <t>18709966520</t>
  </si>
  <si>
    <t>20250000740</t>
  </si>
  <si>
    <t>652823198911280822</t>
  </si>
  <si>
    <t>王晓霞</t>
  </si>
  <si>
    <t>5-2-1101</t>
  </si>
  <si>
    <t>25652000000058201806</t>
  </si>
  <si>
    <t>20250002574</t>
  </si>
  <si>
    <t>652801199910240040</t>
  </si>
  <si>
    <t>陈芯悦、郑风兰</t>
  </si>
  <si>
    <t>0000992</t>
  </si>
  <si>
    <t>5-2-1102</t>
  </si>
  <si>
    <t>25652000000057989428</t>
  </si>
  <si>
    <t>13619959184</t>
  </si>
  <si>
    <t>王丰</t>
  </si>
  <si>
    <t>7-负1-101工具间1</t>
  </si>
  <si>
    <t>邱红</t>
  </si>
  <si>
    <t>7-负1-102工具间2</t>
  </si>
  <si>
    <t>2025.6.6</t>
  </si>
  <si>
    <t>张钰浛</t>
  </si>
  <si>
    <t>7-负1-103工具间3</t>
  </si>
  <si>
    <t>7-负1-104工具间4</t>
  </si>
  <si>
    <t>7-负1-105生活泵房</t>
  </si>
  <si>
    <t>7-负1-106水池</t>
  </si>
  <si>
    <t>7-负1-107消防泵房</t>
  </si>
  <si>
    <t>20240006126</t>
  </si>
  <si>
    <t>650107195911130011</t>
  </si>
  <si>
    <t>窦风玲、窦志龙、周洁</t>
  </si>
  <si>
    <t>0000709</t>
  </si>
  <si>
    <t>7-1-101</t>
  </si>
  <si>
    <t>25652000000054169233</t>
  </si>
  <si>
    <t>2024.11.18</t>
  </si>
  <si>
    <t>2024.12.18</t>
  </si>
  <si>
    <t>18160292002</t>
  </si>
  <si>
    <t>20230007552</t>
  </si>
  <si>
    <t>652801200110186125</t>
  </si>
  <si>
    <t>张钰浛
都林峰 退
黄霞 退</t>
  </si>
  <si>
    <t>0000420</t>
  </si>
  <si>
    <t>7-1-102</t>
  </si>
  <si>
    <t>25652000000052379344</t>
  </si>
  <si>
    <t>0000240
'0000289
0000329</t>
  </si>
  <si>
    <t>张玉琴
霍红霞
（黄霞）</t>
  </si>
  <si>
    <t>2023.5.3
2023.6.23</t>
  </si>
  <si>
    <t>13709966828</t>
  </si>
  <si>
    <t>20250001873</t>
  </si>
  <si>
    <t>652201199012070219</t>
  </si>
  <si>
    <t>李鹏飞 金环</t>
  </si>
  <si>
    <t>7-1-201</t>
  </si>
  <si>
    <t>25652000000059043149</t>
  </si>
  <si>
    <t>2025.4.17</t>
  </si>
  <si>
    <t>19309960025</t>
  </si>
  <si>
    <t>20240005562</t>
  </si>
  <si>
    <t>652801199408240512</t>
  </si>
  <si>
    <t>李孟晗</t>
  </si>
  <si>
    <t>0000711</t>
  </si>
  <si>
    <t>7-1-202</t>
  </si>
  <si>
    <t>25652000000052489434</t>
  </si>
  <si>
    <t>17767663877</t>
  </si>
  <si>
    <t>20240005023</t>
  </si>
  <si>
    <t>653130199108162414</t>
  </si>
  <si>
    <t>郑闫明</t>
  </si>
  <si>
    <t>0000408</t>
  </si>
  <si>
    <t>7-1-301</t>
  </si>
  <si>
    <t>25652000000053015258</t>
  </si>
  <si>
    <t>0000330</t>
  </si>
  <si>
    <t>15276293078</t>
  </si>
  <si>
    <t>20230007296</t>
  </si>
  <si>
    <t>412828199609043051</t>
  </si>
  <si>
    <t>李元朝、李世洋</t>
  </si>
  <si>
    <t>0000409</t>
  </si>
  <si>
    <t>7-1-302</t>
  </si>
  <si>
    <t>2565200000005288552</t>
  </si>
  <si>
    <t>0000332</t>
  </si>
  <si>
    <t>2023.8.5</t>
  </si>
  <si>
    <t>20240006864</t>
  </si>
  <si>
    <t>652823198711092245</t>
  </si>
  <si>
    <t>0000703</t>
  </si>
  <si>
    <t>7-1-401</t>
  </si>
  <si>
    <t>25652000000034278607</t>
  </si>
  <si>
    <t>15001594576</t>
  </si>
  <si>
    <t>6年物业费</t>
  </si>
  <si>
    <t>20230007193</t>
  </si>
  <si>
    <t>65230119980114081X</t>
  </si>
  <si>
    <t>马恺隆</t>
  </si>
  <si>
    <t>0000411</t>
  </si>
  <si>
    <t>7-1-402</t>
  </si>
  <si>
    <t>25652000000052954956</t>
  </si>
  <si>
    <t>13009615889</t>
  </si>
  <si>
    <t>20230008544</t>
  </si>
  <si>
    <t>411503199812262714</t>
  </si>
  <si>
    <t>卢新星</t>
  </si>
  <si>
    <t>0000602</t>
  </si>
  <si>
    <t>7-1-501</t>
  </si>
  <si>
    <t>25652000000052944923</t>
  </si>
  <si>
    <t>17699946828</t>
  </si>
  <si>
    <t>20230007285</t>
  </si>
  <si>
    <t>652824198112250818</t>
  </si>
  <si>
    <t>吴志强、管晓燕
卢新星 退</t>
  </si>
  <si>
    <t>7-1-502</t>
  </si>
  <si>
    <t>25652000000053034264</t>
  </si>
  <si>
    <t>0000267
'000269</t>
  </si>
  <si>
    <t xml:space="preserve">米云鹤
</t>
  </si>
  <si>
    <t>612729198407045714</t>
  </si>
  <si>
    <t>马杨飞
刘加颖 退</t>
  </si>
  <si>
    <t>0000414</t>
  </si>
  <si>
    <t>7-1-601</t>
  </si>
  <si>
    <t>25652000000052499797</t>
  </si>
  <si>
    <t>0000264
0000274</t>
  </si>
  <si>
    <t>潘亦玹
李秀莲</t>
  </si>
  <si>
    <t>13779669568</t>
  </si>
  <si>
    <t>20240005728</t>
  </si>
  <si>
    <t>41282419780901551X</t>
  </si>
  <si>
    <t>梁石磊</t>
  </si>
  <si>
    <t>0000415</t>
  </si>
  <si>
    <t>7-1-602</t>
  </si>
  <si>
    <t>25652000000052537006</t>
  </si>
  <si>
    <t>0000291</t>
  </si>
  <si>
    <t>2025.5.29</t>
  </si>
  <si>
    <t>15739386660</t>
  </si>
  <si>
    <t>20230007622</t>
  </si>
  <si>
    <t>652826199306103514</t>
  </si>
  <si>
    <t>苏雪儿、马腾</t>
  </si>
  <si>
    <t>0000507</t>
  </si>
  <si>
    <t>7-1-701</t>
  </si>
  <si>
    <t>25652000000053024125</t>
  </si>
  <si>
    <t>2023.9.5</t>
  </si>
  <si>
    <t>19999162326</t>
  </si>
  <si>
    <t>20230008203</t>
  </si>
  <si>
    <t>652301198212065327</t>
  </si>
  <si>
    <t>吴辉霞</t>
  </si>
  <si>
    <t>0000416</t>
  </si>
  <si>
    <t>7-1-702</t>
  </si>
  <si>
    <t>25652000000052994149</t>
  </si>
  <si>
    <t>0000277</t>
  </si>
  <si>
    <t>13779235761</t>
  </si>
  <si>
    <t>20240005447</t>
  </si>
  <si>
    <t>652901199610105213</t>
  </si>
  <si>
    <t>宋洋</t>
  </si>
  <si>
    <t>0000948</t>
  </si>
  <si>
    <t>7-1-801</t>
  </si>
  <si>
    <t>25652000000052580131</t>
  </si>
  <si>
    <t>20240.7.20</t>
  </si>
  <si>
    <t>2024.10.30</t>
  </si>
  <si>
    <t>17864298700</t>
  </si>
  <si>
    <t>不要车位，无家装送冰箱</t>
  </si>
  <si>
    <t>20230008575</t>
  </si>
  <si>
    <t>152524199904295117</t>
  </si>
  <si>
    <t>陈利明</t>
  </si>
  <si>
    <t>0000418</t>
  </si>
  <si>
    <t>7-1-802</t>
  </si>
  <si>
    <t>25652000000053023820</t>
  </si>
  <si>
    <t>2023.9.1</t>
  </si>
  <si>
    <t>15249558030</t>
  </si>
  <si>
    <t>20230007316</t>
  </si>
  <si>
    <t>652801200008220526</t>
  </si>
  <si>
    <t>符雅淋
杨斯博 退</t>
  </si>
  <si>
    <t>0000419</t>
  </si>
  <si>
    <t>7-1-901</t>
  </si>
  <si>
    <t>25652000000052570405</t>
  </si>
  <si>
    <t>0000294
0000268</t>
  </si>
  <si>
    <t>刘宁宁
林欢欢</t>
  </si>
  <si>
    <t>17699167593</t>
  </si>
  <si>
    <t>20230008579</t>
  </si>
  <si>
    <t>150121199904281118</t>
  </si>
  <si>
    <t>张翼飞</t>
  </si>
  <si>
    <t>0000510</t>
  </si>
  <si>
    <t>7-1-902</t>
  </si>
  <si>
    <t>25652000000052580549</t>
  </si>
  <si>
    <t>0000258</t>
  </si>
  <si>
    <t>15148041837</t>
  </si>
  <si>
    <t>652928199010080112</t>
  </si>
  <si>
    <t>鲁宁 成交
陈立波</t>
  </si>
  <si>
    <t>0000648</t>
  </si>
  <si>
    <t>7-1-1001</t>
  </si>
  <si>
    <t>25652000000052600889</t>
  </si>
  <si>
    <t xml:space="preserve">
'0000290</t>
  </si>
  <si>
    <t>李秀莲
赵帆</t>
  </si>
  <si>
    <t>2023.11.27</t>
  </si>
  <si>
    <t>15899337437</t>
  </si>
  <si>
    <t>610104197901213414</t>
  </si>
  <si>
    <t>刘洋</t>
  </si>
  <si>
    <t>7-1-1002</t>
  </si>
  <si>
    <t>25652000000052630940</t>
  </si>
  <si>
    <t>2023.10.25</t>
  </si>
  <si>
    <t>20240003801</t>
  </si>
  <si>
    <t>412823199704122012</t>
  </si>
  <si>
    <t>年泽润</t>
  </si>
  <si>
    <t>0000938</t>
  </si>
  <si>
    <t>7-1-1101</t>
  </si>
  <si>
    <t>25652000000052904178</t>
  </si>
  <si>
    <t>17607173860</t>
  </si>
  <si>
    <t>370783198602013976</t>
  </si>
  <si>
    <t>刘传祥</t>
  </si>
  <si>
    <t>0001002</t>
  </si>
  <si>
    <t>7-1-1102</t>
  </si>
  <si>
    <t>25652000000052531812</t>
  </si>
  <si>
    <t>13909960125</t>
  </si>
  <si>
    <t>370784198509083810</t>
  </si>
  <si>
    <t>李轶卿</t>
  </si>
  <si>
    <t>0000683</t>
  </si>
  <si>
    <t>7-2-101</t>
  </si>
  <si>
    <t>25652000000052581696</t>
  </si>
  <si>
    <t>15199956927</t>
  </si>
  <si>
    <t>652827199005061433</t>
  </si>
  <si>
    <t>范亚辉、吴倩倩
李瑞华 退</t>
  </si>
  <si>
    <t>0000407</t>
  </si>
  <si>
    <t>7-2-102</t>
  </si>
  <si>
    <t>25652000000054179361</t>
  </si>
  <si>
    <t>0000331
0000279</t>
  </si>
  <si>
    <t>刘宁宁
李秀莲</t>
  </si>
  <si>
    <t>2024.3.8
2024.5.16</t>
  </si>
  <si>
    <t>18139092995</t>
  </si>
  <si>
    <t>51300219971203699X</t>
  </si>
  <si>
    <t>苟育伟、程雪娇</t>
  </si>
  <si>
    <t>7-2-201</t>
  </si>
  <si>
    <t>25652000000054219149</t>
  </si>
  <si>
    <t>2024.12.15</t>
  </si>
  <si>
    <t>210703200004202017</t>
  </si>
  <si>
    <t>付荣淼</t>
  </si>
  <si>
    <t>0000744</t>
  </si>
  <si>
    <t>7-2-202</t>
  </si>
  <si>
    <t>25652000000054199830</t>
  </si>
  <si>
    <t>18704209383</t>
  </si>
  <si>
    <t>652827199904060311</t>
  </si>
  <si>
    <t>刘超杰、刘国祥</t>
  </si>
  <si>
    <t>0000521</t>
  </si>
  <si>
    <t>7-2-301</t>
  </si>
  <si>
    <t>25652000000054270611</t>
  </si>
  <si>
    <t>18099580422</t>
  </si>
  <si>
    <t>652801199801023426</t>
  </si>
  <si>
    <t>张芸宁</t>
  </si>
  <si>
    <t>0000939</t>
  </si>
  <si>
    <t>7-2-302</t>
  </si>
  <si>
    <t>25652000000058056750</t>
  </si>
  <si>
    <t>2024.8.1</t>
  </si>
  <si>
    <t>18890829369</t>
  </si>
  <si>
    <t>没有家装大礼包 无车位</t>
  </si>
  <si>
    <t>652826199808082610</t>
  </si>
  <si>
    <t xml:space="preserve">介文峰 </t>
  </si>
  <si>
    <t>000523</t>
  </si>
  <si>
    <t>7-2-401</t>
  </si>
  <si>
    <t>25652000000058684547</t>
  </si>
  <si>
    <t>17509006865</t>
  </si>
  <si>
    <t>620421199303225814</t>
  </si>
  <si>
    <t>武耀帮、李慧萍</t>
  </si>
  <si>
    <t>0000923</t>
  </si>
  <si>
    <t>7-2-402</t>
  </si>
  <si>
    <t>25652000000042033199</t>
  </si>
  <si>
    <t>2024.11.15</t>
  </si>
  <si>
    <t>19990633362</t>
  </si>
  <si>
    <t>622102199903110013</t>
  </si>
  <si>
    <t>苏鹏
阿卜杜萨拉木·阿不垃 退</t>
  </si>
  <si>
    <t>0000518</t>
  </si>
  <si>
    <t>7-2-501</t>
  </si>
  <si>
    <t>25652000000057931135</t>
  </si>
  <si>
    <t xml:space="preserve">0000234  
</t>
  </si>
  <si>
    <t>2023.7.17</t>
  </si>
  <si>
    <t>16699507703</t>
  </si>
  <si>
    <t>659001197702025710</t>
  </si>
  <si>
    <t>辛伟
陈志强 退</t>
  </si>
  <si>
    <t>7-2-502</t>
  </si>
  <si>
    <t>25652000000058631375</t>
  </si>
  <si>
    <t>0000242
0000249</t>
  </si>
  <si>
    <t>肖陶丽
霍红霞</t>
  </si>
  <si>
    <t>15899030101</t>
  </si>
  <si>
    <t>620523199806224694</t>
  </si>
  <si>
    <t>桂鹏军</t>
  </si>
  <si>
    <t>7-2-601</t>
  </si>
  <si>
    <t>25652000000058741277</t>
  </si>
  <si>
    <t>65280119780705163X</t>
  </si>
  <si>
    <t>任在新</t>
  </si>
  <si>
    <t>7-2-602</t>
  </si>
  <si>
    <t>25652000000058711764</t>
  </si>
  <si>
    <t>15899013939</t>
  </si>
  <si>
    <t>650104200104232534</t>
  </si>
  <si>
    <t>马云龙
王娟娟 退</t>
  </si>
  <si>
    <t>7-2-701</t>
  </si>
  <si>
    <t>25652000000058741792</t>
  </si>
  <si>
    <t xml:space="preserve">
0000250</t>
  </si>
  <si>
    <t>米云鹤
连阵阵</t>
  </si>
  <si>
    <t>411302200101171312</t>
  </si>
  <si>
    <t>陈逸飞
张静 退
侯育成 退</t>
  </si>
  <si>
    <t>0000872</t>
  </si>
  <si>
    <t>7-2-702</t>
  </si>
  <si>
    <t>25652000000058632659</t>
  </si>
  <si>
    <t xml:space="preserve">
'0000248</t>
  </si>
  <si>
    <t>米云鹤
王玉慧
潘亦玹</t>
  </si>
  <si>
    <t>13733120306</t>
  </si>
  <si>
    <t>20230007555
20240001578 结婚</t>
  </si>
  <si>
    <t>142703199502142115</t>
  </si>
  <si>
    <t>马坚
刘芮 退</t>
  </si>
  <si>
    <t>0000532</t>
  </si>
  <si>
    <t>7-2-801</t>
  </si>
  <si>
    <t>25652000000058007209</t>
  </si>
  <si>
    <t>0000275
0000256</t>
  </si>
  <si>
    <t>李秀莲
连阵阵</t>
  </si>
  <si>
    <t>2023.1.40</t>
  </si>
  <si>
    <t>19915084132</t>
  </si>
  <si>
    <t>412728199803065291</t>
  </si>
  <si>
    <t>李岚</t>
  </si>
  <si>
    <t>7-2-802</t>
  </si>
  <si>
    <t>25652000000058594024</t>
  </si>
  <si>
    <t>622301198002108290</t>
  </si>
  <si>
    <t>黄国</t>
  </si>
  <si>
    <t>0000509</t>
  </si>
  <si>
    <t>7-2-901</t>
  </si>
  <si>
    <t>25652000000058723254</t>
  </si>
  <si>
    <t>13779649120</t>
  </si>
  <si>
    <t>652801199410256118</t>
  </si>
  <si>
    <t>徐睿捷
张桂芝 退 未影响跳点
刘秀花 退</t>
  </si>
  <si>
    <t>0000874</t>
  </si>
  <si>
    <t>7-2-902</t>
  </si>
  <si>
    <t>25652000000058643176</t>
  </si>
  <si>
    <t>0000293
0000247</t>
  </si>
  <si>
    <t>刘宁宁
李秀莲
闫金秀</t>
  </si>
  <si>
    <t>19109962694</t>
  </si>
  <si>
    <t>652324199903031918</t>
  </si>
  <si>
    <t>姬博轩
黄昊煜 退</t>
  </si>
  <si>
    <t>7-2-1001</t>
  </si>
  <si>
    <t>25652000000058473958</t>
  </si>
  <si>
    <t xml:space="preserve">
'0000353</t>
  </si>
  <si>
    <t xml:space="preserve">王荣
</t>
  </si>
  <si>
    <t>15674127801</t>
  </si>
  <si>
    <t>620525198604192012</t>
  </si>
  <si>
    <t>王丰
罗清荣 退</t>
  </si>
  <si>
    <t>0000860</t>
  </si>
  <si>
    <t>7-2-1002</t>
  </si>
  <si>
    <t>25652000000058743259</t>
  </si>
  <si>
    <t xml:space="preserve">
'0000251</t>
  </si>
  <si>
    <t>18399781182</t>
  </si>
  <si>
    <t>652827196704160314</t>
  </si>
  <si>
    <t>肖广斌 肖萧</t>
  </si>
  <si>
    <t>0001000</t>
  </si>
  <si>
    <t>7-2-1101</t>
  </si>
  <si>
    <t>25652000000058614197</t>
  </si>
  <si>
    <t>18139095557</t>
  </si>
  <si>
    <t>62272719860616351X</t>
  </si>
  <si>
    <t>贾龙</t>
  </si>
  <si>
    <t>0000554</t>
  </si>
  <si>
    <t>7-2-1102</t>
  </si>
  <si>
    <t>25652000000058733805</t>
  </si>
  <si>
    <t>18209088353</t>
  </si>
  <si>
    <t>收会费</t>
  </si>
  <si>
    <t xml:space="preserve">             8#楼住宅销售明细表 </t>
  </si>
  <si>
    <t>2024.9月佣金</t>
  </si>
  <si>
    <t>2024.10月佣金</t>
  </si>
  <si>
    <t>2024.11月佣金</t>
  </si>
  <si>
    <t>2024.12月佣金</t>
  </si>
  <si>
    <t>2025.1月佣金</t>
  </si>
  <si>
    <t>2025.2月佣金</t>
  </si>
  <si>
    <t>2025.3月佣金</t>
  </si>
  <si>
    <t>2025.8月佣金</t>
  </si>
  <si>
    <t>2025.9月佣金</t>
  </si>
  <si>
    <t>2025.10月佣金</t>
  </si>
  <si>
    <t>2025.11月佣金</t>
  </si>
  <si>
    <t>2026.1月佣金</t>
  </si>
  <si>
    <t>2026.2月佣金</t>
  </si>
  <si>
    <t>2026.4月佣金</t>
  </si>
  <si>
    <t>2026.6月佣金</t>
  </si>
  <si>
    <t>8-负1-01</t>
  </si>
  <si>
    <t>地下人防设施</t>
  </si>
  <si>
    <t>8-负1-02</t>
  </si>
  <si>
    <t>8-负1-03</t>
  </si>
  <si>
    <t>李鹏</t>
  </si>
  <si>
    <t>8-负1-04</t>
  </si>
  <si>
    <t>8-负1-05</t>
  </si>
  <si>
    <t>8-负1-06</t>
  </si>
  <si>
    <t>周枫</t>
  </si>
  <si>
    <t>8-负1-07</t>
  </si>
  <si>
    <t>马海平</t>
  </si>
  <si>
    <t>8-负1-08</t>
  </si>
  <si>
    <t>8-负1-09</t>
  </si>
  <si>
    <t>陈祖柏</t>
  </si>
  <si>
    <t>8-负1-10</t>
  </si>
  <si>
    <t>沈慧</t>
  </si>
  <si>
    <t>8-负1-11</t>
  </si>
  <si>
    <t>8-负1-12</t>
  </si>
  <si>
    <t>8-负1-13</t>
  </si>
  <si>
    <t>8-负1-14</t>
  </si>
  <si>
    <t>8-负1-15</t>
  </si>
  <si>
    <t>8-负1-16</t>
  </si>
  <si>
    <t>杨华</t>
  </si>
  <si>
    <t>8-负1-17</t>
  </si>
  <si>
    <t>8-负1-18</t>
  </si>
  <si>
    <t>8-负1-19</t>
  </si>
  <si>
    <t>尹桂云</t>
  </si>
  <si>
    <t>8-负1-20</t>
  </si>
  <si>
    <t>32032219691227567X</t>
  </si>
  <si>
    <t>陈爱玲、杨艳梨 成交</t>
  </si>
  <si>
    <t>0000863</t>
  </si>
  <si>
    <t>8-1-101</t>
  </si>
  <si>
    <t>25652000000069545157</t>
  </si>
  <si>
    <t>410181199802267518</t>
  </si>
  <si>
    <t>0000953</t>
  </si>
  <si>
    <t>8-1-102</t>
  </si>
  <si>
    <t>25652000000069504567</t>
  </si>
  <si>
    <t>2024.7.30</t>
  </si>
  <si>
    <t>不要车位，无家装</t>
  </si>
  <si>
    <t>652801199801011118</t>
  </si>
  <si>
    <t>喻强</t>
  </si>
  <si>
    <t>0000962</t>
  </si>
  <si>
    <t>8-1-201</t>
  </si>
  <si>
    <t>25652000000069501311</t>
  </si>
  <si>
    <t>2024.11.10</t>
  </si>
  <si>
    <t>659001199705312415</t>
  </si>
  <si>
    <t>万新辉</t>
  </si>
  <si>
    <t>0000961</t>
  </si>
  <si>
    <t>8-1-202</t>
  </si>
  <si>
    <t>25652000000069459040</t>
  </si>
  <si>
    <t>652822198312080021</t>
  </si>
  <si>
    <t>周小艳
衡澳 要退</t>
  </si>
  <si>
    <t>任成48.8万转</t>
  </si>
  <si>
    <t>8-1-301</t>
  </si>
  <si>
    <t>25652000000069467469</t>
  </si>
  <si>
    <t>霍红霞、王荣</t>
  </si>
  <si>
    <t>622825197604263312</t>
  </si>
  <si>
    <t>李海军</t>
  </si>
  <si>
    <t>0001103</t>
  </si>
  <si>
    <t>8-1-302</t>
  </si>
  <si>
    <t>25652000000069484741</t>
  </si>
  <si>
    <t>411381200007113031</t>
  </si>
  <si>
    <t>赵建设</t>
  </si>
  <si>
    <t>8-1-401</t>
  </si>
  <si>
    <t>25652000000069523232</t>
  </si>
  <si>
    <t>211282199906013016</t>
  </si>
  <si>
    <t>钟正</t>
  </si>
  <si>
    <t>0000868</t>
  </si>
  <si>
    <t>8-1-402</t>
  </si>
  <si>
    <t>25652000000069535376</t>
  </si>
  <si>
    <t>2024.8.23</t>
  </si>
  <si>
    <t>652823199205292214</t>
  </si>
  <si>
    <t>0000851</t>
  </si>
  <si>
    <t>8-1-501</t>
  </si>
  <si>
    <t>2565200000006955594</t>
  </si>
  <si>
    <t>620422197512035117</t>
  </si>
  <si>
    <t>刘冠宇</t>
  </si>
  <si>
    <t>0000890</t>
  </si>
  <si>
    <t>8-1-502</t>
  </si>
  <si>
    <t>25652000000069506659</t>
  </si>
  <si>
    <t>2024.7.4</t>
  </si>
  <si>
    <t>652301198608256410</t>
  </si>
  <si>
    <t>王明利</t>
  </si>
  <si>
    <t>8-1-601</t>
  </si>
  <si>
    <t>25652000000069465289</t>
  </si>
  <si>
    <t>2024.11.9</t>
  </si>
  <si>
    <t>622323198712053149</t>
  </si>
  <si>
    <t>马玲玲</t>
  </si>
  <si>
    <t>0001107</t>
  </si>
  <si>
    <t>8-1-602</t>
  </si>
  <si>
    <t xml:space="preserve">25652000000069518138
</t>
  </si>
  <si>
    <t>411528199804103315</t>
  </si>
  <si>
    <t>姚俊伟</t>
  </si>
  <si>
    <t>8-1-701</t>
  </si>
  <si>
    <t>25652000000069542982</t>
  </si>
  <si>
    <t>500102199703291367</t>
  </si>
  <si>
    <t>周瑶</t>
  </si>
  <si>
    <t>8-1-702</t>
  </si>
  <si>
    <t>25652000000069418592</t>
  </si>
  <si>
    <t>无家装、有车位</t>
  </si>
  <si>
    <t>411503199406183316</t>
  </si>
  <si>
    <t>张明旺</t>
  </si>
  <si>
    <t>0000710</t>
  </si>
  <si>
    <t>8-1-801</t>
  </si>
  <si>
    <t>25652000000069485434</t>
  </si>
  <si>
    <t>610327199901231895</t>
  </si>
  <si>
    <t>张宏博</t>
  </si>
  <si>
    <t>0000853</t>
  </si>
  <si>
    <t>8-1-802</t>
  </si>
  <si>
    <t>25652000000069496056</t>
  </si>
  <si>
    <t>0000556</t>
  </si>
  <si>
    <t>652201199906156513</t>
  </si>
  <si>
    <t>吴金涛</t>
  </si>
  <si>
    <t>0000935</t>
  </si>
  <si>
    <t>8-1-901</t>
  </si>
  <si>
    <t>25652000000069504133</t>
  </si>
  <si>
    <t>有车位无礼品</t>
  </si>
  <si>
    <t>652801198710241618</t>
  </si>
  <si>
    <t>0001102</t>
  </si>
  <si>
    <t>8-1-902</t>
  </si>
  <si>
    <t>25652000000069536140</t>
  </si>
  <si>
    <t>0000552</t>
  </si>
  <si>
    <t>652829199703170015</t>
  </si>
  <si>
    <t>那木巴图</t>
  </si>
  <si>
    <t>0000928</t>
  </si>
  <si>
    <t>8-1-1001</t>
  </si>
  <si>
    <t>25652000000069511482</t>
  </si>
  <si>
    <t>2024.11.8</t>
  </si>
  <si>
    <t>512922197201065726</t>
  </si>
  <si>
    <t>何林华</t>
  </si>
  <si>
    <t>0001110</t>
  </si>
  <si>
    <t>8-1-1002</t>
  </si>
  <si>
    <t>25652000000069554301</t>
  </si>
  <si>
    <t>511025199307058418</t>
  </si>
  <si>
    <t>曾浩</t>
  </si>
  <si>
    <t>0001136</t>
  </si>
  <si>
    <t>8-1-1101</t>
  </si>
  <si>
    <t>25652000000069520435</t>
  </si>
  <si>
    <t>2025.5.28</t>
  </si>
  <si>
    <t>612326199506290014</t>
  </si>
  <si>
    <t>莫枭   张元贺 退</t>
  </si>
  <si>
    <t>0001175</t>
  </si>
  <si>
    <t>8-1-1102</t>
  </si>
  <si>
    <t>25652000000080418362</t>
  </si>
  <si>
    <t>2025-10-4、17</t>
  </si>
  <si>
    <t>650104197711280728</t>
  </si>
  <si>
    <t>王华</t>
  </si>
  <si>
    <t>0000581</t>
  </si>
  <si>
    <t>8-2-101</t>
  </si>
  <si>
    <t>25652000000070162416</t>
  </si>
  <si>
    <t>2025.3.15</t>
  </si>
  <si>
    <t>650104197307230753</t>
  </si>
  <si>
    <t>何自将</t>
  </si>
  <si>
    <t>0000724</t>
  </si>
  <si>
    <t>8-2-102</t>
  </si>
  <si>
    <t>25652000000070484273</t>
  </si>
  <si>
    <t>652801199606101628</t>
  </si>
  <si>
    <t>王晓萱</t>
  </si>
  <si>
    <t>0001128</t>
  </si>
  <si>
    <t>8-2-201</t>
  </si>
  <si>
    <t>25652000000070151353</t>
  </si>
  <si>
    <t>有车位+1年物业费+mate70</t>
  </si>
  <si>
    <t>65280120041230481X</t>
  </si>
  <si>
    <t>李磊</t>
  </si>
  <si>
    <t>8-2-202</t>
  </si>
  <si>
    <t>25652000000070502983</t>
  </si>
  <si>
    <t>652801197706082226</t>
  </si>
  <si>
    <t>张文萍</t>
  </si>
  <si>
    <t>0000927</t>
  </si>
  <si>
    <t>8-2-301</t>
  </si>
  <si>
    <t>25652000000070170220</t>
  </si>
  <si>
    <t>652801198907010514</t>
  </si>
  <si>
    <t>吕超</t>
  </si>
  <si>
    <t>8-2-302</t>
  </si>
  <si>
    <t>25652000000070464409</t>
  </si>
  <si>
    <t>送冰箱</t>
  </si>
  <si>
    <t>130184199210265721</t>
  </si>
  <si>
    <t>底孟孟</t>
  </si>
  <si>
    <t>0000996</t>
  </si>
  <si>
    <t>8-2-401</t>
  </si>
  <si>
    <t>25652000000070153139</t>
  </si>
  <si>
    <t>320321200601230215</t>
  </si>
  <si>
    <t>8-2-402</t>
  </si>
  <si>
    <t>25652000000070181191</t>
  </si>
  <si>
    <t>2024.10.13</t>
  </si>
  <si>
    <t>620523199702013796</t>
  </si>
  <si>
    <t>谢斌</t>
  </si>
  <si>
    <t>0000869</t>
  </si>
  <si>
    <t>8-2-501</t>
  </si>
  <si>
    <t>25652000000070142184</t>
  </si>
  <si>
    <t>622301200011213316</t>
  </si>
  <si>
    <t>严海云</t>
  </si>
  <si>
    <t>0001109</t>
  </si>
  <si>
    <t>8-2-502</t>
  </si>
  <si>
    <t>25652000000070124807</t>
  </si>
  <si>
    <t>2024.10.16</t>
  </si>
  <si>
    <t>652801196807021620</t>
  </si>
  <si>
    <t>8-2-601</t>
  </si>
  <si>
    <t>25652000000070131112</t>
  </si>
  <si>
    <t>2024-9-10
2024.12.16</t>
  </si>
  <si>
    <t>622727199705102629</t>
  </si>
  <si>
    <t>李互生</t>
  </si>
  <si>
    <t>8-2-602</t>
  </si>
  <si>
    <t>25652000000070183223</t>
  </si>
  <si>
    <t>2024.7.17</t>
  </si>
  <si>
    <t>不要车位无家装送冰箱</t>
  </si>
  <si>
    <t>652801196810200064</t>
  </si>
  <si>
    <t>8-2-701</t>
  </si>
  <si>
    <t>25652000000070180428</t>
  </si>
  <si>
    <t>320322199002164026</t>
  </si>
  <si>
    <t>周真真</t>
  </si>
  <si>
    <t>0000933</t>
  </si>
  <si>
    <t>8-2-702</t>
  </si>
  <si>
    <t xml:space="preserve">25652000000070182514
</t>
  </si>
  <si>
    <t>没有家装大礼包</t>
  </si>
  <si>
    <t>62232619961220373X</t>
  </si>
  <si>
    <t>韩磊</t>
  </si>
  <si>
    <t>0000901</t>
  </si>
  <si>
    <t>8-2-801</t>
  </si>
  <si>
    <t>25652000000070152155</t>
  </si>
  <si>
    <t>2024.8.7</t>
  </si>
  <si>
    <t>320321198210303026</t>
  </si>
  <si>
    <t>刘美丽</t>
  </si>
  <si>
    <t>0000698</t>
  </si>
  <si>
    <t>8-2-802</t>
  </si>
  <si>
    <t>25652000000070141381</t>
  </si>
  <si>
    <t>511381200201051552</t>
  </si>
  <si>
    <t>涂建伟</t>
  </si>
  <si>
    <t>8-2-901</t>
  </si>
  <si>
    <t>25652000000070163608</t>
  </si>
  <si>
    <t>412724198606296429</t>
  </si>
  <si>
    <t>任风丽</t>
  </si>
  <si>
    <t>0000926</t>
  </si>
  <si>
    <t>8-2-902</t>
  </si>
  <si>
    <t>25652000000070487777</t>
  </si>
  <si>
    <t>622323200009247216</t>
  </si>
  <si>
    <t>0000978</t>
  </si>
  <si>
    <t>8-2-1001</t>
  </si>
  <si>
    <t>25652000000070142959</t>
  </si>
  <si>
    <t>412726199403135868</t>
  </si>
  <si>
    <t>赵伶俐</t>
  </si>
  <si>
    <t>0001007</t>
  </si>
  <si>
    <t>8-2-1002</t>
  </si>
  <si>
    <t>25652000000070114395</t>
  </si>
  <si>
    <t>8-2-1101</t>
  </si>
  <si>
    <t>8-2-1102</t>
  </si>
  <si>
    <t>650104198012290817</t>
  </si>
  <si>
    <t>刘远征 刘春梅</t>
  </si>
  <si>
    <t>8-3-101</t>
  </si>
  <si>
    <t>25652000000070541048</t>
  </si>
  <si>
    <t>2025.2.23</t>
  </si>
  <si>
    <t>8-3-102</t>
  </si>
  <si>
    <t>652801199806171612</t>
  </si>
  <si>
    <t>白国剑</t>
  </si>
  <si>
    <t>0001208</t>
  </si>
  <si>
    <t>8-3-201</t>
  </si>
  <si>
    <t>26652000000040911826</t>
  </si>
  <si>
    <t>26652000000323354446</t>
  </si>
  <si>
    <t>白一迭</t>
  </si>
  <si>
    <t>2026.4.1</t>
  </si>
  <si>
    <t>2026.4.7</t>
  </si>
  <si>
    <t>已申报220001，剩余由未开票余额冲减</t>
  </si>
  <si>
    <t>142729198504114213</t>
  </si>
  <si>
    <t>孙帅</t>
  </si>
  <si>
    <t>0000736</t>
  </si>
  <si>
    <t>8-3-301</t>
  </si>
  <si>
    <t>25652000000070640101</t>
  </si>
  <si>
    <t>1年物业费</t>
  </si>
  <si>
    <t>622723200108123819</t>
  </si>
  <si>
    <t>郭忆凡</t>
  </si>
  <si>
    <t>0001116</t>
  </si>
  <si>
    <t>8-3-302</t>
  </si>
  <si>
    <t>25652000000070479649</t>
  </si>
  <si>
    <t>2025.4.30</t>
  </si>
  <si>
    <t>622722199705050011</t>
  </si>
  <si>
    <t>史海龙</t>
  </si>
  <si>
    <t>8-3-401</t>
  </si>
  <si>
    <t>25652000000070518055</t>
  </si>
  <si>
    <t>2025.2.13</t>
  </si>
  <si>
    <t>2025.3.28</t>
  </si>
  <si>
    <t>411322200010045711</t>
  </si>
  <si>
    <t>王恒  邵明江（退）</t>
  </si>
  <si>
    <t>0000594</t>
  </si>
  <si>
    <t>8-3-402</t>
  </si>
  <si>
    <t>25652000000078706168</t>
  </si>
  <si>
    <t>65282919771223152X</t>
  </si>
  <si>
    <t>宏格尔</t>
  </si>
  <si>
    <t>0000904</t>
  </si>
  <si>
    <t>8-3-501</t>
  </si>
  <si>
    <t>25652000000070478465</t>
  </si>
  <si>
    <t>无家装送冰箱</t>
  </si>
  <si>
    <t>652829199402100339</t>
  </si>
  <si>
    <t>常权</t>
  </si>
  <si>
    <t>8-3-502</t>
  </si>
  <si>
    <t>25652000000070537165</t>
  </si>
  <si>
    <t>511621200208196180</t>
  </si>
  <si>
    <t>吕双菊、文思宇、文杰</t>
  </si>
  <si>
    <t>0000745</t>
  </si>
  <si>
    <t>8-3-601</t>
  </si>
  <si>
    <t>25652000000070569427</t>
  </si>
  <si>
    <t>62242619891225314X</t>
  </si>
  <si>
    <t>田雪莉</t>
  </si>
  <si>
    <t>0000728</t>
  </si>
  <si>
    <t>8-3-602</t>
  </si>
  <si>
    <t xml:space="preserve">25652000000070478675
</t>
  </si>
  <si>
    <t>220702200103041218</t>
  </si>
  <si>
    <t>刘然</t>
  </si>
  <si>
    <t>8-3-701</t>
  </si>
  <si>
    <t xml:space="preserve">25652000000070630458
</t>
  </si>
  <si>
    <t>612324199511050039</t>
  </si>
  <si>
    <t>0001009</t>
  </si>
  <si>
    <t>8-3-702</t>
  </si>
  <si>
    <t>25652000000070606765</t>
  </si>
  <si>
    <t>622226197310300513</t>
  </si>
  <si>
    <t>杨俊涛</t>
  </si>
  <si>
    <t>8-3-801</t>
  </si>
  <si>
    <t>25652000000070579489</t>
  </si>
  <si>
    <t>659001199007203625</t>
  </si>
  <si>
    <t>李欣晏</t>
  </si>
  <si>
    <t>0001004</t>
  </si>
  <si>
    <t>8-3-802</t>
  </si>
  <si>
    <t xml:space="preserve">25652000000070499452
</t>
  </si>
  <si>
    <t>410425199511206016</t>
  </si>
  <si>
    <t>程文豪</t>
  </si>
  <si>
    <t>8-3-901</t>
  </si>
  <si>
    <t>25652000000070536924</t>
  </si>
  <si>
    <t>650104197504243334</t>
  </si>
  <si>
    <t>石海江</t>
  </si>
  <si>
    <t>8-3-902</t>
  </si>
  <si>
    <t>25652000000070536295</t>
  </si>
  <si>
    <t>65282619820626202X</t>
  </si>
  <si>
    <t>巴地曼</t>
  </si>
  <si>
    <t>8-3-1001</t>
  </si>
  <si>
    <t>25652000000070559070</t>
  </si>
  <si>
    <t>2025.1.12</t>
  </si>
  <si>
    <t>652801199102176116</t>
  </si>
  <si>
    <t>艾克白尔·热合曼</t>
  </si>
  <si>
    <t>8-3-1002</t>
  </si>
  <si>
    <t>25652000000070528417</t>
  </si>
  <si>
    <t>2024.2.13</t>
  </si>
  <si>
    <t>有车位+2年物业费+华为三件套</t>
  </si>
  <si>
    <t>652827198805261615</t>
  </si>
  <si>
    <t>李龙</t>
  </si>
  <si>
    <t>0001005</t>
  </si>
  <si>
    <t>8-3-1101</t>
  </si>
  <si>
    <t>25652000000070507704</t>
  </si>
  <si>
    <t>2025.5.14</t>
  </si>
  <si>
    <t>有车位5年物业费</t>
  </si>
  <si>
    <t>26652000000629987086</t>
  </si>
  <si>
    <t>会费</t>
  </si>
  <si>
    <t>144以下会费转预收</t>
  </si>
  <si>
    <t>2025.12月佣金</t>
  </si>
  <si>
    <t>2026.3月佣金</t>
  </si>
  <si>
    <t>2026.5月佣金</t>
  </si>
  <si>
    <t>需退回</t>
  </si>
  <si>
    <t>4-负1-101</t>
  </si>
  <si>
    <t>4-负1-102</t>
  </si>
  <si>
    <t>4-负1-103</t>
  </si>
  <si>
    <t>4-负1-104</t>
  </si>
  <si>
    <t>4-负1-105</t>
  </si>
  <si>
    <t>4-负1-106</t>
  </si>
  <si>
    <t>4-负1-107</t>
  </si>
  <si>
    <t>4-负1-108</t>
  </si>
  <si>
    <t>4-负1-109</t>
  </si>
  <si>
    <t>4-负1-110</t>
  </si>
  <si>
    <t>4-负1-111</t>
  </si>
  <si>
    <t>4-负1-112</t>
  </si>
  <si>
    <t>4-负1-113</t>
  </si>
  <si>
    <t>4-负1-114</t>
  </si>
  <si>
    <t>工具房</t>
  </si>
  <si>
    <t>许振双</t>
  </si>
  <si>
    <t>4-1-101</t>
  </si>
  <si>
    <t>已申报2000</t>
  </si>
  <si>
    <t>4-1-102</t>
  </si>
  <si>
    <t>26652000000473708506</t>
  </si>
  <si>
    <t>2026.4.23</t>
  </si>
  <si>
    <t>2026.4.28</t>
  </si>
  <si>
    <t>26652000000530557981</t>
  </si>
  <si>
    <t>2026.6.25</t>
  </si>
  <si>
    <t>胡正辉</t>
  </si>
  <si>
    <t>2026.5.1</t>
  </si>
  <si>
    <t>已申报56800</t>
  </si>
  <si>
    <t>622301200103188656</t>
  </si>
  <si>
    <t>王维鹏、黄文慧</t>
  </si>
  <si>
    <t>0001145</t>
  </si>
  <si>
    <t>4-1-301</t>
  </si>
  <si>
    <t>26652000000626476036</t>
  </si>
  <si>
    <t>2025.6.28</t>
  </si>
  <si>
    <t>有车位 送地下室</t>
  </si>
  <si>
    <t>652801200302191615</t>
  </si>
  <si>
    <t>赵峥宇</t>
  </si>
  <si>
    <t>4-1-302</t>
  </si>
  <si>
    <t>26652000000640047781</t>
  </si>
  <si>
    <t>411723199706063515</t>
  </si>
  <si>
    <t>李凯</t>
  </si>
  <si>
    <t>0001141</t>
  </si>
  <si>
    <t>4-1-401</t>
  </si>
  <si>
    <t>26652000000627620506</t>
  </si>
  <si>
    <t>2025.7.26</t>
  </si>
  <si>
    <t>654223200004061211</t>
  </si>
  <si>
    <t>窦鸿楠</t>
  </si>
  <si>
    <t>4-1-402</t>
  </si>
  <si>
    <t>26652000000628463416</t>
  </si>
  <si>
    <t>410423197602221041</t>
  </si>
  <si>
    <t>齐杏丽</t>
  </si>
  <si>
    <t>4-1-501</t>
  </si>
  <si>
    <t>26652000000629711806</t>
  </si>
  <si>
    <t>622322197106060049</t>
  </si>
  <si>
    <t>张玉萍、王鹏</t>
  </si>
  <si>
    <t>0000584</t>
  </si>
  <si>
    <t>4-1-502</t>
  </si>
  <si>
    <t>26652000000629272066</t>
  </si>
  <si>
    <t>654124199804033310</t>
  </si>
  <si>
    <t>张福英</t>
  </si>
  <si>
    <t>0000733</t>
  </si>
  <si>
    <t>4-1-601</t>
  </si>
  <si>
    <t>26652000000630163441</t>
  </si>
  <si>
    <t>15000商业抵用券</t>
  </si>
  <si>
    <t>652924199711160515</t>
  </si>
  <si>
    <t>王雪双</t>
  </si>
  <si>
    <t>4-1-602</t>
  </si>
  <si>
    <t>26652000000629292721</t>
  </si>
  <si>
    <t>411024198107010749</t>
  </si>
  <si>
    <t>石绘芳</t>
  </si>
  <si>
    <t>4-1-701</t>
  </si>
  <si>
    <t>26652000000629529091</t>
  </si>
  <si>
    <t>2024.10.6</t>
  </si>
  <si>
    <t>652801199904242226</t>
  </si>
  <si>
    <t>周燕</t>
  </si>
  <si>
    <t>4-1-702</t>
  </si>
  <si>
    <t>26652000000629394346</t>
  </si>
  <si>
    <t>2025.3.22</t>
  </si>
  <si>
    <t>2025.7.30</t>
  </si>
  <si>
    <t>320322199907313612</t>
  </si>
  <si>
    <t>武伟东</t>
  </si>
  <si>
    <t>4-1-801</t>
  </si>
  <si>
    <t>26652000000649537381</t>
  </si>
  <si>
    <t>2025.2.28</t>
  </si>
  <si>
    <t>65280119860319502X</t>
  </si>
  <si>
    <t>杜珍珍、杨国华</t>
  </si>
  <si>
    <t>0001178</t>
  </si>
  <si>
    <t>4-1-802</t>
  </si>
  <si>
    <t>26652000000649542466</t>
  </si>
  <si>
    <t>吴传飞</t>
  </si>
  <si>
    <t>不要机械车位</t>
  </si>
  <si>
    <t>140603199904220553</t>
  </si>
  <si>
    <t>张世伟</t>
  </si>
  <si>
    <t>0000587</t>
  </si>
  <si>
    <t>4-1-901</t>
  </si>
  <si>
    <t>26652000000649846321</t>
  </si>
  <si>
    <t>622323200103266819</t>
  </si>
  <si>
    <t>徐德亨</t>
  </si>
  <si>
    <t>4-1-902</t>
  </si>
  <si>
    <t>26652000000649702066</t>
  </si>
  <si>
    <t>2025-9-12、26</t>
  </si>
  <si>
    <t>不要车位送地下室</t>
  </si>
  <si>
    <t>140581200104195838</t>
  </si>
  <si>
    <t>李国豪</t>
  </si>
  <si>
    <t>0001138</t>
  </si>
  <si>
    <t>4-1-1001</t>
  </si>
  <si>
    <t>26652000000649858111</t>
  </si>
  <si>
    <t>620422200111014010</t>
  </si>
  <si>
    <t>陈鑫</t>
  </si>
  <si>
    <t>0001139</t>
  </si>
  <si>
    <t>4-1-1002</t>
  </si>
  <si>
    <t>26652000000649568521</t>
  </si>
  <si>
    <t>2025.6.10</t>
  </si>
  <si>
    <t>4-1-1101</t>
  </si>
  <si>
    <t>4-1-1102</t>
  </si>
  <si>
    <t>26652000000648116896</t>
  </si>
  <si>
    <t>2026.4.17</t>
  </si>
  <si>
    <t>2026.5.15</t>
  </si>
  <si>
    <t>4-2-102</t>
  </si>
  <si>
    <t>622428199902044413</t>
  </si>
  <si>
    <t>成龙</t>
  </si>
  <si>
    <t>0001241</t>
  </si>
  <si>
    <t>4-2-201</t>
  </si>
  <si>
    <t>2026.5.27</t>
  </si>
  <si>
    <t>已申报10000</t>
  </si>
  <si>
    <t>610426199711020033</t>
  </si>
  <si>
    <t>严瑞琪</t>
  </si>
  <si>
    <t>0001240</t>
  </si>
  <si>
    <t>4-2-202</t>
  </si>
  <si>
    <t>2026.5.29</t>
  </si>
  <si>
    <t>622323199212162431</t>
  </si>
  <si>
    <t>王金年</t>
  </si>
  <si>
    <t>4-2-301</t>
  </si>
  <si>
    <t>26652000000616902616</t>
  </si>
  <si>
    <t>2025.7.8</t>
  </si>
  <si>
    <t>2025.7.23</t>
  </si>
  <si>
    <t>650103198209285513</t>
  </si>
  <si>
    <t>李瑛</t>
  </si>
  <si>
    <t>4-2-302</t>
  </si>
  <si>
    <t>26652000000616940641</t>
  </si>
  <si>
    <t>2025.7.28</t>
  </si>
  <si>
    <t>2025.8.12</t>
  </si>
  <si>
    <t>有车位+1年物业费+mate70手机+送地下室</t>
  </si>
  <si>
    <t>622625198312273053</t>
  </si>
  <si>
    <t>苟荣福</t>
  </si>
  <si>
    <t>0001157</t>
  </si>
  <si>
    <t>4-2-401</t>
  </si>
  <si>
    <t>26652000000649610986</t>
  </si>
  <si>
    <t>2025.7.13</t>
  </si>
  <si>
    <t>2025.8.1</t>
  </si>
  <si>
    <t>652801202007146116</t>
  </si>
  <si>
    <t>翟嘉晨  翟麦圈（父）</t>
  </si>
  <si>
    <t>0001204</t>
  </si>
  <si>
    <t>4-2-402</t>
  </si>
  <si>
    <t>26652000000640657981</t>
  </si>
  <si>
    <t>652829198906130713</t>
  </si>
  <si>
    <t>刘峰、董家丽</t>
  </si>
  <si>
    <t>0001130</t>
  </si>
  <si>
    <t>4-2-501</t>
  </si>
  <si>
    <t>26652000000649475476</t>
  </si>
  <si>
    <t>2025.5.13</t>
  </si>
  <si>
    <t>有车位+1年物业费+mate70手机</t>
  </si>
  <si>
    <t>653124197305284262</t>
  </si>
  <si>
    <t>王政</t>
  </si>
  <si>
    <t>0000987</t>
  </si>
  <si>
    <t>4-2-502</t>
  </si>
  <si>
    <t>26652000000650742241</t>
  </si>
  <si>
    <t>2025.3.11</t>
  </si>
  <si>
    <t>610323200201151130</t>
  </si>
  <si>
    <t>张卓</t>
  </si>
  <si>
    <t>0001147</t>
  </si>
  <si>
    <t>4-2-601</t>
  </si>
  <si>
    <t>26652000000616762831</t>
  </si>
  <si>
    <t>410526199908013476</t>
  </si>
  <si>
    <t>高冰川</t>
  </si>
  <si>
    <t>4-2-602</t>
  </si>
  <si>
    <t>26652000000649337881</t>
  </si>
  <si>
    <t>652823200008053316</t>
  </si>
  <si>
    <t>袁宇龙</t>
  </si>
  <si>
    <t>0000970</t>
  </si>
  <si>
    <t>4-2-701</t>
  </si>
  <si>
    <t>26652000000649217251</t>
  </si>
  <si>
    <t>411621199911211830</t>
  </si>
  <si>
    <t>杨振军</t>
  </si>
  <si>
    <t>4-2-702</t>
  </si>
  <si>
    <t>26652000000640652821</t>
  </si>
  <si>
    <t>659001199803020010</t>
  </si>
  <si>
    <t>孙悦冰</t>
  </si>
  <si>
    <t>4-2-801</t>
  </si>
  <si>
    <t>26652000000619735066</t>
  </si>
  <si>
    <t>2025.2.16</t>
  </si>
  <si>
    <t>622323199901232810</t>
  </si>
  <si>
    <t>马建鑫</t>
  </si>
  <si>
    <t>0001181</t>
  </si>
  <si>
    <t>4-2-802</t>
  </si>
  <si>
    <t>2025-9-20、25</t>
  </si>
  <si>
    <t>不要车位mate手机</t>
  </si>
  <si>
    <t>511623199803031791</t>
  </si>
  <si>
    <t>周成江</t>
  </si>
  <si>
    <t>0001182</t>
  </si>
  <si>
    <t>4-2-901</t>
  </si>
  <si>
    <t>26652000000620225671</t>
  </si>
  <si>
    <t>232301200005066839</t>
  </si>
  <si>
    <t>刘俊锋</t>
  </si>
  <si>
    <t>4-2-902</t>
  </si>
  <si>
    <t>26652000000649784701</t>
  </si>
  <si>
    <t>2025-9-1/26</t>
  </si>
  <si>
    <t>653127200003030156</t>
  </si>
  <si>
    <t>李翼翔</t>
  </si>
  <si>
    <t>4-2-1001</t>
  </si>
  <si>
    <t>26652000000649940836</t>
  </si>
  <si>
    <t>2025-10-5、6、24</t>
  </si>
  <si>
    <t>120224200101147518</t>
  </si>
  <si>
    <t>邢建成</t>
  </si>
  <si>
    <t>4-2-1002</t>
  </si>
  <si>
    <t>26652000000650899051</t>
  </si>
  <si>
    <t>4-2-1101</t>
  </si>
  <si>
    <t>4-2-1102</t>
  </si>
  <si>
    <t>4-3-101</t>
  </si>
  <si>
    <t>26652000000489771256</t>
  </si>
  <si>
    <t>2026.4.13</t>
  </si>
  <si>
    <t>2026.4.30</t>
  </si>
  <si>
    <t>2026.5.25</t>
  </si>
  <si>
    <t>26652000000530117656</t>
  </si>
  <si>
    <t>2026.5.3</t>
  </si>
  <si>
    <t>已申报131800</t>
  </si>
  <si>
    <t>抵账新疆中洲建设770881</t>
  </si>
  <si>
    <t>4-3-202</t>
  </si>
  <si>
    <t>62052319990928469X</t>
  </si>
  <si>
    <t>李双权</t>
  </si>
  <si>
    <t>0001171</t>
  </si>
  <si>
    <t>4-3-301</t>
  </si>
  <si>
    <t>26652000000639746536</t>
  </si>
  <si>
    <t>342224199507181334</t>
  </si>
  <si>
    <t>0001205</t>
  </si>
  <si>
    <t>4-3-302</t>
  </si>
  <si>
    <t>26652000000650343466</t>
  </si>
  <si>
    <t>26652000000488994736</t>
  </si>
  <si>
    <t>陈江铃</t>
  </si>
  <si>
    <t>2026.5.18</t>
  </si>
  <si>
    <t>622301200010121313</t>
  </si>
  <si>
    <t>邓呈军</t>
  </si>
  <si>
    <t>4-3-402</t>
  </si>
  <si>
    <t>26652000000642405736</t>
  </si>
  <si>
    <t>2026.5.9</t>
  </si>
  <si>
    <t>652826197210310632</t>
  </si>
  <si>
    <t>孔勇</t>
  </si>
  <si>
    <t>0001156</t>
  </si>
  <si>
    <t>4-3-501</t>
  </si>
  <si>
    <t>652801199511036114</t>
  </si>
  <si>
    <t>李洋</t>
  </si>
  <si>
    <t>0001215</t>
  </si>
  <si>
    <t>4-3-502</t>
  </si>
  <si>
    <t>26652000000650032666</t>
  </si>
  <si>
    <t>411323200203143875</t>
  </si>
  <si>
    <t>殷江涛</t>
  </si>
  <si>
    <t>0000580</t>
  </si>
  <si>
    <t>4-3-601</t>
  </si>
  <si>
    <t>26652000000623583856</t>
  </si>
  <si>
    <t>622323199604280517</t>
  </si>
  <si>
    <t>郭月章</t>
  </si>
  <si>
    <t>0001192</t>
  </si>
  <si>
    <t>4-3-602</t>
  </si>
  <si>
    <t>26652000000651475936</t>
  </si>
  <si>
    <t>652825200012173911</t>
  </si>
  <si>
    <t>肉孜·麦麦提</t>
  </si>
  <si>
    <t>0001185</t>
  </si>
  <si>
    <t>4-3-701</t>
  </si>
  <si>
    <t>叶永虎</t>
  </si>
  <si>
    <t>2025-10-1、5</t>
  </si>
  <si>
    <t>622323199806144433</t>
  </si>
  <si>
    <t>侯万金</t>
  </si>
  <si>
    <t>4-3-702</t>
  </si>
  <si>
    <t>26652000000650338756</t>
  </si>
  <si>
    <t>2025.4.4</t>
  </si>
  <si>
    <t>239005200107192815</t>
  </si>
  <si>
    <t>李子维</t>
  </si>
  <si>
    <t>4-3-801</t>
  </si>
  <si>
    <t>622322198806202663</t>
  </si>
  <si>
    <t>柴英杰</t>
  </si>
  <si>
    <t>4-3-802</t>
  </si>
  <si>
    <t>26652000000649794811</t>
  </si>
  <si>
    <t>622201199704154514</t>
  </si>
  <si>
    <t>周文斌</t>
  </si>
  <si>
    <t>4-3-901</t>
  </si>
  <si>
    <t>26652000000651170071</t>
  </si>
  <si>
    <t>622301199803285937</t>
  </si>
  <si>
    <t>陈桢</t>
  </si>
  <si>
    <t>4-3-902</t>
  </si>
  <si>
    <t>26652000000651033151</t>
  </si>
  <si>
    <t>652825200202281518</t>
  </si>
  <si>
    <t>乃比江·乃麦提</t>
  </si>
  <si>
    <t>0001189</t>
  </si>
  <si>
    <t>4-3-1001</t>
  </si>
  <si>
    <t>622323199803110537</t>
  </si>
  <si>
    <t>邢永鸿</t>
  </si>
  <si>
    <t>0001193</t>
  </si>
  <si>
    <t>4-3-1002</t>
  </si>
  <si>
    <t>26652000000649578181</t>
  </si>
  <si>
    <t>4-3-1101</t>
  </si>
  <si>
    <t>652827200007071630</t>
  </si>
  <si>
    <t>艾买江·艾海买提</t>
  </si>
  <si>
    <t>4-3-1102</t>
  </si>
  <si>
    <t>26652000000611774566</t>
  </si>
  <si>
    <t>6-负1-101</t>
  </si>
  <si>
    <t>6-负1-102</t>
  </si>
  <si>
    <t>6-负1-103</t>
  </si>
  <si>
    <t>6-负1-104</t>
  </si>
  <si>
    <t>6-负1-105</t>
  </si>
  <si>
    <t>6-负1-106</t>
  </si>
  <si>
    <t>6-负1-107</t>
  </si>
  <si>
    <t>6-负1-108</t>
  </si>
  <si>
    <t>6-负1-109</t>
  </si>
  <si>
    <t>6-负1-110</t>
  </si>
  <si>
    <t>6-负1-111</t>
  </si>
  <si>
    <t>6-负1-112</t>
  </si>
  <si>
    <t>6-负1-113</t>
  </si>
  <si>
    <t>6-负1-114</t>
  </si>
  <si>
    <t>6-负1-115</t>
  </si>
  <si>
    <t>6-负1-116</t>
  </si>
  <si>
    <t>6-负1-117</t>
  </si>
  <si>
    <t>6-负1-118</t>
  </si>
  <si>
    <t>6-1-101</t>
  </si>
  <si>
    <t>131102199406090413</t>
  </si>
  <si>
    <t>闫一乐</t>
  </si>
  <si>
    <t>6-1-102</t>
  </si>
  <si>
    <t>26652000000613207741</t>
  </si>
  <si>
    <t>2025.6.9</t>
  </si>
  <si>
    <t>6-1-201</t>
  </si>
  <si>
    <t>6-1-202</t>
  </si>
  <si>
    <t>26652000000613170016</t>
  </si>
  <si>
    <t>2026.4.16</t>
  </si>
  <si>
    <t>26652000000530404606</t>
  </si>
  <si>
    <t>2026.4.6</t>
  </si>
  <si>
    <t>2026.5.5</t>
  </si>
  <si>
    <t>26652000000613762021</t>
  </si>
  <si>
    <t>不要车位送mate80手机</t>
  </si>
  <si>
    <t>26652000000480416521</t>
  </si>
  <si>
    <t>2026.5.12</t>
  </si>
  <si>
    <t>411323199809264457</t>
  </si>
  <si>
    <t>柴桦楠</t>
  </si>
  <si>
    <t>0001227</t>
  </si>
  <si>
    <t>6-1-501</t>
  </si>
  <si>
    <t>26652000000612868876</t>
  </si>
  <si>
    <t>622223199907284616</t>
  </si>
  <si>
    <t>葛永泽</t>
  </si>
  <si>
    <t>6-1-502</t>
  </si>
  <si>
    <t>26652000000618475051</t>
  </si>
  <si>
    <t>2025-9-3/24</t>
  </si>
  <si>
    <t>612422200202150018</t>
  </si>
  <si>
    <t>唐子坤</t>
  </si>
  <si>
    <t>0001213</t>
  </si>
  <si>
    <t>6-1-601</t>
  </si>
  <si>
    <t>26652000000618040696</t>
  </si>
  <si>
    <t>李佳</t>
  </si>
  <si>
    <t>652801199004121621</t>
  </si>
  <si>
    <t>许乐贝</t>
  </si>
  <si>
    <t>0001172</t>
  </si>
  <si>
    <t>6-1-602</t>
  </si>
  <si>
    <t>26652000000618025561</t>
  </si>
  <si>
    <t>622323199508250836</t>
  </si>
  <si>
    <t>惠学园</t>
  </si>
  <si>
    <t>0001202</t>
  </si>
  <si>
    <t>6-1-701</t>
  </si>
  <si>
    <t>41282519950828253X</t>
  </si>
  <si>
    <t>翟银生</t>
  </si>
  <si>
    <t>0001154</t>
  </si>
  <si>
    <t>6-1-702</t>
  </si>
  <si>
    <t>26652000000618196096</t>
  </si>
  <si>
    <t>特价房源，不要车位</t>
  </si>
  <si>
    <t>65282319940327261X</t>
  </si>
  <si>
    <t>陈前</t>
  </si>
  <si>
    <t>0001222</t>
  </si>
  <si>
    <t>6-1-801</t>
  </si>
  <si>
    <t>26652000000618202936</t>
  </si>
  <si>
    <t>特价房源</t>
  </si>
  <si>
    <t>622323199908025216</t>
  </si>
  <si>
    <t>苏文杰</t>
  </si>
  <si>
    <t>0001167</t>
  </si>
  <si>
    <t>6-1-802</t>
  </si>
  <si>
    <t>26652000000617187001</t>
  </si>
  <si>
    <t>2025.8.27</t>
  </si>
  <si>
    <t xml:space="preserve">2025-9-1
2025-9-8
</t>
  </si>
  <si>
    <t>230229200205032712</t>
  </si>
  <si>
    <t>郭显鹏</t>
  </si>
  <si>
    <t>0001219</t>
  </si>
  <si>
    <t>6-1-901</t>
  </si>
  <si>
    <t>26652000000612880051</t>
  </si>
  <si>
    <t>2026.5.22</t>
  </si>
  <si>
    <t>412723198910162963</t>
  </si>
  <si>
    <t>王培</t>
  </si>
  <si>
    <t>6-1-902</t>
  </si>
  <si>
    <t>26652000000651208696</t>
  </si>
  <si>
    <t>2025.2.2</t>
  </si>
  <si>
    <t>要车位</t>
  </si>
  <si>
    <t>26652000000642506116</t>
  </si>
  <si>
    <t>已申报148052</t>
  </si>
  <si>
    <t>652823196101042620</t>
  </si>
  <si>
    <t>陈金龙 伍玉兰</t>
  </si>
  <si>
    <t>0001218</t>
  </si>
  <si>
    <t>6-1-1002</t>
  </si>
  <si>
    <t>26652000000618067126</t>
  </si>
  <si>
    <t>652826199508042625</t>
  </si>
  <si>
    <t>白梦婷</t>
  </si>
  <si>
    <t>0001196</t>
  </si>
  <si>
    <t>6-1-1101</t>
  </si>
  <si>
    <t>26652000000612710176</t>
  </si>
  <si>
    <t>26652000000462261466</t>
  </si>
  <si>
    <t>622323199505036519</t>
  </si>
  <si>
    <t>吴国琦</t>
  </si>
  <si>
    <t>6-2-101</t>
  </si>
  <si>
    <t>26652000000612041746</t>
  </si>
  <si>
    <t>652801200002140533</t>
  </si>
  <si>
    <t>王子书</t>
  </si>
  <si>
    <t>6-2-102</t>
  </si>
  <si>
    <t>26652000000612349396</t>
  </si>
  <si>
    <t>6-2-201</t>
  </si>
  <si>
    <t>6-2-202</t>
  </si>
  <si>
    <t>411323200107031734</t>
  </si>
  <si>
    <t>6-2-301</t>
  </si>
  <si>
    <t>26652000000619709026</t>
  </si>
  <si>
    <t>622425199711117019</t>
  </si>
  <si>
    <t>马宏伟</t>
  </si>
  <si>
    <t>6-2-302</t>
  </si>
  <si>
    <t>26652000000619316056</t>
  </si>
  <si>
    <t>659001199202265741</t>
  </si>
  <si>
    <t>李亚婷</t>
  </si>
  <si>
    <t>0001160</t>
  </si>
  <si>
    <t>6-2-401</t>
  </si>
  <si>
    <t>26652000000619472416</t>
  </si>
  <si>
    <t>2025.7.29</t>
  </si>
  <si>
    <t>2025.8.3</t>
  </si>
  <si>
    <t>231084200106251113</t>
  </si>
  <si>
    <t>付新鹏</t>
  </si>
  <si>
    <t>0001179</t>
  </si>
  <si>
    <t>6-2-402</t>
  </si>
  <si>
    <t>26652000000619623211</t>
  </si>
  <si>
    <t>652801199812111616</t>
  </si>
  <si>
    <t>买尔旦·艾尼玩</t>
  </si>
  <si>
    <t>6-2-501</t>
  </si>
  <si>
    <t>26652000000619336186</t>
  </si>
  <si>
    <t>2025.3.9</t>
  </si>
  <si>
    <t>652201197812151632</t>
  </si>
  <si>
    <t>李永杰</t>
  </si>
  <si>
    <t>0000983</t>
  </si>
  <si>
    <t>6-2-502</t>
  </si>
  <si>
    <t>26652000000622994536</t>
  </si>
  <si>
    <t>622262198112274814</t>
  </si>
  <si>
    <t>龙代平</t>
  </si>
  <si>
    <t>0000979</t>
  </si>
  <si>
    <t>6-2-601</t>
  </si>
  <si>
    <t>26652000000623157256</t>
  </si>
  <si>
    <t>2024.12.31</t>
  </si>
  <si>
    <t>410221200012189898</t>
  </si>
  <si>
    <t>张家宝</t>
  </si>
  <si>
    <t>6-2-602</t>
  </si>
  <si>
    <t>26652000000622870246</t>
  </si>
  <si>
    <t>2025.4.5</t>
  </si>
  <si>
    <t>513435199609140819</t>
  </si>
  <si>
    <t>卜德民</t>
  </si>
  <si>
    <t>0000968</t>
  </si>
  <si>
    <t>6-2-701</t>
  </si>
  <si>
    <t>26652000000620187436</t>
  </si>
  <si>
    <t>2024.12.8</t>
  </si>
  <si>
    <t>652201199801062510</t>
  </si>
  <si>
    <t>吕鑫涛</t>
  </si>
  <si>
    <t>0000562</t>
  </si>
  <si>
    <t>6-2-702</t>
  </si>
  <si>
    <t>26652000000622737121</t>
  </si>
  <si>
    <t>654101199302261773</t>
  </si>
  <si>
    <t>谢伟</t>
  </si>
  <si>
    <t>6-2-801</t>
  </si>
  <si>
    <t>26652000000625679296</t>
  </si>
  <si>
    <t>652827199805133423</t>
  </si>
  <si>
    <t>陈禹洁</t>
  </si>
  <si>
    <t>0000593</t>
  </si>
  <si>
    <t>6-2-802</t>
  </si>
  <si>
    <t>26652000000626127901</t>
  </si>
  <si>
    <t>不要车位送1年物业费</t>
  </si>
  <si>
    <t>620622200208233130</t>
  </si>
  <si>
    <t>银超</t>
  </si>
  <si>
    <t>6-2-901</t>
  </si>
  <si>
    <t>26652000000626579776</t>
  </si>
  <si>
    <t>652823199002263712</t>
  </si>
  <si>
    <t>李娜</t>
  </si>
  <si>
    <t>0000582</t>
  </si>
  <si>
    <t>6-2-902</t>
  </si>
  <si>
    <t>26652000000626152441</t>
  </si>
  <si>
    <t>152827200102063913</t>
  </si>
  <si>
    <t>张炜</t>
  </si>
  <si>
    <t>6-2-1001</t>
  </si>
  <si>
    <t>26652000000626595211</t>
  </si>
  <si>
    <t>652201197710231615</t>
  </si>
  <si>
    <t>韩刚</t>
  </si>
  <si>
    <t>0001199</t>
  </si>
  <si>
    <t>6-2-1002</t>
  </si>
  <si>
    <t>26652000000626019466</t>
  </si>
  <si>
    <t>6-2-1101</t>
  </si>
  <si>
    <t>26652000000545914696</t>
  </si>
  <si>
    <t>2026.3.31</t>
  </si>
  <si>
    <t>2026.4.27</t>
  </si>
  <si>
    <t>610523198304022017</t>
  </si>
  <si>
    <t>王磊</t>
  </si>
  <si>
    <t>6-3-101</t>
  </si>
  <si>
    <t>26652000000611987686</t>
  </si>
  <si>
    <t>652829198207150627</t>
  </si>
  <si>
    <t>亢延耘</t>
  </si>
  <si>
    <t>0001212</t>
  </si>
  <si>
    <t>6-3-102</t>
  </si>
  <si>
    <t>26652000000612441856</t>
  </si>
  <si>
    <t>2026.4.9</t>
  </si>
  <si>
    <t>6-3-201</t>
  </si>
  <si>
    <t>6-3-202</t>
  </si>
  <si>
    <t>6-3-301</t>
  </si>
  <si>
    <t>2026652801XS001490</t>
  </si>
  <si>
    <t>640324199610120892</t>
  </si>
  <si>
    <t>赵小文</t>
  </si>
  <si>
    <t>0001243</t>
  </si>
  <si>
    <t>6-3-302</t>
  </si>
  <si>
    <t>0001226</t>
  </si>
  <si>
    <t>6-3-401</t>
  </si>
  <si>
    <t>26652000000646352611</t>
  </si>
  <si>
    <t>2026.4.15</t>
  </si>
  <si>
    <t>652323198302043218</t>
  </si>
  <si>
    <t>梁成飞</t>
  </si>
  <si>
    <t>6-3-402</t>
  </si>
  <si>
    <t>26652000000645926401</t>
  </si>
  <si>
    <t>652801196408100516</t>
  </si>
  <si>
    <t>李世洲</t>
  </si>
  <si>
    <t>6-3-501</t>
  </si>
  <si>
    <t>26652000000652829146</t>
  </si>
  <si>
    <t>2025.8.21</t>
  </si>
  <si>
    <t>6-3-502</t>
  </si>
  <si>
    <t>370687200002022078</t>
  </si>
  <si>
    <t>孙义明</t>
  </si>
  <si>
    <t>0001016</t>
  </si>
  <si>
    <t>6-3-601</t>
  </si>
  <si>
    <t>26652000000652983001</t>
  </si>
  <si>
    <t>2025.1.19</t>
  </si>
  <si>
    <t>620523200008241719</t>
  </si>
  <si>
    <t>杨振杰</t>
  </si>
  <si>
    <t>6-3-602</t>
  </si>
  <si>
    <t>26652000000652403626</t>
  </si>
  <si>
    <t>652823199407280510</t>
  </si>
  <si>
    <t>王俊凯</t>
  </si>
  <si>
    <t>0001161</t>
  </si>
  <si>
    <t>6-3-701</t>
  </si>
  <si>
    <t>26652000000652841656</t>
  </si>
  <si>
    <t>652801199009267013</t>
  </si>
  <si>
    <t>杨子航</t>
  </si>
  <si>
    <t>6-3-702</t>
  </si>
  <si>
    <t>26652000000653134816</t>
  </si>
  <si>
    <t>5002401199909126053</t>
  </si>
  <si>
    <t>庄闽渝</t>
  </si>
  <si>
    <t>0001164</t>
  </si>
  <si>
    <t>6-3-801</t>
  </si>
  <si>
    <t>26652000000652973116</t>
  </si>
  <si>
    <t>6-3-802</t>
  </si>
  <si>
    <t>411527199209105010</t>
  </si>
  <si>
    <t>孙翔</t>
  </si>
  <si>
    <t>0000999</t>
  </si>
  <si>
    <t>6-3-901</t>
  </si>
  <si>
    <t>26652000000652262761</t>
  </si>
  <si>
    <t>6-3-902</t>
  </si>
  <si>
    <t>622628200009297414</t>
  </si>
  <si>
    <t>张羊文</t>
  </si>
  <si>
    <t>0001140</t>
  </si>
  <si>
    <t>6-3-1001</t>
  </si>
  <si>
    <t>26652000000652707601</t>
  </si>
  <si>
    <t>6-3-1002</t>
  </si>
  <si>
    <t>653124199908074212</t>
  </si>
  <si>
    <t>熊秋靖</t>
  </si>
  <si>
    <t>6-3-1101</t>
  </si>
  <si>
    <t>26652000000612438061</t>
  </si>
  <si>
    <t>650106198404160811</t>
  </si>
  <si>
    <t>陈立成</t>
  </si>
  <si>
    <t>6-3-1102</t>
  </si>
  <si>
    <t>26652000000612750031</t>
  </si>
  <si>
    <t>144平以下</t>
  </si>
  <si>
    <t>144平以上</t>
  </si>
  <si>
    <t xml:space="preserve">             16#19#楼商铺销售明细表 </t>
  </si>
  <si>
    <t>实测面积</t>
  </si>
  <si>
    <t>面积差</t>
  </si>
  <si>
    <t>2025.4月</t>
  </si>
  <si>
    <t>2025.5月</t>
  </si>
  <si>
    <t>2025.6月</t>
  </si>
  <si>
    <t>2025.7月</t>
  </si>
  <si>
    <t>2026.4月</t>
  </si>
  <si>
    <t>2026.5月</t>
  </si>
  <si>
    <t>16-1层01</t>
  </si>
  <si>
    <t>已申报862200</t>
  </si>
  <si>
    <t>2026.6.29</t>
  </si>
  <si>
    <t>已申报483274</t>
  </si>
  <si>
    <t>513027197508187422</t>
  </si>
  <si>
    <t>吴德琼、赵大峰</t>
  </si>
  <si>
    <t>16-1层03</t>
  </si>
  <si>
    <t>2025-9-28
2025-11-5</t>
  </si>
  <si>
    <t>652825198904121017</t>
  </si>
  <si>
    <t>邓彪</t>
  </si>
  <si>
    <t>16-1层04</t>
  </si>
  <si>
    <t>2026.5.11</t>
  </si>
  <si>
    <t>654101199905060276</t>
  </si>
  <si>
    <t>薛杨航天</t>
  </si>
  <si>
    <t>16-1层05</t>
  </si>
  <si>
    <t>2026.5.10</t>
  </si>
  <si>
    <t>652824197102151117</t>
  </si>
  <si>
    <t>刘勤先（刘梦娇）</t>
  </si>
  <si>
    <t>16-1层06</t>
  </si>
  <si>
    <t>37252619830501102X</t>
  </si>
  <si>
    <t>吴玉伟</t>
  </si>
  <si>
    <t>16-1层07</t>
  </si>
  <si>
    <t>2025.2.12</t>
  </si>
  <si>
    <t>652825196509052657</t>
  </si>
  <si>
    <t>范德源、文芳</t>
  </si>
  <si>
    <t>16-1层08</t>
  </si>
  <si>
    <t>412726198210126741</t>
  </si>
  <si>
    <t>谢瑞</t>
  </si>
  <si>
    <t>0001144</t>
  </si>
  <si>
    <t>16-1层09</t>
  </si>
  <si>
    <t>640322198410190012</t>
  </si>
  <si>
    <t>付勇</t>
  </si>
  <si>
    <t>0001239</t>
  </si>
  <si>
    <t>16-1层10</t>
  </si>
  <si>
    <t>2025.5.18</t>
  </si>
  <si>
    <t>已申报500000</t>
  </si>
  <si>
    <t>公厕</t>
  </si>
  <si>
    <t>16-1层11</t>
  </si>
  <si>
    <t>0001238</t>
  </si>
  <si>
    <t>16-1层12</t>
  </si>
  <si>
    <t>652823199310230015</t>
  </si>
  <si>
    <t>陈冠名（退房 王经理跳点降低，需扣回）</t>
  </si>
  <si>
    <t>0001126</t>
  </si>
  <si>
    <t>16-1层13</t>
  </si>
  <si>
    <t>412722199902284918</t>
  </si>
  <si>
    <t>马腾飞</t>
  </si>
  <si>
    <t>16-1层14</t>
  </si>
  <si>
    <t>16-1层15</t>
  </si>
  <si>
    <t>653126197802055025</t>
  </si>
  <si>
    <t>滕丽萍
钟富斌</t>
  </si>
  <si>
    <t>16-1层16</t>
  </si>
  <si>
    <t xml:space="preserve">米云鹤 </t>
  </si>
  <si>
    <t>20240007505</t>
  </si>
  <si>
    <t>黄艾琳、阳君11.30</t>
  </si>
  <si>
    <t>16-1层18</t>
  </si>
  <si>
    <t>2025.8.20</t>
  </si>
  <si>
    <t>652801201608153413</t>
  </si>
  <si>
    <t>刘祥宇</t>
  </si>
  <si>
    <t>16-2层01</t>
  </si>
  <si>
    <t xml:space="preserve"> -   </t>
  </si>
  <si>
    <t>16-2层02</t>
  </si>
  <si>
    <t>16-2层03</t>
  </si>
  <si>
    <t>622323198412243418</t>
  </si>
  <si>
    <t>樊国庆</t>
  </si>
  <si>
    <t>16-2层04</t>
  </si>
  <si>
    <t>16-2层05</t>
  </si>
  <si>
    <t>16-2层07</t>
  </si>
  <si>
    <t>16-2层08</t>
  </si>
  <si>
    <t>16-2层09</t>
  </si>
  <si>
    <t>16-2层10</t>
  </si>
  <si>
    <t>16-2层11</t>
  </si>
  <si>
    <t>16-2层12</t>
  </si>
  <si>
    <t>511325198812044768</t>
  </si>
  <si>
    <t>何晓红、朱皓瑞</t>
  </si>
  <si>
    <t>16-2层13</t>
  </si>
  <si>
    <t>16-2层14</t>
  </si>
  <si>
    <t>16-2层15</t>
  </si>
  <si>
    <t>16-2层16</t>
  </si>
  <si>
    <t>653124200002154211</t>
  </si>
  <si>
    <t>16-2层17</t>
  </si>
  <si>
    <t>26652000000488920366</t>
  </si>
  <si>
    <t>2025.4.21</t>
  </si>
  <si>
    <t>65312419720115421X</t>
  </si>
  <si>
    <t>李义华、舒梅</t>
  </si>
  <si>
    <t>因户口问题需重签合同</t>
  </si>
  <si>
    <t>16-2层18</t>
  </si>
  <si>
    <t>2024.12.29</t>
  </si>
  <si>
    <t>社区用房</t>
  </si>
  <si>
    <t>16-3层01</t>
  </si>
  <si>
    <t>2024.6.19</t>
  </si>
  <si>
    <t>2026.4.10</t>
  </si>
  <si>
    <t>19-1层05</t>
  </si>
  <si>
    <t>2025-9-6、30</t>
  </si>
  <si>
    <t>19-1层06</t>
  </si>
  <si>
    <t>19-1层07</t>
  </si>
  <si>
    <t>2025-8-9、2025-8-17</t>
  </si>
  <si>
    <t>19-1层08</t>
  </si>
  <si>
    <t>19-1层09</t>
  </si>
  <si>
    <t>19-1层10</t>
  </si>
  <si>
    <t>19-1层11</t>
  </si>
  <si>
    <t>19-1层12</t>
  </si>
  <si>
    <t>19-1层13</t>
  </si>
  <si>
    <t>19-1层14</t>
  </si>
  <si>
    <t>19-1层15</t>
  </si>
  <si>
    <t>19-1层16</t>
  </si>
  <si>
    <t>19-1层17</t>
  </si>
  <si>
    <t>19-1层18</t>
  </si>
  <si>
    <t>19-1层19</t>
  </si>
  <si>
    <t>372523198212103321</t>
  </si>
  <si>
    <t>彭红鱼</t>
  </si>
  <si>
    <t>0000575</t>
  </si>
  <si>
    <t>19-2层01</t>
  </si>
  <si>
    <t>2026.5.19</t>
  </si>
  <si>
    <t>2026.5.21</t>
  </si>
  <si>
    <t>19-2层02</t>
  </si>
  <si>
    <t>652826198906282929</t>
  </si>
  <si>
    <t>张丽、柴金帅</t>
  </si>
  <si>
    <t>19-2层03</t>
  </si>
  <si>
    <t>2025.7.1</t>
  </si>
  <si>
    <t>2026.6.11</t>
  </si>
  <si>
    <t>房屋资料</t>
  </si>
  <si>
    <t>客户资料</t>
  </si>
  <si>
    <t>面积</t>
  </si>
  <si>
    <t>原房价</t>
  </si>
  <si>
    <t>应退款</t>
  </si>
  <si>
    <t>17-3层02</t>
  </si>
  <si>
    <t>李志鹏</t>
  </si>
  <si>
    <t>冯虎军</t>
  </si>
  <si>
    <t>黄腾</t>
  </si>
  <si>
    <t>李晨辉</t>
  </si>
  <si>
    <t>杨培誉</t>
  </si>
  <si>
    <t>孙卓利/刘娜</t>
  </si>
  <si>
    <t>赵东雷</t>
  </si>
  <si>
    <t>刘彦平/孙芮</t>
  </si>
  <si>
    <t>蒋利军</t>
  </si>
  <si>
    <t>杜海燕</t>
  </si>
  <si>
    <t>陈士豪</t>
  </si>
  <si>
    <t>不含税收入</t>
  </si>
  <si>
    <t>未签合同按收款金额报</t>
  </si>
  <si>
    <t>刘桂芝、陈浩</t>
  </si>
  <si>
    <t>20230001507</t>
  </si>
  <si>
    <t>20230001147</t>
  </si>
  <si>
    <t>20230000826</t>
  </si>
  <si>
    <t>20230003918</t>
  </si>
  <si>
    <t>20230001033</t>
  </si>
  <si>
    <t>20230001384</t>
  </si>
  <si>
    <t>20230005434</t>
  </si>
  <si>
    <t>20230001030</t>
  </si>
  <si>
    <t>20230001002</t>
  </si>
  <si>
    <t>张梦圆、张金玲</t>
  </si>
  <si>
    <t>20230001567</t>
  </si>
  <si>
    <t>20230009766</t>
  </si>
  <si>
    <t>20230002981</t>
  </si>
  <si>
    <t>20230003140</t>
  </si>
  <si>
    <t>20240004715</t>
  </si>
  <si>
    <t>20230004693</t>
  </si>
  <si>
    <t>20230005310</t>
  </si>
  <si>
    <t>20230004501</t>
  </si>
  <si>
    <t>20230001273</t>
  </si>
  <si>
    <t>20230001131</t>
  </si>
  <si>
    <t>20230000938</t>
  </si>
  <si>
    <t>20230001016</t>
  </si>
  <si>
    <t>20230003632</t>
  </si>
  <si>
    <t>20230001069</t>
  </si>
  <si>
    <t>20230003012</t>
  </si>
  <si>
    <t>20230003627</t>
  </si>
  <si>
    <t>20230001361</t>
  </si>
  <si>
    <t>20230000787</t>
  </si>
  <si>
    <t>20230001189</t>
  </si>
  <si>
    <t>20230001249</t>
  </si>
  <si>
    <t>20230001425</t>
  </si>
  <si>
    <t>20230000845</t>
  </si>
  <si>
    <t>652801196009091659</t>
  </si>
  <si>
    <t>20230000975</t>
  </si>
  <si>
    <t>20230008735</t>
  </si>
  <si>
    <t>20230002408</t>
  </si>
  <si>
    <t>20230001469</t>
  </si>
  <si>
    <t>20230006724</t>
  </si>
  <si>
    <t>20230005301</t>
  </si>
  <si>
    <t>20230003813</t>
  </si>
  <si>
    <t>20230000839</t>
  </si>
  <si>
    <t>20230000683</t>
  </si>
  <si>
    <t>20230002094</t>
  </si>
  <si>
    <t>20230001152</t>
  </si>
  <si>
    <t>20230003103</t>
  </si>
  <si>
    <t>20230000967</t>
  </si>
  <si>
    <t>20230000768</t>
  </si>
  <si>
    <t>20230001457</t>
  </si>
  <si>
    <t>20230000811</t>
  </si>
  <si>
    <t>20230001701</t>
  </si>
  <si>
    <t>20230001118</t>
  </si>
  <si>
    <t>20230001276</t>
  </si>
  <si>
    <t>20230001043</t>
  </si>
  <si>
    <t>20230001164</t>
  </si>
  <si>
    <t>20230003749</t>
  </si>
  <si>
    <t>20230001057</t>
  </si>
  <si>
    <t>20230000895</t>
  </si>
  <si>
    <t>202300000774</t>
  </si>
  <si>
    <t>20230001006</t>
  </si>
  <si>
    <t>20230004123</t>
  </si>
  <si>
    <t>20230000803</t>
  </si>
  <si>
    <t>20230002472</t>
  </si>
  <si>
    <t>20230009580</t>
  </si>
  <si>
    <t>20230002805</t>
  </si>
  <si>
    <t>20230001038</t>
  </si>
  <si>
    <t>20230001396</t>
  </si>
  <si>
    <t>20230001256</t>
  </si>
  <si>
    <t>20230001540</t>
  </si>
  <si>
    <t>20230001409</t>
  </si>
  <si>
    <t>20230002447</t>
  </si>
  <si>
    <t>20230001880</t>
  </si>
  <si>
    <t>20230004799</t>
  </si>
  <si>
    <t>20230000863</t>
  </si>
  <si>
    <t>341226198001022528</t>
  </si>
  <si>
    <t>62242819850826072X</t>
  </si>
  <si>
    <t>652826198312102011</t>
  </si>
  <si>
    <t>320321199308094247</t>
  </si>
  <si>
    <t>张倩（刘肖肖）</t>
  </si>
  <si>
    <t>抵账全款</t>
  </si>
  <si>
    <t>652827199106021617
653124199501234667</t>
  </si>
  <si>
    <t>伍星、秦莉</t>
  </si>
  <si>
    <t>622424198707146117</t>
  </si>
  <si>
    <t>65280119880314522X</t>
  </si>
  <si>
    <t>李芹、胡启龙</t>
  </si>
  <si>
    <t>622323198803061427</t>
  </si>
  <si>
    <t>袁承华、胡兆祥</t>
  </si>
  <si>
    <t>652801196205271630</t>
  </si>
  <si>
    <t>刘红旗、王香梅</t>
  </si>
  <si>
    <t>652827195912113227</t>
  </si>
  <si>
    <t>652827196508052922</t>
  </si>
  <si>
    <t>2023.10.2</t>
  </si>
  <si>
    <t>202300008542</t>
  </si>
  <si>
    <t>易章波（易高才） 成交</t>
  </si>
  <si>
    <t>贾志丽 成交</t>
  </si>
  <si>
    <t xml:space="preserve">蒋永祥 成交
</t>
  </si>
  <si>
    <t>牛燕
徐爽崴成交
艾建 退</t>
  </si>
  <si>
    <t>412722199006201192</t>
  </si>
  <si>
    <t>凌亚彬</t>
  </si>
  <si>
    <t>2023.12.31</t>
  </si>
  <si>
    <t>柳康林（敬天惠）</t>
  </si>
  <si>
    <t>652827200811021618</t>
  </si>
  <si>
    <t>李玉良、李洪建</t>
  </si>
  <si>
    <t>柳欢（退了又入）</t>
  </si>
  <si>
    <t>余仁杰 成交</t>
  </si>
  <si>
    <t>622727199807241443</t>
  </si>
  <si>
    <t xml:space="preserve">袁明伟（成交）
</t>
  </si>
  <si>
    <t>袁明伟（成交）</t>
  </si>
  <si>
    <t>赵小兰（成交）</t>
  </si>
  <si>
    <t>靳国柱、马娥子（成交）</t>
  </si>
  <si>
    <t>杨新梅（成交）</t>
  </si>
  <si>
    <t>马嘉欣、杨新梅（成交）</t>
  </si>
  <si>
    <t>刘俊平（成交）</t>
  </si>
  <si>
    <t>652801195708103116</t>
  </si>
  <si>
    <t>吴宝贵（成交）</t>
  </si>
  <si>
    <t>王琼兰（赵星）成交</t>
  </si>
  <si>
    <t>席浩宇、韩玉霞（成交）</t>
  </si>
  <si>
    <t>吴宝贵、吴晓芳（成交）</t>
  </si>
  <si>
    <t>靳迎亚、马娥子、靳国柱（成交）</t>
  </si>
  <si>
    <t>聂柏林（成交）</t>
  </si>
  <si>
    <t>李乐（成交）</t>
  </si>
  <si>
    <t>白林清、周小茜（成交）</t>
  </si>
  <si>
    <t>楚帅冰（成交）</t>
  </si>
  <si>
    <t>马志辉 成交</t>
  </si>
  <si>
    <t>腾红艳 成交</t>
  </si>
  <si>
    <t>李志鹏 杨亚飞 成交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</si>
  <si>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</si>
  <si>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向贤云（成交）</t>
  </si>
  <si>
    <t>向贤云（成交）
白奎 退</t>
  </si>
  <si>
    <t>刘王子睿（刘甲政 成交）</t>
  </si>
  <si>
    <t>刘王妤丹（刘甲政成交）</t>
  </si>
  <si>
    <t>李洁（李富强成交 李心铭 ）</t>
  </si>
  <si>
    <t>512225196207195608</t>
  </si>
  <si>
    <t>秦桂兰（成交）</t>
  </si>
  <si>
    <t>吕程（成交）</t>
  </si>
  <si>
    <t>陈国强（成交）</t>
  </si>
  <si>
    <t>魏玉文（成交）</t>
  </si>
  <si>
    <t>肖培利（成交）
任成</t>
  </si>
  <si>
    <r>
      <rPr>
        <sz val="10"/>
        <rFont val="宋体"/>
        <charset val="134"/>
      </rPr>
      <t>佟海宾（许振双成交）</t>
    </r>
    <r>
      <rPr>
        <sz val="10"/>
        <color theme="9" tint="-0.25"/>
        <rFont val="宋体"/>
        <charset val="134"/>
      </rPr>
      <t xml:space="preserve">
王盼</t>
    </r>
  </si>
  <si>
    <t>佟海宾（许振双成交）</t>
  </si>
  <si>
    <t>肖培利 成交
任成</t>
  </si>
  <si>
    <t>李倩（成交）</t>
  </si>
  <si>
    <t>李晓兰（成交）</t>
  </si>
  <si>
    <t>罗建生（成交）</t>
  </si>
  <si>
    <t>652801197206251628</t>
  </si>
  <si>
    <t>韩春子（闫莉成交）</t>
  </si>
  <si>
    <t xml:space="preserve">李洁（李富强成交 李丹媚）
</t>
  </si>
  <si>
    <t>刘王子睿（刘甲政成交）</t>
  </si>
  <si>
    <t>段二苏 成交</t>
  </si>
  <si>
    <t>画堂春锦销售费率</t>
  </si>
  <si>
    <t>年</t>
  </si>
  <si>
    <t>月</t>
  </si>
  <si>
    <t>提成</t>
  </si>
  <si>
    <t>套奖</t>
  </si>
  <si>
    <t>基本工资</t>
  </si>
  <si>
    <t>社保（企业）</t>
  </si>
  <si>
    <t>已结算费用明细</t>
  </si>
  <si>
    <t>计佣回款金额</t>
  </si>
  <si>
    <t>创智源</t>
  </si>
  <si>
    <t>销售费率占比</t>
  </si>
  <si>
    <t>2024-12-26</t>
  </si>
  <si>
    <t>2024-11-12</t>
  </si>
  <si>
    <t>2024-12-30</t>
  </si>
  <si>
    <t>2025-3-3</t>
  </si>
  <si>
    <t>2024-12-25</t>
  </si>
  <si>
    <t>2025-2-28</t>
  </si>
  <si>
    <t>2024-11-21</t>
  </si>
  <si>
    <t>2024-12-18</t>
  </si>
  <si>
    <t>2024-12-31</t>
  </si>
  <si>
    <t>2025-2-25</t>
  </si>
  <si>
    <t>2024-10-28</t>
  </si>
  <si>
    <t>2024-11-13</t>
  </si>
  <si>
    <t>2024-10-20</t>
  </si>
  <si>
    <t>2024-9-29</t>
  </si>
  <si>
    <t>2025-4-7</t>
  </si>
  <si>
    <t>2025-1-16</t>
  </si>
  <si>
    <t>2024-11-1</t>
  </si>
  <si>
    <t>2024-9-27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</si>
</sst>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&quot;$&quot;\ #,##0_-;[Red]&quot;$&quot;\ #,##0\-"/>
    <numFmt numFmtId="178" formatCode="#,##0.0_);\(#,##0.0\)"/>
    <numFmt numFmtId="179" formatCode="#,##0;\(#,##0\)"/>
    <numFmt numFmtId="180" formatCode="_-&quot;$&quot;\ * #,##0_-;_-&quot;$&quot;\ * #,##0\-;_-&quot;$&quot;\ * &quot;-&quot;_-;_-@_-"/>
    <numFmt numFmtId="181" formatCode="_(* #,##0.00_);_(* \(#,##0.00\);_(* &quot;-&quot;??_);_(@_)"/>
    <numFmt numFmtId="182" formatCode="\$#,##0.00;\(\$#,##0.00\)"/>
    <numFmt numFmtId="183" formatCode="\$#,##0;\(\$#,##0\)"/>
    <numFmt numFmtId="184" formatCode="_-* #,##0.00_-;\-* #,##0.00_-;_-* &quot;-&quot;??_-;_-@_-"/>
    <numFmt numFmtId="185" formatCode="_-* #,##0_-;\-* #,##0_-;_-* &quot;-&quot;_-;_-@_-"/>
    <numFmt numFmtId="186" formatCode="_-&quot;$&quot;\ * #,##0.00_-;_-&quot;$&quot;\ * #,##0.00\-;_-&quot;$&quot;\ * &quot;-&quot;??_-;_-@_-"/>
    <numFmt numFmtId="187" formatCode="&quot;$&quot;#,##0.00_);[Red]\(&quot;$&quot;#,##0.00\)"/>
    <numFmt numFmtId="188" formatCode="&quot;$&quot;#,##0_);[Red]\(&quot;$&quot;#,##0\)"/>
    <numFmt numFmtId="189" formatCode="&quot;$&quot;\ #,##0.00_-;[Red]&quot;$&quot;\ #,##0.00\-"/>
    <numFmt numFmtId="190" formatCode="#\ ??/??"/>
    <numFmt numFmtId="191" formatCode="_(&quot;$&quot;* #,##0.00_);_(&quot;$&quot;* \(#,##0.00\);_(&quot;$&quot;* &quot;-&quot;??_);_(@_)"/>
    <numFmt numFmtId="192" formatCode="_(&quot;$&quot;* #,##0_);_(&quot;$&quot;* \(#,##0\);_(&quot;$&quot;* &quot;-&quot;_);_(@_)"/>
    <numFmt numFmtId="193" formatCode="yy\.mm\.dd"/>
    <numFmt numFmtId="194" formatCode="0_ "/>
    <numFmt numFmtId="195" formatCode="yyyy/m/d;@"/>
    <numFmt numFmtId="196" formatCode="0.00_ "/>
    <numFmt numFmtId="197" formatCode="#,##0.00_ "/>
    <numFmt numFmtId="198" formatCode="0.000%"/>
    <numFmt numFmtId="199" formatCode="##\-#\-###"/>
    <numFmt numFmtId="200" formatCode="0.00_);\(0.00\)"/>
    <numFmt numFmtId="201" formatCode="0.0%"/>
    <numFmt numFmtId="202" formatCode="yyyy&quot;年&quot;m&quot;月&quot;d&quot;日&quot;;@"/>
    <numFmt numFmtId="203" formatCode="0.0000%"/>
    <numFmt numFmtId="204" formatCode="0_);[Red]\(0\)"/>
    <numFmt numFmtId="205" formatCode="#,##0.0_ "/>
    <numFmt numFmtId="206" formatCode="0.00_);[Red]\(0.00\)"/>
    <numFmt numFmtId="207" formatCode="0.0_ "/>
    <numFmt numFmtId="208" formatCode="#,##0.000_ "/>
    <numFmt numFmtId="209" formatCode="_ * #,##0.000_ ;_ * \-#,##0.000_ ;_ * &quot;-&quot;??.0_ ;_ @_ "/>
    <numFmt numFmtId="210" formatCode="m/d;@"/>
    <numFmt numFmtId="211" formatCode="#,##0_ "/>
    <numFmt numFmtId="212" formatCode="_ * #,##0.0000_ ;_ * \-#,##0.0000_ ;_ * &quot;-&quot;??.00_ ;_ @_ "/>
    <numFmt numFmtId="213" formatCode="0.000_ "/>
    <numFmt numFmtId="214" formatCode="mmm\/yy"/>
    <numFmt numFmtId="215" formatCode="0;[Red]0"/>
    <numFmt numFmtId="216" formatCode="#,##0_);[Red]\(#,##0\)"/>
    <numFmt numFmtId="217" formatCode="#,##0;[Red]#,##0"/>
    <numFmt numFmtId="218" formatCode="0.0000_ "/>
    <numFmt numFmtId="219" formatCode="#,##0.000"/>
  </numFmts>
  <fonts count="164">
    <font>
      <sz val="12"/>
      <name val="宋体"/>
      <charset val="134"/>
    </font>
    <font>
      <sz val="9"/>
      <name val="仿宋"/>
      <charset val="134"/>
    </font>
    <font>
      <b/>
      <sz val="9"/>
      <name val="仿宋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仿宋"/>
      <charset val="134"/>
    </font>
    <font>
      <b/>
      <sz val="10"/>
      <name val="仿宋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theme="1"/>
      <name val="宋体"/>
      <charset val="134"/>
    </font>
    <font>
      <sz val="10"/>
      <color theme="9" tint="0.4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12"/>
      <name val="仿宋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9"/>
      <name val="宋体"/>
      <charset val="134"/>
    </font>
    <font>
      <sz val="12"/>
      <color theme="5"/>
      <name val="宋体"/>
      <charset val="134"/>
    </font>
    <font>
      <sz val="9"/>
      <name val="宋体"/>
      <charset val="134"/>
    </font>
    <font>
      <b/>
      <sz val="9"/>
      <color rgb="FFFF0000"/>
      <name val="宋体"/>
      <charset val="134"/>
    </font>
    <font>
      <sz val="8"/>
      <color rgb="FFFF0000"/>
      <name val="宋体"/>
      <charset val="134"/>
    </font>
    <font>
      <sz val="22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</font>
    <font>
      <sz val="9"/>
      <color rgb="FF000000"/>
      <name val="宋体"/>
      <charset val="134"/>
    </font>
    <font>
      <sz val="12"/>
      <color rgb="FF92D050"/>
      <name val="宋体"/>
      <charset val="134"/>
    </font>
    <font>
      <sz val="10"/>
      <name val="Arial"/>
      <charset val="134"/>
    </font>
    <font>
      <b/>
      <sz val="10"/>
      <color indexed="10"/>
      <name val="Arial"/>
      <charset val="134"/>
    </font>
    <font>
      <b/>
      <sz val="10"/>
      <color indexed="8"/>
      <name val="Arial"/>
      <charset val="134"/>
    </font>
    <font>
      <b/>
      <sz val="16"/>
      <name val="宋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b/>
      <sz val="16"/>
      <name val="仿宋"/>
      <charset val="134"/>
    </font>
    <font>
      <sz val="6"/>
      <name val="仿宋"/>
      <charset val="134"/>
    </font>
    <font>
      <sz val="9"/>
      <color rgb="FFFF0000"/>
      <name val="宋体"/>
      <charset val="134"/>
    </font>
    <font>
      <b/>
      <sz val="12"/>
      <color rgb="FF363636"/>
      <name val="宋体"/>
      <charset val="134"/>
    </font>
    <font>
      <sz val="9"/>
      <color rgb="FF333333"/>
      <name val="宋体"/>
      <charset val="134"/>
    </font>
    <font>
      <b/>
      <sz val="8"/>
      <name val="宋体"/>
      <charset val="134"/>
    </font>
    <font>
      <b/>
      <sz val="9"/>
      <color rgb="FF00B0F0"/>
      <name val="宋体"/>
      <charset val="134"/>
    </font>
    <font>
      <sz val="9"/>
      <color theme="1"/>
      <name val="宋体"/>
      <charset val="134"/>
      <scheme val="minor"/>
    </font>
    <font>
      <sz val="10.5"/>
      <color rgb="FF333333"/>
      <name val="Tahoma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indexed="10"/>
      <name val="宋体"/>
      <charset val="134"/>
    </font>
    <font>
      <b/>
      <sz val="8"/>
      <color theme="1"/>
      <name val="宋体"/>
      <charset val="134"/>
      <scheme val="minor"/>
    </font>
    <font>
      <sz val="10"/>
      <color indexed="10"/>
      <name val="宋体"/>
      <charset val="134"/>
    </font>
    <font>
      <b/>
      <sz val="12"/>
      <color rgb="FFFF0000"/>
      <name val="宋体"/>
      <charset val="134"/>
    </font>
    <font>
      <sz val="12"/>
      <color indexed="10"/>
      <name val="宋体"/>
      <charset val="134"/>
    </font>
    <font>
      <sz val="10"/>
      <color rgb="FF000000"/>
      <name val="Times New Roman"/>
      <charset val="0"/>
    </font>
    <font>
      <sz val="10"/>
      <name val="Times New Roman"/>
      <charset val="0"/>
    </font>
    <font>
      <sz val="10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sz val="12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仿宋"/>
      <charset val="134"/>
    </font>
    <font>
      <sz val="11"/>
      <name val="宋体"/>
      <charset val="0"/>
    </font>
    <font>
      <sz val="12"/>
      <color rgb="FF00B0F0"/>
      <name val="仿宋"/>
      <charset val="134"/>
    </font>
    <font>
      <sz val="12"/>
      <color indexed="8"/>
      <name val="仿宋"/>
      <charset val="134"/>
    </font>
    <font>
      <u/>
      <sz val="11"/>
      <color rgb="FF800080"/>
      <name val="宋体"/>
      <charset val="0"/>
      <scheme val="minor"/>
    </font>
    <font>
      <sz val="10.5"/>
      <color rgb="FF333333"/>
      <name val="PingFang SC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4"/>
      <name val="楷体"/>
      <charset val="134"/>
    </font>
    <font>
      <b/>
      <sz val="18"/>
      <color indexed="56"/>
      <name val="宋体"/>
      <charset val="134"/>
    </font>
    <font>
      <b/>
      <sz val="11"/>
      <color indexed="63"/>
      <name val="Tahoma"/>
      <charset val="134"/>
    </font>
    <font>
      <b/>
      <sz val="10"/>
      <name val="MS Sans Serif"/>
      <charset val="134"/>
    </font>
    <font>
      <sz val="11"/>
      <color indexed="8"/>
      <name val="Tahoma"/>
      <charset val="134"/>
    </font>
    <font>
      <sz val="10"/>
      <name val="楷体"/>
      <charset val="134"/>
    </font>
    <font>
      <sz val="8"/>
      <name val="Arial"/>
      <charset val="134"/>
    </font>
    <font>
      <sz val="10"/>
      <name val="Geneva"/>
      <charset val="134"/>
    </font>
    <font>
      <sz val="11"/>
      <color indexed="9"/>
      <name val="宋体"/>
      <charset val="134"/>
    </font>
    <font>
      <sz val="9"/>
      <color indexed="8"/>
      <name val="新宋体"/>
      <charset val="134"/>
    </font>
    <font>
      <b/>
      <sz val="12"/>
      <color indexed="8"/>
      <name val="宋体"/>
      <charset val="134"/>
    </font>
    <font>
      <sz val="12"/>
      <color indexed="9"/>
      <name val="宋体"/>
      <charset val="134"/>
    </font>
    <font>
      <b/>
      <sz val="13"/>
      <color indexed="56"/>
      <name val="宋体"/>
      <charset val="134"/>
    </font>
    <font>
      <sz val="10"/>
      <name val="MS Sans Serif"/>
      <charset val="134"/>
    </font>
    <font>
      <sz val="11"/>
      <color indexed="62"/>
      <name val="宋体"/>
      <charset val="134"/>
    </font>
    <font>
      <b/>
      <sz val="11"/>
      <color indexed="52"/>
      <name val="Tahoma"/>
      <charset val="134"/>
    </font>
    <font>
      <b/>
      <sz val="11"/>
      <color indexed="56"/>
      <name val="Tahoma"/>
      <charset val="134"/>
    </font>
    <font>
      <b/>
      <sz val="11"/>
      <color indexed="63"/>
      <name val="宋体"/>
      <charset val="134"/>
    </font>
    <font>
      <sz val="12"/>
      <name val="Times New Roman"/>
      <charset val="134"/>
    </font>
    <font>
      <sz val="11"/>
      <color indexed="9"/>
      <name val="Tahoma"/>
      <charset val="134"/>
    </font>
    <font>
      <b/>
      <sz val="11"/>
      <color indexed="8"/>
      <name val="Tahoma"/>
      <charset val="134"/>
    </font>
    <font>
      <sz val="12"/>
      <color indexed="9"/>
      <name val="Helv"/>
      <charset val="134"/>
    </font>
    <font>
      <sz val="11"/>
      <color indexed="20"/>
      <name val="宋体"/>
      <charset val="134"/>
    </font>
    <font>
      <sz val="10"/>
      <name val="Helv"/>
      <charset val="134"/>
    </font>
    <font>
      <sz val="11"/>
      <color indexed="62"/>
      <name val="Tahoma"/>
      <charset val="134"/>
    </font>
    <font>
      <b/>
      <sz val="12"/>
      <name val="Arial"/>
      <charset val="134"/>
    </font>
    <font>
      <sz val="12"/>
      <color indexed="17"/>
      <name val="宋体"/>
      <charset val="134"/>
    </font>
    <font>
      <b/>
      <sz val="10"/>
      <name val="Tms Rmn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9"/>
      <color indexed="8"/>
      <name val="新宋体"/>
      <charset val="134"/>
    </font>
    <font>
      <b/>
      <sz val="15"/>
      <color indexed="56"/>
      <name val="宋体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1"/>
      <color indexed="56"/>
      <name val="宋体"/>
      <charset val="134"/>
    </font>
    <font>
      <sz val="12"/>
      <name val="Helv"/>
      <charset val="134"/>
    </font>
    <font>
      <b/>
      <sz val="15"/>
      <color indexed="56"/>
      <name val="Tahoma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7"/>
      <name val="Small Fonts"/>
      <charset val="134"/>
    </font>
    <font>
      <b/>
      <sz val="11"/>
      <color indexed="9"/>
      <name val="宋体"/>
      <charset val="134"/>
    </font>
    <font>
      <i/>
      <sz val="11"/>
      <color indexed="23"/>
      <name val="Tahoma"/>
      <charset val="134"/>
    </font>
    <font>
      <sz val="12"/>
      <color indexed="16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20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sz val="10"/>
      <color indexed="8"/>
      <name val="MS Sans Serif"/>
      <charset val="134"/>
    </font>
    <font>
      <b/>
      <sz val="13"/>
      <color indexed="56"/>
      <name val="Tahoma"/>
      <charset val="134"/>
    </font>
    <font>
      <sz val="11"/>
      <color indexed="17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sz val="11"/>
      <color indexed="9"/>
      <name val="Tahoma"/>
      <charset val="134"/>
    </font>
    <font>
      <sz val="11"/>
      <color indexed="10"/>
      <name val="Tahoma"/>
      <charset val="134"/>
    </font>
    <font>
      <b/>
      <sz val="11"/>
      <color theme="1"/>
      <name val="SimSun"/>
      <charset val="134"/>
    </font>
    <font>
      <b/>
      <sz val="11"/>
      <color rgb="FFFF0000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b/>
      <sz val="9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sz val="14"/>
      <color rgb="FF000000"/>
      <name val="宋体"/>
      <charset val="134"/>
    </font>
  </fonts>
  <fills count="79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solid">
        <fgColor indexed="63"/>
        <bgColor indexed="64"/>
      </patternFill>
    </fill>
    <fill>
      <patternFill patternType="mediumGray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indexed="52"/>
      </bottom>
      <diagonal/>
    </border>
  </borders>
  <cellStyleXfs count="3493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80" fillId="0" borderId="0" applyFont="0" applyFill="0" applyBorder="0" applyAlignment="0" applyProtection="0">
      <alignment vertical="center"/>
    </xf>
    <xf numFmtId="42" fontId="80" fillId="0" borderId="0" applyFon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80" fillId="19" borderId="28" applyNumberFormat="0" applyFont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29" applyNumberFormat="0" applyFill="0" applyAlignment="0" applyProtection="0">
      <alignment vertical="center"/>
    </xf>
    <xf numFmtId="0" fontId="86" fillId="0" borderId="29" applyNumberFormat="0" applyFill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8" fillId="20" borderId="31" applyNumberFormat="0" applyAlignment="0" applyProtection="0">
      <alignment vertical="center"/>
    </xf>
    <xf numFmtId="0" fontId="89" fillId="21" borderId="32" applyNumberFormat="0" applyAlignment="0" applyProtection="0">
      <alignment vertical="center"/>
    </xf>
    <xf numFmtId="0" fontId="90" fillId="21" borderId="31" applyNumberFormat="0" applyAlignment="0" applyProtection="0">
      <alignment vertical="center"/>
    </xf>
    <xf numFmtId="0" fontId="91" fillId="22" borderId="33" applyNumberFormat="0" applyAlignment="0" applyProtection="0">
      <alignment vertical="center"/>
    </xf>
    <xf numFmtId="0" fontId="92" fillId="0" borderId="34" applyNumberFormat="0" applyFill="0" applyAlignment="0" applyProtection="0">
      <alignment vertical="center"/>
    </xf>
    <xf numFmtId="0" fontId="93" fillId="0" borderId="35" applyNumberFormat="0" applyFill="0" applyAlignment="0" applyProtection="0">
      <alignment vertical="center"/>
    </xf>
    <xf numFmtId="0" fontId="94" fillId="23" borderId="0" applyNumberFormat="0" applyBorder="0" applyAlignment="0" applyProtection="0">
      <alignment vertical="center"/>
    </xf>
    <xf numFmtId="0" fontId="95" fillId="24" borderId="0" applyNumberFormat="0" applyBorder="0" applyAlignment="0" applyProtection="0">
      <alignment vertical="center"/>
    </xf>
    <xf numFmtId="0" fontId="96" fillId="25" borderId="0" applyNumberFormat="0" applyBorder="0" applyAlignment="0" applyProtection="0">
      <alignment vertical="center"/>
    </xf>
    <xf numFmtId="0" fontId="97" fillId="26" borderId="0" applyNumberFormat="0" applyBorder="0" applyAlignment="0" applyProtection="0">
      <alignment vertical="center"/>
    </xf>
    <xf numFmtId="0" fontId="98" fillId="27" borderId="0" applyNumberFormat="0" applyBorder="0" applyAlignment="0" applyProtection="0">
      <alignment vertical="center"/>
    </xf>
    <xf numFmtId="0" fontId="98" fillId="28" borderId="0" applyNumberFormat="0" applyBorder="0" applyAlignment="0" applyProtection="0">
      <alignment vertical="center"/>
    </xf>
    <xf numFmtId="0" fontId="97" fillId="29" borderId="0" applyNumberFormat="0" applyBorder="0" applyAlignment="0" applyProtection="0">
      <alignment vertical="center"/>
    </xf>
    <xf numFmtId="0" fontId="97" fillId="30" borderId="0" applyNumberFormat="0" applyBorder="0" applyAlignment="0" applyProtection="0">
      <alignment vertical="center"/>
    </xf>
    <xf numFmtId="0" fontId="98" fillId="31" borderId="0" applyNumberFormat="0" applyBorder="0" applyAlignment="0" applyProtection="0">
      <alignment vertical="center"/>
    </xf>
    <xf numFmtId="0" fontId="98" fillId="32" borderId="0" applyNumberFormat="0" applyBorder="0" applyAlignment="0" applyProtection="0">
      <alignment vertical="center"/>
    </xf>
    <xf numFmtId="0" fontId="97" fillId="33" borderId="0" applyNumberFormat="0" applyBorder="0" applyAlignment="0" applyProtection="0">
      <alignment vertical="center"/>
    </xf>
    <xf numFmtId="0" fontId="97" fillId="34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6" borderId="0" applyNumberFormat="0" applyBorder="0" applyAlignment="0" applyProtection="0">
      <alignment vertical="center"/>
    </xf>
    <xf numFmtId="0" fontId="97" fillId="37" borderId="0" applyNumberFormat="0" applyBorder="0" applyAlignment="0" applyProtection="0">
      <alignment vertical="center"/>
    </xf>
    <xf numFmtId="0" fontId="97" fillId="38" borderId="0" applyNumberFormat="0" applyBorder="0" applyAlignment="0" applyProtection="0">
      <alignment vertical="center"/>
    </xf>
    <xf numFmtId="0" fontId="98" fillId="39" borderId="0" applyNumberFormat="0" applyBorder="0" applyAlignment="0" applyProtection="0">
      <alignment vertical="center"/>
    </xf>
    <xf numFmtId="0" fontId="98" fillId="40" borderId="0" applyNumberFormat="0" applyBorder="0" applyAlignment="0" applyProtection="0">
      <alignment vertical="center"/>
    </xf>
    <xf numFmtId="0" fontId="97" fillId="41" borderId="0" applyNumberFormat="0" applyBorder="0" applyAlignment="0" applyProtection="0">
      <alignment vertical="center"/>
    </xf>
    <xf numFmtId="0" fontId="97" fillId="42" borderId="0" applyNumberFormat="0" applyBorder="0" applyAlignment="0" applyProtection="0">
      <alignment vertical="center"/>
    </xf>
    <xf numFmtId="0" fontId="98" fillId="43" borderId="0" applyNumberFormat="0" applyBorder="0" applyAlignment="0" applyProtection="0">
      <alignment vertical="center"/>
    </xf>
    <xf numFmtId="0" fontId="98" fillId="44" borderId="0" applyNumberFormat="0" applyBorder="0" applyAlignment="0" applyProtection="0">
      <alignment vertical="center"/>
    </xf>
    <xf numFmtId="0" fontId="97" fillId="45" borderId="0" applyNumberFormat="0" applyBorder="0" applyAlignment="0" applyProtection="0">
      <alignment vertical="center"/>
    </xf>
    <xf numFmtId="0" fontId="97" fillId="46" borderId="0" applyNumberFormat="0" applyBorder="0" applyAlignment="0" applyProtection="0">
      <alignment vertical="center"/>
    </xf>
    <xf numFmtId="0" fontId="98" fillId="47" borderId="0" applyNumberFormat="0" applyBorder="0" applyAlignment="0" applyProtection="0">
      <alignment vertical="center"/>
    </xf>
    <xf numFmtId="0" fontId="98" fillId="48" borderId="0" applyNumberFormat="0" applyBorder="0" applyAlignment="0" applyProtection="0">
      <alignment vertical="center"/>
    </xf>
    <xf numFmtId="0" fontId="97" fillId="49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0" fillId="0" borderId="16" applyNumberFormat="0" applyFill="0" applyProtection="0">
      <alignment horizont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3" fillId="0" borderId="38">
      <alignment horizontal="center" vertical="center"/>
    </xf>
    <xf numFmtId="0" fontId="104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105" fillId="0" borderId="39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107" fillId="0" borderId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5" fontId="113" fillId="0" borderId="0" applyFont="0" applyFill="0" applyBorder="0" applyAlignment="0" applyProtection="0"/>
    <xf numFmtId="0" fontId="104" fillId="53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11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104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left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1" fillId="51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9" fillId="63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left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119" fillId="64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8" fillId="0" borderId="0"/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03" fillId="0" borderId="38">
      <alignment horizontal="center" vertical="center"/>
    </xf>
    <xf numFmtId="0" fontId="117" fillId="15" borderId="37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17" fillId="15" borderId="37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8" fillId="0" borderId="0"/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178" fontId="121" fillId="67" borderId="0">
      <alignment vertical="center"/>
    </xf>
    <xf numFmtId="0" fontId="23" fillId="56" borderId="0" applyNumberFormat="0" applyBorder="0" applyAlignment="0" applyProtection="0"/>
    <xf numFmtId="0" fontId="23" fillId="11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17" fillId="15" borderId="37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left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1" fillId="60" borderId="0" applyNumberFormat="0" applyBorder="0" applyAlignment="0" applyProtection="0"/>
    <xf numFmtId="0" fontId="80" fillId="6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3" fillId="0" borderId="0">
      <protection locked="0"/>
    </xf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23" fillId="1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80" fillId="60" borderId="0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26" fillId="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6" fillId="11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07" fillId="0" borderId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8" fillId="0" borderId="0"/>
    <xf numFmtId="38" fontId="106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10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6" fillId="11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07" fillId="0" borderId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40" applyNumberFormat="0" applyFill="0" applyAlignment="0" applyProtection="0">
      <alignment vertical="center"/>
    </xf>
    <xf numFmtId="0" fontId="107" fillId="0" borderId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40" applyNumberFormat="0" applyFill="0" applyAlignment="0" applyProtection="0">
      <alignment vertical="center"/>
    </xf>
    <xf numFmtId="0" fontId="107" fillId="0" borderId="0"/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left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45" fillId="0" borderId="0">
      <alignment vertical="center"/>
    </xf>
    <xf numFmtId="0" fontId="127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0" fillId="0" borderId="0">
      <alignment vertical="center"/>
    </xf>
    <xf numFmtId="0" fontId="110" fillId="0" borderId="0">
      <alignment vertical="center"/>
    </xf>
    <xf numFmtId="0" fontId="123" fillId="0" borderId="0">
      <alignment vertical="center"/>
    </xf>
    <xf numFmtId="0" fontId="37" fillId="0" borderId="16" applyNumberFormat="0" applyFill="0" applyProtection="0">
      <alignment horizontal="left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111" fillId="57" borderId="0" applyNumberFormat="0" applyBorder="0" applyAlignment="0" applyProtection="0"/>
    <xf numFmtId="0" fontId="11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8" fillId="0" borderId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8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8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8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8" fillId="0" borderId="0">
      <alignment vertical="center"/>
    </xf>
    <xf numFmtId="0" fontId="43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8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8" fillId="0" borderId="0">
      <alignment vertical="center"/>
    </xf>
    <xf numFmtId="0" fontId="80" fillId="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8" fillId="0" borderId="0"/>
    <xf numFmtId="0" fontId="43" fillId="51" borderId="0" applyNumberFormat="0" applyBorder="0" applyAlignment="0" applyProtection="0">
      <alignment vertical="center"/>
    </xf>
    <xf numFmtId="0" fontId="118" fillId="0" borderId="0"/>
    <xf numFmtId="40" fontId="109" fillId="0" borderId="1" applyFill="0" applyAlignment="0" applyProtection="0">
      <alignment vertical="center"/>
    </xf>
    <xf numFmtId="0" fontId="118" fillId="0" borderId="0"/>
    <xf numFmtId="0" fontId="80" fillId="65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8" fillId="0" borderId="0"/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8" fillId="0" borderId="0"/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6" fillId="9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8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8" fillId="0" borderId="0"/>
    <xf numFmtId="0" fontId="43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3" fillId="0" borderId="0"/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23" fillId="0" borderId="0"/>
    <xf numFmtId="0" fontId="45" fillId="0" borderId="43" applyNumberFormat="0" applyFill="0" applyAlignment="0" applyProtection="0">
      <alignment vertical="center"/>
    </xf>
    <xf numFmtId="0" fontId="26" fillId="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8" fillId="0" borderId="0">
      <alignment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25" fillId="0" borderId="11">
      <alignment horizontal="left" vertical="center"/>
    </xf>
    <xf numFmtId="0" fontId="108" fillId="59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8" fillId="0" borderId="0"/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8" fillId="0" borderId="0"/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1" fillId="65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8" fillId="0" borderId="0"/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8" fillId="0" borderId="0"/>
    <xf numFmtId="0" fontId="43" fillId="56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118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8" fillId="0" borderId="0"/>
    <xf numFmtId="40" fontId="109" fillId="0" borderId="1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8" fillId="0" borderId="0"/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8" fillId="0" borderId="0"/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11" fillId="60" borderId="0" applyNumberFormat="0" applyBorder="0" applyAlignment="0" applyProtection="0"/>
    <xf numFmtId="0" fontId="110" fillId="0" borderId="0">
      <alignment vertical="center"/>
    </xf>
    <xf numFmtId="0" fontId="111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8" fillId="0" borderId="0"/>
    <xf numFmtId="0" fontId="126" fillId="11" borderId="0" applyNumberFormat="0" applyBorder="0" applyAlignment="0" applyProtection="0"/>
    <xf numFmtId="0" fontId="125" fillId="0" borderId="11">
      <alignment horizontal="left" vertical="center"/>
    </xf>
    <xf numFmtId="0" fontId="43" fillId="62" borderId="0" applyNumberFormat="0" applyBorder="0" applyAlignment="0" applyProtection="0">
      <alignment vertical="center"/>
    </xf>
    <xf numFmtId="0" fontId="110" fillId="0" borderId="0">
      <alignment vertical="center"/>
    </xf>
    <xf numFmtId="0" fontId="118" fillId="0" borderId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8" fillId="0" borderId="0"/>
    <xf numFmtId="0" fontId="11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6" fillId="11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8" fillId="0" borderId="0"/>
    <xf numFmtId="0" fontId="43" fillId="62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6" fillId="11" borderId="0" applyNumberFormat="0" applyBorder="0" applyAlignment="0" applyProtection="0"/>
    <xf numFmtId="0" fontId="118" fillId="0" borderId="0"/>
    <xf numFmtId="0" fontId="43" fillId="62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6" fillId="11" borderId="0" applyNumberFormat="0" applyBorder="0" applyAlignment="0" applyProtection="0"/>
    <xf numFmtId="0" fontId="80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8" fillId="0" borderId="0"/>
    <xf numFmtId="0" fontId="104" fillId="5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8" fillId="0" borderId="0"/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18" fillId="0" borderId="0">
      <alignment vertical="center"/>
    </xf>
    <xf numFmtId="10" fontId="37" fillId="0" borderId="0" applyFont="0" applyFill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1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58" borderId="0" applyNumberFormat="0" applyBorder="0" applyAlignment="0" applyProtection="0"/>
    <xf numFmtId="0" fontId="103" fillId="0" borderId="38">
      <alignment horizontal="center" vertical="center"/>
    </xf>
    <xf numFmtId="0" fontId="80" fillId="60" borderId="0" applyNumberFormat="0" applyAlignment="0" applyProtection="0">
      <alignment vertical="center"/>
    </xf>
    <xf numFmtId="10" fontId="37" fillId="0" borderId="0" applyFont="0" applyFill="0" applyBorder="0" applyAlignment="0" applyProtection="0"/>
    <xf numFmtId="0" fontId="43" fillId="0" borderId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1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58" borderId="0" applyNumberFormat="0" applyBorder="0" applyAlignment="0" applyProtection="0"/>
    <xf numFmtId="0" fontId="103" fillId="0" borderId="38">
      <alignment horizontal="center" vertical="center"/>
    </xf>
    <xf numFmtId="0" fontId="11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80" fillId="0" borderId="0" applyNumberFormat="0" applyBorder="0" applyAlignment="0" applyProtection="0"/>
    <xf numFmtId="0" fontId="104" fillId="5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8" fillId="0" borderId="0"/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1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11" fillId="1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8" fillId="0" borderId="0"/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1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1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8" fillId="0" borderId="0"/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8" fillId="0" borderId="0"/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40" fontId="109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8" fillId="0" borderId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40" fontId="109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8" fillId="0" borderId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45" fillId="0" borderId="0">
      <alignment vertical="center"/>
    </xf>
    <xf numFmtId="0" fontId="80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8" fillId="0" borderId="0">
      <alignment vertical="center"/>
    </xf>
    <xf numFmtId="0" fontId="23" fillId="1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11" fillId="51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2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3" fillId="0" borderId="0"/>
    <xf numFmtId="0" fontId="103" fillId="0" borderId="38">
      <alignment horizontal="center"/>
    </xf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23" fillId="0" borderId="0"/>
    <xf numFmtId="0" fontId="123" fillId="0" borderId="0"/>
    <xf numFmtId="0" fontId="104" fillId="62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7" fillId="0" borderId="0">
      <alignment vertical="center"/>
    </xf>
    <xf numFmtId="0" fontId="118" fillId="0" borderId="0"/>
    <xf numFmtId="0" fontId="126" fillId="11" borderId="0" applyNumberFormat="0" applyBorder="0" applyAlignment="0" applyProtection="0"/>
    <xf numFmtId="0" fontId="0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107" fillId="0" borderId="0"/>
    <xf numFmtId="0" fontId="43" fillId="62" borderId="0" applyNumberFormat="0" applyBorder="0" applyAlignment="0" applyProtection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9" fontId="37" fillId="0" borderId="0" applyFont="0" applyFill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49" fontId="37" fillId="0" borderId="0" applyFont="0" applyFill="0" applyBorder="0" applyAlignment="0" applyProtection="0"/>
    <xf numFmtId="0" fontId="110" fillId="0" borderId="0">
      <alignment vertical="center"/>
    </xf>
    <xf numFmtId="0" fontId="111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30" fillId="69" borderId="1" applyAlignment="0" applyProtection="0">
      <alignment vertical="center"/>
    </xf>
    <xf numFmtId="0" fontId="37" fillId="0" borderId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37" fillId="0" borderId="0"/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2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23" fillId="0" borderId="0"/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8" fillId="0" borderId="0">
      <alignment vertical="center"/>
    </xf>
    <xf numFmtId="0" fontId="111" fillId="5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8" fillId="0" borderId="0"/>
    <xf numFmtId="0" fontId="23" fillId="56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7" fillId="0" borderId="0">
      <alignment vertical="center"/>
    </xf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107" fillId="0" borderId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07" fillId="0" borderId="0"/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07" fillId="0" borderId="0"/>
    <xf numFmtId="0" fontId="0" fillId="0" borderId="0">
      <alignment vertical="center"/>
    </xf>
    <xf numFmtId="0" fontId="107" fillId="0" borderId="0"/>
    <xf numFmtId="0" fontId="0" fillId="0" borderId="0">
      <alignment vertical="center"/>
    </xf>
    <xf numFmtId="0" fontId="107" fillId="0" borderId="0"/>
    <xf numFmtId="0" fontId="107" fillId="0" borderId="0"/>
    <xf numFmtId="0" fontId="107" fillId="0" borderId="0"/>
    <xf numFmtId="0" fontId="45" fillId="0" borderId="0" applyNumberFormat="0" applyFont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07" fillId="0" borderId="0"/>
    <xf numFmtId="0" fontId="108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07" fillId="0" borderId="0"/>
    <xf numFmtId="0" fontId="115" fillId="15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108" fillId="53" borderId="0" applyNumberFormat="0" applyBorder="0" applyAlignment="0" applyProtection="0">
      <alignment vertical="center"/>
    </xf>
    <xf numFmtId="0" fontId="107" fillId="0" borderId="0"/>
    <xf numFmtId="0" fontId="108" fillId="53" borderId="0" applyNumberFormat="0" applyBorder="0" applyAlignment="0" applyProtection="0">
      <alignment vertical="center"/>
    </xf>
    <xf numFmtId="0" fontId="107" fillId="0" borderId="0"/>
    <xf numFmtId="0" fontId="108" fillId="53" borderId="0" applyNumberFormat="0" applyBorder="0" applyAlignment="0" applyProtection="0">
      <alignment vertical="center"/>
    </xf>
    <xf numFmtId="0" fontId="107" fillId="0" borderId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8" fillId="0" borderId="0"/>
    <xf numFmtId="0" fontId="114" fillId="51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6" fillId="9" borderId="0" applyNumberFormat="0" applyBorder="0" applyAlignment="0" applyProtection="0"/>
    <xf numFmtId="0" fontId="125" fillId="0" borderId="11">
      <alignment horizontal="left" vertical="center"/>
    </xf>
    <xf numFmtId="0" fontId="43" fillId="62" borderId="0" applyNumberFormat="0" applyBorder="0" applyAlignment="0" applyProtection="0">
      <alignment vertical="center"/>
    </xf>
    <xf numFmtId="0" fontId="118" fillId="0" borderId="0"/>
    <xf numFmtId="0" fontId="26" fillId="9" borderId="0" applyNumberFormat="0" applyBorder="0" applyAlignment="0" applyProtection="0"/>
    <xf numFmtId="0" fontId="125" fillId="0" borderId="11">
      <alignment horizontal="left" vertical="center"/>
    </xf>
    <xf numFmtId="0" fontId="118" fillId="0" borderId="0"/>
    <xf numFmtId="0" fontId="118" fillId="0" borderId="0"/>
    <xf numFmtId="0" fontId="118" fillId="0" borderId="0"/>
    <xf numFmtId="0" fontId="23" fillId="15" borderId="0" applyNumberFormat="0" applyBorder="0" applyAlignment="0" applyProtection="0">
      <alignment vertical="center"/>
    </xf>
    <xf numFmtId="0" fontId="118" fillId="0" borderId="0"/>
    <xf numFmtId="0" fontId="111" fillId="55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8" fillId="0" borderId="0"/>
    <xf numFmtId="0" fontId="111" fillId="55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8" fillId="0" borderId="0"/>
    <xf numFmtId="0" fontId="43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18" fillId="0" borderId="0"/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3" fillId="0" borderId="0"/>
    <xf numFmtId="0" fontId="80" fillId="9" borderId="0" applyNumberFormat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23" fillId="0" borderId="0"/>
    <xf numFmtId="0" fontId="112" fillId="0" borderId="40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1" fillId="57" borderId="0" applyNumberFormat="0" applyBorder="0" applyAlignment="0" applyProtection="0"/>
    <xf numFmtId="0" fontId="123" fillId="0" borderId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3" fillId="0" borderId="0"/>
    <xf numFmtId="0" fontId="108" fillId="53" borderId="0" applyNumberFormat="0" applyBorder="0" applyAlignment="0" applyProtection="0">
      <alignment vertical="center"/>
    </xf>
    <xf numFmtId="0" fontId="123" fillId="0" borderId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3" fillId="0" borderId="0"/>
    <xf numFmtId="0" fontId="108" fillId="53" borderId="0" applyNumberFormat="0" applyBorder="0" applyAlignment="0" applyProtection="0">
      <alignment vertical="center"/>
    </xf>
    <xf numFmtId="0" fontId="123" fillId="0" borderId="0"/>
    <xf numFmtId="0" fontId="103" fillId="0" borderId="38">
      <alignment horizontal="center"/>
    </xf>
    <xf numFmtId="0" fontId="111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3" fillId="0" borderId="0"/>
    <xf numFmtId="0" fontId="103" fillId="0" borderId="38">
      <alignment horizontal="center"/>
    </xf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27" fillId="68" borderId="44">
      <alignment vertical="center"/>
      <protection locked="0"/>
    </xf>
    <xf numFmtId="0" fontId="123" fillId="0" borderId="0"/>
    <xf numFmtId="0" fontId="103" fillId="0" borderId="38">
      <alignment horizontal="center"/>
    </xf>
    <xf numFmtId="0" fontId="111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3" fillId="0" borderId="0"/>
    <xf numFmtId="0" fontId="103" fillId="0" borderId="38">
      <alignment horizontal="center"/>
    </xf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23" fillId="0" borderId="0"/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23" fillId="0" borderId="0"/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03" fillId="0" borderId="38">
      <alignment horizontal="center"/>
    </xf>
    <xf numFmtId="0" fontId="111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3" fillId="0" borderId="0"/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15" borderId="0" applyNumberFormat="0" applyBorder="0" applyAlignment="0" applyProtection="0"/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8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80" fillId="0" borderId="0" applyNumberFormat="0" applyBorder="0" applyAlignment="0" applyProtection="0"/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8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8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123" fillId="0" borderId="0">
      <alignment vertical="center"/>
      <protection locked="0"/>
    </xf>
    <xf numFmtId="0" fontId="45" fillId="0" borderId="43" applyNumberFormat="0" applyFill="0" applyAlignment="0" applyProtection="0">
      <alignment vertical="center"/>
    </xf>
    <xf numFmtId="0" fontId="118" fillId="0" borderId="0">
      <alignment vertical="center"/>
    </xf>
    <xf numFmtId="0" fontId="123" fillId="0" borderId="0">
      <alignment vertical="center"/>
      <protection locked="0"/>
    </xf>
    <xf numFmtId="0" fontId="99" fillId="15" borderId="36" applyNumberFormat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8" fillId="0" borderId="0">
      <alignment vertical="center"/>
    </xf>
    <xf numFmtId="0" fontId="123" fillId="0" borderId="0">
      <alignment vertical="center"/>
      <protection locked="0"/>
    </xf>
    <xf numFmtId="0" fontId="99" fillId="15" borderId="36" applyNumberFormat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8" fillId="0" borderId="0">
      <alignment vertical="center"/>
    </xf>
    <xf numFmtId="0" fontId="123" fillId="0" borderId="0">
      <alignment vertical="center"/>
      <protection locked="0"/>
    </xf>
    <xf numFmtId="0" fontId="99" fillId="15" borderId="36" applyNumberFormat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8" fillId="0" borderId="0">
      <alignment vertical="center"/>
    </xf>
    <xf numFmtId="0" fontId="80" fillId="9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23" fillId="56" borderId="0" applyNumberFormat="0" applyBorder="0" applyAlignment="0" applyProtection="0"/>
    <xf numFmtId="0" fontId="111" fillId="15" borderId="0" applyNumberFormat="0" applyBorder="0" applyAlignment="0" applyProtection="0"/>
    <xf numFmtId="0" fontId="108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4" fillId="56" borderId="0" applyNumberFormat="0" applyBorder="0" applyAlignment="0" applyProtection="0">
      <alignment vertical="center"/>
    </xf>
    <xf numFmtId="0" fontId="118" fillId="0" borderId="0"/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11" fillId="59" borderId="0" applyNumberFormat="0" applyBorder="0" applyAlignment="0" applyProtection="0"/>
    <xf numFmtId="0" fontId="119" fillId="59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118" fillId="0" borderId="0"/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118" fillId="0" borderId="0"/>
    <xf numFmtId="0" fontId="43" fillId="5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118" fillId="0" borderId="0"/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8" fillId="0" borderId="0"/>
    <xf numFmtId="0" fontId="119" fillId="64" borderId="0" applyNumberFormat="0" applyBorder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03" fillId="0" borderId="38">
      <alignment horizontal="center"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8" fillId="0" borderId="0"/>
    <xf numFmtId="0" fontId="119" fillId="64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03" fillId="0" borderId="38">
      <alignment horizontal="center"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8" fillId="0" borderId="0"/>
    <xf numFmtId="0" fontId="120" fillId="0" borderId="43" applyNumberFormat="0" applyFill="0" applyAlignment="0" applyProtection="0">
      <alignment vertical="center"/>
    </xf>
    <xf numFmtId="0" fontId="119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8" fillId="0" borderId="0"/>
    <xf numFmtId="0" fontId="120" fillId="0" borderId="43" applyNumberFormat="0" applyFill="0" applyAlignment="0" applyProtection="0">
      <alignment vertical="center"/>
    </xf>
    <xf numFmtId="0" fontId="119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80" fillId="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80" fillId="0" borderId="0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8" fillId="0" borderId="0"/>
    <xf numFmtId="0" fontId="104" fillId="56" borderId="0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0" borderId="0" applyNumberFormat="0" applyBorder="0" applyAlignment="0" applyProtection="0"/>
    <xf numFmtId="0" fontId="80" fillId="0" borderId="0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18" fillId="0" borderId="0"/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18" fillId="0" borderId="0"/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32" fillId="0" borderId="0"/>
    <xf numFmtId="0" fontId="43" fillId="0" borderId="0">
      <alignment vertical="center"/>
    </xf>
    <xf numFmtId="0" fontId="43" fillId="0" borderId="0">
      <alignment vertical="center"/>
    </xf>
    <xf numFmtId="0" fontId="104" fillId="56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23" fillId="11" borderId="0" applyNumberFormat="0" applyBorder="0" applyAlignment="0" applyProtection="0"/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118" fillId="0" borderId="0"/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23" fillId="11" borderId="0" applyNumberFormat="0" applyBorder="0" applyAlignment="0" applyProtection="0"/>
    <xf numFmtId="0" fontId="23" fillId="56" borderId="0" applyNumberFormat="0" applyBorder="0" applyAlignment="0" applyProtection="0"/>
    <xf numFmtId="178" fontId="121" fillId="67" borderId="0"/>
    <xf numFmtId="0" fontId="43" fillId="0" borderId="0">
      <alignment vertical="center"/>
    </xf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118" fillId="0" borderId="0"/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23" fillId="11" borderId="0" applyNumberFormat="0" applyBorder="0" applyAlignment="0" applyProtection="0"/>
    <xf numFmtId="0" fontId="23" fillId="56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118" fillId="0" borderId="0"/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23" fillId="0" borderId="0">
      <protection locked="0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178" fontId="121" fillId="67" borderId="0"/>
    <xf numFmtId="0" fontId="111" fillId="60" borderId="0" applyNumberFormat="0" applyBorder="0" applyAlignment="0" applyProtection="0"/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2" fillId="52" borderId="0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23" fillId="15" borderId="0" applyNumberFormat="0" applyBorder="0" applyAlignment="0" applyProtection="0"/>
    <xf numFmtId="0" fontId="11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8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8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0" borderId="0">
      <alignment vertical="center"/>
      <protection locked="0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8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0" borderId="0">
      <alignment vertical="center"/>
      <protection locked="0"/>
    </xf>
    <xf numFmtId="0" fontId="125" fillId="0" borderId="11">
      <alignment horizontal="left" vertical="center"/>
    </xf>
    <xf numFmtId="0" fontId="0" fillId="50" borderId="41" applyNumberFormat="0" applyFont="0" applyAlignment="0" applyProtection="0">
      <alignment vertical="center"/>
    </xf>
    <xf numFmtId="0" fontId="118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3" fillId="0" borderId="0">
      <alignment vertical="center"/>
      <protection locked="0"/>
    </xf>
    <xf numFmtId="0" fontId="125" fillId="0" borderId="11">
      <alignment horizontal="left" vertical="center"/>
    </xf>
    <xf numFmtId="0" fontId="0" fillId="50" borderId="41" applyNumberFormat="0" applyFont="0" applyAlignment="0" applyProtection="0">
      <alignment vertical="center"/>
    </xf>
    <xf numFmtId="0" fontId="118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3" fillId="0" borderId="0">
      <alignment vertical="center"/>
      <protection locked="0"/>
    </xf>
    <xf numFmtId="0" fontId="125" fillId="0" borderId="11">
      <alignment horizontal="left" vertical="center"/>
    </xf>
    <xf numFmtId="0" fontId="0" fillId="50" borderId="41" applyNumberFormat="0" applyFont="0" applyAlignment="0" applyProtection="0">
      <alignment vertical="center"/>
    </xf>
    <xf numFmtId="0" fontId="118" fillId="0" borderId="0">
      <alignment vertical="center"/>
    </xf>
    <xf numFmtId="0" fontId="123" fillId="0" borderId="0">
      <alignment vertical="center"/>
      <protection locked="0"/>
    </xf>
    <xf numFmtId="0" fontId="108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0" fillId="50" borderId="41" applyNumberFormat="0" applyFont="0" applyAlignment="0" applyProtection="0">
      <alignment vertical="center"/>
    </xf>
    <xf numFmtId="0" fontId="118" fillId="0" borderId="0">
      <alignment vertical="center"/>
    </xf>
    <xf numFmtId="0" fontId="111" fillId="58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6" borderId="0" applyNumberFormat="0" applyBorder="0" applyAlignment="0" applyProtection="0">
      <alignment vertical="center"/>
    </xf>
    <xf numFmtId="0" fontId="111" fillId="51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19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1" fillId="51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55" borderId="0" applyNumberFormat="0" applyBorder="0" applyAlignment="0" applyProtection="0">
      <alignment vertical="center"/>
    </xf>
    <xf numFmtId="0" fontId="8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1" fillId="51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1" fillId="51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1" fillId="51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23" fillId="1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1" fillId="51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23" fillId="15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23" fillId="66" borderId="0" applyNumberFormat="0" applyBorder="0" applyAlignment="0" applyProtection="0"/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79" fontId="132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9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80" fillId="0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11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110" fillId="11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1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6" fillId="0" borderId="42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6" fillId="0" borderId="42" applyNumberFormat="0" applyFill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4" fillId="56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23" fillId="11" borderId="0" applyNumberFormat="0" applyBorder="0" applyAlignment="0" applyProtection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23" fillId="11" borderId="0" applyNumberFormat="0" applyBorder="0" applyAlignment="0" applyProtection="0"/>
    <xf numFmtId="0" fontId="80" fillId="0" borderId="0" applyNumberFormat="0" applyBorder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110" fillId="0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4" fillId="56" borderId="0" applyNumberFormat="0" applyBorder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0" fillId="0" borderId="0">
      <alignment vertical="center"/>
    </xf>
    <xf numFmtId="0" fontId="43" fillId="56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23" fillId="11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0" fillId="0" borderId="0">
      <alignment vertical="center"/>
    </xf>
    <xf numFmtId="0" fontId="43" fillId="56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23" fillId="11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23" fillId="11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23" fillId="11" borderId="0" applyNumberFormat="0" applyBorder="0" applyAlignment="0" applyProtection="0"/>
    <xf numFmtId="0" fontId="43" fillId="56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1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1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178" fontId="121" fillId="67" borderId="0">
      <alignment vertical="center"/>
    </xf>
    <xf numFmtId="0" fontId="114" fillId="51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0" fillId="0" borderId="0"/>
    <xf numFmtId="0" fontId="43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0" fontId="0" fillId="0" borderId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8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80" fillId="11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80" fillId="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08" fillId="71" borderId="0" applyNumberFormat="0" applyBorder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04" fillId="52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04" fillId="52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104" fillId="52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104" fillId="52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104" fillId="52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104" fillId="52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0" fontId="104" fillId="52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4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26" fillId="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5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53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11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11" fillId="65" borderId="0" applyNumberFormat="0" applyBorder="0" applyAlignment="0" applyProtection="0"/>
    <xf numFmtId="0" fontId="111" fillId="60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04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80" fillId="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02" fillId="15" borderId="37" applyNumberFormat="0" applyAlignment="0" applyProtection="0">
      <alignment vertical="center"/>
    </xf>
    <xf numFmtId="0" fontId="133" fillId="0" borderId="0">
      <alignment horizontal="center" wrapText="1"/>
      <protection locked="0"/>
    </xf>
    <xf numFmtId="0" fontId="0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04" fillId="52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02" fillId="15" borderId="37" applyNumberFormat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02" fillId="15" borderId="37" applyNumberFormat="0" applyAlignment="0" applyProtection="0">
      <alignment vertical="center"/>
    </xf>
    <xf numFmtId="0" fontId="104" fillId="52" borderId="0" applyNumberFormat="0" applyBorder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02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08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79" fontId="132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1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1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5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5" fontId="11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80" fontId="37" fillId="0" borderId="0" applyFont="0" applyFill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15" borderId="0" applyNumberFormat="0" applyBorder="0" applyAlignment="0" applyProtection="0"/>
    <xf numFmtId="0" fontId="111" fillId="58" borderId="0" applyNumberFormat="0" applyBorder="0" applyAlignment="0" applyProtection="0"/>
    <xf numFmtId="0" fontId="80" fillId="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1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/>
    <xf numFmtId="0" fontId="108" fillId="63" borderId="0" applyNumberFormat="0" applyBorder="0" applyAlignment="0" applyProtection="0">
      <alignment vertical="center"/>
    </xf>
    <xf numFmtId="179" fontId="132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11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180" fontId="37" fillId="0" borderId="0" applyFont="0" applyFill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79" fontId="132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0" fillId="0" borderId="0"/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0" fillId="0" borderId="0"/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32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32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43" fillId="5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43" fillId="5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43" fillId="11" borderId="0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43" fillId="11" borderId="0" applyNumberFormat="0" applyBorder="0" applyAlignment="0" applyProtection="0">
      <alignment vertical="center"/>
    </xf>
    <xf numFmtId="0" fontId="80" fillId="58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125" fillId="0" borderId="11">
      <alignment horizontal="left" vertical="center"/>
    </xf>
    <xf numFmtId="0" fontId="104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111" fillId="6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1" fillId="6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113" fillId="0" borderId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3" fillId="0" borderId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110" fillId="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8" fillId="53" borderId="0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33" fillId="0" borderId="0">
      <alignment horizontal="center" vertical="center" wrapText="1"/>
      <protection locked="0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178" fontId="121" fillId="67" borderId="0"/>
    <xf numFmtId="0" fontId="43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111" fillId="58" borderId="0" applyNumberFormat="0" applyBorder="0" applyAlignment="0" applyProtection="0"/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0" fillId="0" borderId="0">
      <alignment vertical="center"/>
    </xf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1" fillId="51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1" fillId="6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04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/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/>
    <xf numFmtId="0" fontId="23" fillId="56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0" fontId="23" fillId="11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11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1" fillId="15" borderId="0" applyNumberFormat="0" applyBorder="0" applyAlignment="0" applyProtection="0"/>
    <xf numFmtId="0" fontId="23" fillId="56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1" fillId="15" borderId="0" applyNumberFormat="0" applyBorder="0" applyAlignment="0" applyProtection="0"/>
    <xf numFmtId="0" fontId="23" fillId="56" borderId="0" applyNumberFormat="0" applyBorder="0" applyAlignment="0" applyProtection="0"/>
    <xf numFmtId="0" fontId="103" fillId="0" borderId="38">
      <alignment horizontal="center" vertical="center"/>
    </xf>
    <xf numFmtId="0" fontId="43" fillId="6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1" fillId="15" borderId="0" applyNumberFormat="0" applyBorder="0" applyAlignment="0" applyProtection="0"/>
    <xf numFmtId="0" fontId="23" fillId="56" borderId="0" applyNumberFormat="0" applyBorder="0" applyAlignment="0" applyProtection="0"/>
    <xf numFmtId="0" fontId="103" fillId="0" borderId="38">
      <alignment horizontal="center" vertical="center"/>
    </xf>
    <xf numFmtId="0" fontId="43" fillId="6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78" fontId="135" fillId="73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78" fontId="135" fillId="73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0" fontId="37" fillId="0" borderId="0" applyFont="0" applyFill="0" applyBorder="0" applyAlignment="0" applyProtection="0"/>
    <xf numFmtId="0" fontId="108" fillId="64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5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80" fillId="61" borderId="0" applyNumberFormat="0" applyBorder="0" applyAlignment="0" applyProtection="0">
      <alignment vertical="center"/>
    </xf>
    <xf numFmtId="0" fontId="80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80" fillId="61" borderId="0" applyNumberFormat="0" applyBorder="0" applyAlignment="0" applyProtection="0">
      <alignment vertical="center"/>
    </xf>
    <xf numFmtId="0" fontId="80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31" fillId="0" borderId="45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4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23" fillId="56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23" fillId="56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78" fontId="121" fillId="67" borderId="0"/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178" fontId="121" fillId="67" borderId="0"/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80" fillId="0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0" fillId="0" borderId="0"/>
    <xf numFmtId="0" fontId="43" fillId="53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3" borderId="0" applyNumberFormat="0" applyBorder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45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/>
    <xf numFmtId="0" fontId="104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66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66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43" fillId="6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43" fillId="66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6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13" fillId="0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10" fontId="113" fillId="0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5" borderId="0" applyNumberFormat="0" applyBorder="0" applyAlignment="0" applyProtection="0"/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104" fillId="66" borderId="0" applyNumberFormat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104" fillId="66" borderId="0" applyNumberFormat="0" applyBorder="0" applyAlignment="0" applyProtection="0">
      <alignment vertical="center"/>
    </xf>
    <xf numFmtId="0" fontId="104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6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43" fillId="66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1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1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0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22" fillId="52" borderId="0" applyNumberFormat="0" applyBorder="0" applyAlignment="0" applyProtection="0">
      <alignment vertical="center"/>
    </xf>
    <xf numFmtId="0" fontId="123" fillId="0" borderId="0">
      <protection locked="0"/>
    </xf>
    <xf numFmtId="0" fontId="43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0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11" fillId="65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23" fillId="0" borderId="0">
      <protection locked="0"/>
    </xf>
    <xf numFmtId="40" fontId="109" fillId="0" borderId="1" applyFill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23" fillId="56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11" fillId="65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23" fillId="0" borderId="0">
      <protection locked="0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11" fillId="65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23" fillId="0" borderId="0">
      <protection locked="0"/>
    </xf>
    <xf numFmtId="0" fontId="43" fillId="51" borderId="0" applyNumberFormat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11" fillId="65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23" fillId="0" borderId="0">
      <protection locked="0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11" fillId="65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11" fillId="65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11" fillId="65" borderId="0" applyNumberFormat="0" applyBorder="0" applyAlignment="0" applyProtection="0"/>
    <xf numFmtId="0" fontId="104" fillId="53" borderId="0" applyNumberFormat="0" applyBorder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25" fillId="0" borderId="11">
      <alignment horizontal="left" vertical="center"/>
    </xf>
    <xf numFmtId="0" fontId="43" fillId="51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5" fillId="15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37" fontId="139" fillId="0" borderId="0">
      <alignment vertical="center"/>
    </xf>
    <xf numFmtId="0" fontId="80" fillId="53" borderId="0" applyNumberFormat="0" applyBorder="0" applyAlignment="0" applyProtection="0">
      <alignment vertical="center"/>
    </xf>
    <xf numFmtId="37" fontId="139" fillId="0" borderId="0"/>
    <xf numFmtId="0" fontId="104" fillId="51" borderId="0" applyNumberFormat="0" applyBorder="0" applyAlignment="0" applyProtection="0">
      <alignment vertical="center"/>
    </xf>
    <xf numFmtId="37" fontId="139" fillId="0" borderId="0">
      <alignment vertical="center"/>
    </xf>
    <xf numFmtId="0" fontId="80" fillId="53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4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11" fillId="65" borderId="0" applyNumberFormat="0" applyBorder="0" applyAlignment="0" applyProtection="0"/>
    <xf numFmtId="0" fontId="0" fillId="0" borderId="0"/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0" fillId="0" borderId="0"/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0" fillId="0" borderId="0"/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0" fillId="0" borderId="0"/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0" fillId="0" borderId="0"/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15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10" fontId="113" fillId="0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5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10" fontId="113" fillId="0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15" borderId="0" applyNumberFormat="0" applyBorder="0" applyAlignment="0" applyProtection="0"/>
    <xf numFmtId="0" fontId="105" fillId="0" borderId="39" applyNumberFormat="0" applyFill="0" applyProtection="0">
      <alignment horizontal="center"/>
    </xf>
    <xf numFmtId="0" fontId="43" fillId="65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15" borderId="0" applyNumberFormat="0" applyBorder="0" applyAlignment="0" applyProtection="0"/>
    <xf numFmtId="0" fontId="105" fillId="0" borderId="39" applyNumberFormat="0" applyFill="0" applyProtection="0">
      <alignment horizontal="center"/>
    </xf>
    <xf numFmtId="0" fontId="43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125" fillId="0" borderId="11">
      <alignment horizontal="left" vertical="center"/>
    </xf>
    <xf numFmtId="0" fontId="43" fillId="6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80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03" fillId="0" borderId="38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125" fillId="0" borderId="11">
      <alignment horizontal="left" vertical="center"/>
    </xf>
    <xf numFmtId="0" fontId="43" fillId="6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03" fillId="0" borderId="38">
      <alignment horizontal="center"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80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38" fontId="106" fillId="15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80" fillId="0" borderId="0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43" fillId="65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43" fillId="6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4" fontId="113" fillId="0" borderId="0" applyFont="0" applyFill="0" applyBorder="0" applyAlignment="0" applyProtection="0"/>
    <xf numFmtId="0" fontId="43" fillId="65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6" fillId="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6" fillId="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104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104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04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0" fillId="0" borderId="0"/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0" fillId="0" borderId="0"/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80" fillId="0" borderId="0" applyNumberFormat="0" applyBorder="0" applyAlignment="0" applyProtection="0"/>
    <xf numFmtId="0" fontId="111" fillId="59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1" fillId="59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11" fillId="58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11" fillId="58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104" fillId="65" borderId="0" applyNumberFormat="0" applyBorder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04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104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104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5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5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6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6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55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55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55" borderId="0" applyNumberFormat="0" applyBorder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23" fillId="0" borderId="0">
      <protection locked="0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12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23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9" fillId="55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3" borderId="0" applyNumberFormat="0" applyBorder="0" applyAlignment="0" applyProtection="0">
      <alignment vertical="center"/>
    </xf>
    <xf numFmtId="0" fontId="43" fillId="0" borderId="0">
      <alignment vertical="center"/>
    </xf>
    <xf numFmtId="179" fontId="132" fillId="0" borderId="0">
      <alignment vertical="center"/>
    </xf>
    <xf numFmtId="0" fontId="114" fillId="51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0" fillId="0" borderId="0">
      <alignment vertical="center"/>
    </xf>
    <xf numFmtId="0" fontId="43" fillId="63" borderId="0" applyNumberFormat="0" applyBorder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112" fillId="0" borderId="40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112" fillId="0" borderId="40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80" fillId="1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80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80" fillId="0" borderId="0" applyNumberFormat="0" applyBorder="0" applyAlignment="0" applyProtection="0"/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0" borderId="0">
      <alignment vertical="center"/>
    </xf>
    <xf numFmtId="179" fontId="132" fillId="0" borderId="0">
      <alignment vertical="center"/>
    </xf>
    <xf numFmtId="0" fontId="114" fillId="51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82" fontId="132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0" borderId="0">
      <alignment vertical="center"/>
    </xf>
    <xf numFmtId="179" fontId="132" fillId="0" borderId="0">
      <alignment vertical="center"/>
    </xf>
    <xf numFmtId="0" fontId="108" fillId="53" borderId="0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0" fillId="0" borderId="0">
      <alignment vertical="center"/>
    </xf>
    <xf numFmtId="179" fontId="132" fillId="0" borderId="0">
      <alignment vertical="center"/>
    </xf>
    <xf numFmtId="0" fontId="108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4" fillId="54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179" fontId="132" fillId="0" borderId="0">
      <alignment vertical="center"/>
    </xf>
    <xf numFmtId="0" fontId="108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1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3" fillId="0" borderId="0">
      <protection locked="0"/>
    </xf>
    <xf numFmtId="0" fontId="104" fillId="63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19" fillId="55" borderId="0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6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6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63" borderId="0" applyNumberFormat="0" applyBorder="0" applyAlignment="0" applyProtection="0">
      <alignment vertical="center"/>
    </xf>
    <xf numFmtId="10" fontId="37" fillId="0" borderId="0" applyFont="0" applyFill="0" applyBorder="0" applyAlignment="0" applyProtection="0"/>
    <xf numFmtId="0" fontId="111" fillId="57" borderId="0" applyNumberFormat="0" applyBorder="0" applyAlignment="0" applyProtection="0"/>
    <xf numFmtId="0" fontId="103" fillId="0" borderId="38">
      <alignment horizontal="center" vertical="center"/>
    </xf>
    <xf numFmtId="0" fontId="43" fillId="63" borderId="0" applyNumberFormat="0" applyBorder="0" applyAlignment="0" applyProtection="0">
      <alignment vertical="center"/>
    </xf>
    <xf numFmtId="10" fontId="37" fillId="0" borderId="0" applyFont="0" applyFill="0" applyBorder="0" applyAlignment="0" applyProtection="0"/>
    <xf numFmtId="0" fontId="111" fillId="57" borderId="0" applyNumberFormat="0" applyBorder="0" applyAlignment="0" applyProtection="0"/>
    <xf numFmtId="0" fontId="103" fillId="0" borderId="38">
      <alignment horizontal="center"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80" fillId="9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41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111" fillId="57" borderId="0" applyNumberFormat="0" applyBorder="0" applyAlignment="0" applyProtection="0"/>
    <xf numFmtId="0" fontId="23" fillId="50" borderId="0" applyNumberFormat="0" applyBorder="0" applyAlignment="0" applyProtection="0"/>
    <xf numFmtId="0" fontId="111" fillId="57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80" fillId="11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80" fillId="11" borderId="0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04" fillId="63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0" borderId="0">
      <protection locked="0"/>
    </xf>
    <xf numFmtId="0" fontId="43" fillId="6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40" fontId="12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43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15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15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 applyNumberFormat="0" applyFont="0" applyAlignment="0" applyProtection="0">
      <alignment vertical="center"/>
    </xf>
    <xf numFmtId="0" fontId="23" fillId="15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80" fillId="9" borderId="0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5" fillId="0" borderId="0">
      <alignment vertical="center"/>
    </xf>
    <xf numFmtId="40" fontId="109" fillId="0" borderId="1" applyFill="0" applyAlignment="0" applyProtection="0">
      <alignment vertical="center"/>
    </xf>
    <xf numFmtId="0" fontId="111" fillId="6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9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9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0">
      <alignment vertical="center"/>
    </xf>
    <xf numFmtId="40" fontId="109" fillId="0" borderId="1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37" fillId="0" borderId="16" applyNumberFormat="0" applyFill="0" applyProtection="0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4" fillId="53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9" fillId="64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134" fillId="0" borderId="42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134" fillId="0" borderId="42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134" fillId="0" borderId="42" applyNumberFormat="0" applyFill="0" applyAlignment="0" applyProtection="0">
      <alignment vertical="center"/>
    </xf>
    <xf numFmtId="0" fontId="119" fillId="61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80" fillId="65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23" fillId="56" borderId="0" applyNumberFormat="0" applyBorder="0" applyAlignment="0" applyProtection="0"/>
    <xf numFmtId="0" fontId="80" fillId="0" borderId="0" applyNumberFormat="0" applyBorder="0" applyAlignment="0" applyProtection="0"/>
    <xf numFmtId="0" fontId="125" fillId="0" borderId="11">
      <alignment horizontal="left" vertical="center"/>
    </xf>
    <xf numFmtId="0" fontId="111" fillId="57" borderId="0" applyNumberFormat="0" applyBorder="0" applyAlignment="0" applyProtection="0"/>
    <xf numFmtId="0" fontId="80" fillId="0" borderId="0" applyNumberFormat="0" applyBorder="0" applyAlignment="0" applyProtection="0"/>
    <xf numFmtId="0" fontId="23" fillId="56" borderId="0" applyNumberFormat="0" applyBorder="0" applyAlignment="0" applyProtection="0"/>
    <xf numFmtId="0" fontId="43" fillId="53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9" fillId="6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119" fillId="6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19" fillId="61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9" fillId="64" borderId="0" applyNumberFormat="0" applyBorder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119" fillId="64" borderId="0" applyNumberFormat="0" applyBorder="0" applyAlignment="0" applyProtection="0">
      <alignment vertical="center"/>
    </xf>
    <xf numFmtId="0" fontId="104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0" fontId="111" fillId="57" borderId="0" applyNumberFormat="0" applyBorder="0" applyAlignment="0" applyProtection="0"/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6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53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80" fillId="53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6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111" fillId="58" borderId="0" applyNumberFormat="0" applyBorder="0" applyAlignment="0" applyProtection="0"/>
    <xf numFmtId="0" fontId="103" fillId="0" borderId="38">
      <alignment horizontal="center"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111" fillId="58" borderId="0" applyNumberFormat="0" applyBorder="0" applyAlignment="0" applyProtection="0"/>
    <xf numFmtId="0" fontId="103" fillId="0" borderId="38">
      <alignment horizontal="center"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0" borderId="0" applyNumberFormat="0" applyBorder="0" applyAlignment="0" applyProtection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23" fillId="11" borderId="0" applyNumberFormat="0" applyBorder="0" applyAlignment="0" applyProtection="0"/>
    <xf numFmtId="0" fontId="111" fillId="6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23" fillId="11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8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79" fontId="132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79" fontId="132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23" fillId="50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10" fillId="0" borderId="0">
      <alignment vertical="center"/>
    </xf>
    <xf numFmtId="0" fontId="104" fillId="62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23" fillId="50" borderId="0" applyNumberFormat="0" applyBorder="0" applyAlignment="0" applyProtection="0"/>
    <xf numFmtId="0" fontId="110" fillId="0" borderId="0">
      <alignment vertical="center"/>
    </xf>
    <xf numFmtId="0" fontId="104" fillId="62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4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119" fillId="55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9" fillId="59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0" fillId="0" borderId="0">
      <alignment vertical="center"/>
    </xf>
    <xf numFmtId="0" fontId="104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6" fillId="11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6" fillId="11" borderId="0" applyNumberFormat="0" applyBorder="0" applyAlignment="0" applyProtection="0"/>
    <xf numFmtId="0" fontId="119" fillId="59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6" fillId="11" borderId="0" applyNumberFormat="0" applyBorder="0" applyAlignment="0" applyProtection="0"/>
    <xf numFmtId="0" fontId="119" fillId="59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5" fillId="0" borderId="11">
      <alignment horizontal="left" vertical="center"/>
    </xf>
    <xf numFmtId="0" fontId="126" fillId="11" borderId="0" applyNumberFormat="0" applyBorder="0" applyAlignment="0" applyProtection="0"/>
    <xf numFmtId="0" fontId="119" fillId="59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80" fillId="0" borderId="0" applyNumberFormat="0" applyBorder="0" applyAlignment="0" applyProtection="0"/>
    <xf numFmtId="0" fontId="23" fillId="51" borderId="0" applyNumberFormat="0" applyBorder="0" applyAlignment="0" applyProtection="0"/>
    <xf numFmtId="0" fontId="23" fillId="50" borderId="0" applyNumberFormat="0" applyBorder="0" applyAlignment="0" applyProtection="0"/>
    <xf numFmtId="0" fontId="119" fillId="55" borderId="0" applyNumberFormat="0" applyBorder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23" fillId="50" borderId="0" applyNumberFormat="0" applyBorder="0" applyAlignment="0" applyProtection="0"/>
    <xf numFmtId="0" fontId="119" fillId="55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04" fillId="62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4" fillId="62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11" fillId="59" borderId="0" applyNumberFormat="0" applyBorder="0" applyAlignment="0" applyProtection="0"/>
    <xf numFmtId="0" fontId="104" fillId="62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6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37" fillId="11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23" fillId="0" borderId="0">
      <alignment vertical="center"/>
    </xf>
    <xf numFmtId="0" fontId="23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123" fillId="0" borderId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0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1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4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3" fillId="0" borderId="38">
      <alignment horizontal="center" vertical="center"/>
    </xf>
    <xf numFmtId="0" fontId="104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19" fillId="59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65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11" fillId="15" borderId="0" applyNumberFormat="0" applyBorder="0" applyAlignment="0" applyProtection="0"/>
    <xf numFmtId="0" fontId="119" fillId="59" borderId="0" applyNumberFormat="0" applyBorder="0" applyAlignment="0" applyProtection="0">
      <alignment vertical="center"/>
    </xf>
    <xf numFmtId="0" fontId="110" fillId="0" borderId="0">
      <alignment vertical="center"/>
    </xf>
    <xf numFmtId="0" fontId="104" fillId="65" borderId="0" applyNumberFormat="0" applyBorder="0" applyAlignment="0" applyProtection="0">
      <alignment vertical="center"/>
    </xf>
    <xf numFmtId="0" fontId="119" fillId="59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04" fillId="6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43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43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178" fontId="135" fillId="73" borderId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178" fontId="135" fillId="73" borderId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178" fontId="135" fillId="73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178" fontId="135" fillId="73" borderId="0">
      <alignment vertical="center"/>
    </xf>
    <xf numFmtId="0" fontId="43" fillId="65" borderId="0" applyNumberFormat="0" applyBorder="0" applyAlignment="0" applyProtection="0">
      <alignment vertical="center"/>
    </xf>
    <xf numFmtId="178" fontId="135" fillId="73" borderId="0">
      <alignment vertical="center"/>
    </xf>
    <xf numFmtId="0" fontId="43" fillId="65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03" fillId="0" borderId="38">
      <alignment horizontal="center"/>
    </xf>
    <xf numFmtId="0" fontId="111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3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0" borderId="0">
      <alignment vertical="center"/>
    </xf>
    <xf numFmtId="0" fontId="43" fillId="54" borderId="0" applyNumberFormat="0" applyBorder="0" applyAlignment="0" applyProtection="0">
      <alignment vertical="center"/>
    </xf>
    <xf numFmtId="15" fontId="113" fillId="0" borderId="0"/>
    <xf numFmtId="0" fontId="43" fillId="54" borderId="0" applyNumberFormat="0" applyBorder="0" applyAlignment="0" applyProtection="0">
      <alignment vertical="center"/>
    </xf>
    <xf numFmtId="15" fontId="113" fillId="0" borderId="0"/>
    <xf numFmtId="0" fontId="43" fillId="54" borderId="0" applyNumberFormat="0" applyBorder="0" applyAlignment="0" applyProtection="0">
      <alignment vertical="center"/>
    </xf>
    <xf numFmtId="15" fontId="113" fillId="0" borderId="0"/>
    <xf numFmtId="0" fontId="43" fillId="54" borderId="0" applyNumberFormat="0" applyBorder="0" applyAlignment="0" applyProtection="0">
      <alignment vertical="center"/>
    </xf>
    <xf numFmtId="15" fontId="113" fillId="0" borderId="0"/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80" fillId="9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80" fillId="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15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15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1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11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79" fontId="132" fillId="0" borderId="0"/>
    <xf numFmtId="0" fontId="111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79" fontId="132" fillId="0" borderId="0"/>
    <xf numFmtId="0" fontId="111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1" fillId="15" borderId="0" applyNumberFormat="0" applyBorder="0" applyAlignment="0" applyProtection="0"/>
    <xf numFmtId="0" fontId="111" fillId="55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1" fillId="15" borderId="0" applyNumberFormat="0" applyBorder="0" applyAlignment="0" applyProtection="0"/>
    <xf numFmtId="0" fontId="111" fillId="55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1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110" fillId="0" borderId="0">
      <alignment vertical="center"/>
    </xf>
    <xf numFmtId="0" fontId="104" fillId="54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110" fillId="0" borderId="0">
      <alignment vertical="center"/>
    </xf>
    <xf numFmtId="0" fontId="104" fillId="54" borderId="0" applyNumberFormat="0" applyBorder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183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183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Border="0" applyAlignment="0" applyProtection="0"/>
    <xf numFmtId="0" fontId="80" fillId="0" borderId="0" applyNumberFormat="0" applyFill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Border="0" applyAlignment="0" applyProtection="0"/>
    <xf numFmtId="183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183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183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104" fillId="54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23" fillId="15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14" fontId="133" fillId="0" borderId="0">
      <alignment horizontal="center" wrapText="1"/>
      <protection locked="0"/>
    </xf>
    <xf numFmtId="0" fontId="111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110" fillId="0" borderId="0">
      <alignment vertical="center"/>
    </xf>
    <xf numFmtId="0" fontId="111" fillId="58" borderId="0" applyNumberFormat="0" applyBorder="0" applyAlignment="0" applyProtection="0"/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105" fillId="0" borderId="39" applyNumberFormat="0" applyFill="0" applyProtection="0">
      <alignment horizont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14" fontId="133" fillId="0" borderId="0">
      <alignment horizontal="center" vertical="center" wrapText="1"/>
      <protection locked="0"/>
    </xf>
    <xf numFmtId="0" fontId="43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59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59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80" fillId="0" borderId="0" applyNumberFormat="0" applyBorder="0" applyAlignment="0" applyProtection="0"/>
    <xf numFmtId="0" fontId="26" fillId="9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54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26" fillId="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59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54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23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11" fillId="57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11" fillId="57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11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111" fillId="60" borderId="0" applyNumberFormat="0" applyBorder="0" applyAlignment="0" applyProtection="0"/>
    <xf numFmtId="0" fontId="111" fillId="65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11" fillId="60" borderId="0" applyNumberFormat="0" applyBorder="0" applyAlignment="0" applyProtection="0"/>
    <xf numFmtId="0" fontId="111" fillId="65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110" fillId="0" borderId="0">
      <alignment vertical="center"/>
    </xf>
    <xf numFmtId="0" fontId="45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110" fillId="0" borderId="0">
      <alignment vertical="center"/>
    </xf>
    <xf numFmtId="0" fontId="45" fillId="0" borderId="0">
      <alignment vertical="center"/>
    </xf>
    <xf numFmtId="0" fontId="108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10" fillId="0" borderId="0">
      <alignment vertical="center"/>
    </xf>
    <xf numFmtId="0" fontId="110" fillId="0" borderId="0">
      <alignment vertical="center"/>
    </xf>
    <xf numFmtId="0" fontId="108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10" fillId="0" borderId="0">
      <alignment vertical="center"/>
    </xf>
    <xf numFmtId="0" fontId="110" fillId="0" borderId="0">
      <alignment vertical="center"/>
    </xf>
    <xf numFmtId="0" fontId="108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10" fillId="0" borderId="0">
      <alignment vertical="center"/>
    </xf>
    <xf numFmtId="0" fontId="80" fillId="59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0" fillId="0" borderId="0">
      <alignment vertical="center"/>
    </xf>
    <xf numFmtId="0" fontId="80" fillId="59" borderId="0" applyNumberFormat="0" applyBorder="0" applyAlignment="0" applyProtection="0"/>
    <xf numFmtId="0" fontId="108" fillId="6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7" fontId="37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23" fillId="0" borderId="0">
      <alignment vertical="center"/>
      <protection locked="0"/>
    </xf>
    <xf numFmtId="0" fontId="99" fillId="15" borderId="36" applyNumberFormat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23" fillId="0" borderId="0">
      <alignment vertical="center"/>
      <protection locked="0"/>
    </xf>
    <xf numFmtId="0" fontId="99" fillId="15" borderId="36" applyNumberFormat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23" fillId="0" borderId="0">
      <alignment vertical="center"/>
      <protection locked="0"/>
    </xf>
    <xf numFmtId="0" fontId="108" fillId="61" borderId="0" applyNumberFormat="0" applyBorder="0" applyAlignment="0" applyProtection="0">
      <alignment vertical="center"/>
    </xf>
    <xf numFmtId="0" fontId="123" fillId="0" borderId="0">
      <alignment vertical="center"/>
      <protection locked="0"/>
    </xf>
    <xf numFmtId="0" fontId="108" fillId="61" borderId="0" applyNumberFormat="0" applyBorder="0" applyAlignment="0" applyProtection="0">
      <alignment vertical="center"/>
    </xf>
    <xf numFmtId="0" fontId="123" fillId="0" borderId="0">
      <alignment vertical="center"/>
      <protection locked="0"/>
    </xf>
    <xf numFmtId="0" fontId="108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9" fillId="6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6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6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61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61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6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0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19" fillId="64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80" fillId="65" borderId="0" applyNumberFormat="0" applyBorder="0" applyAlignment="0" applyProtection="0"/>
    <xf numFmtId="0" fontId="125" fillId="0" borderId="11">
      <alignment horizontal="left" vertical="center"/>
    </xf>
    <xf numFmtId="0" fontId="119" fillId="6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19" fillId="6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19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9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9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9" fillId="61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108" fillId="61" borderId="0" applyNumberFormat="0" applyBorder="0" applyAlignment="0" applyProtection="0">
      <alignment vertical="center"/>
    </xf>
    <xf numFmtId="0" fontId="23" fillId="11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23" fillId="11" borderId="0" applyNumberFormat="0" applyBorder="0" applyAlignment="0" applyProtection="0"/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23" fillId="11" borderId="0" applyNumberFormat="0" applyBorder="0" applyAlignment="0" applyProtection="0"/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111" fillId="57" borderId="0" applyNumberFormat="0" applyBorder="0" applyAlignment="0" applyProtection="0"/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108" fillId="53" borderId="0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179" fontId="132" fillId="0" borderId="0"/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108" fillId="53" borderId="0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23" fillId="56" borderId="0" applyNumberFormat="0" applyBorder="0" applyAlignment="0" applyProtection="0"/>
    <xf numFmtId="0" fontId="111" fillId="65" borderId="0" applyNumberFormat="0" applyBorder="0" applyAlignment="0" applyProtection="0"/>
    <xf numFmtId="179" fontId="132" fillId="0" borderId="0"/>
    <xf numFmtId="0" fontId="108" fillId="6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11" fillId="65" borderId="0" applyNumberFormat="0" applyBorder="0" applyAlignment="0" applyProtection="0"/>
    <xf numFmtId="0" fontId="108" fillId="6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0" fillId="0" borderId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108" fillId="53" borderId="0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1" fillId="60" borderId="0" applyNumberFormat="0" applyBorder="0" applyAlignment="0" applyProtection="0"/>
    <xf numFmtId="0" fontId="108" fillId="6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23" fillId="0" borderId="0">
      <protection locked="0"/>
    </xf>
    <xf numFmtId="0" fontId="111" fillId="60" borderId="0" applyNumberFormat="0" applyBorder="0" applyAlignment="0" applyProtection="0"/>
    <xf numFmtId="0" fontId="108" fillId="63" borderId="0" applyNumberFormat="0" applyBorder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3" borderId="0" applyNumberFormat="0" applyBorder="0" applyAlignment="0" applyProtection="0">
      <alignment vertical="center"/>
    </xf>
    <xf numFmtId="40" fontId="12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40" fontId="12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3" fillId="0" borderId="0"/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3" fillId="0" borderId="0"/>
    <xf numFmtId="0" fontId="108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23" fillId="15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19" fillId="55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80" fillId="9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19" fillId="55" borderId="0" applyNumberFormat="0" applyBorder="0" applyAlignment="0" applyProtection="0">
      <alignment vertical="center"/>
    </xf>
    <xf numFmtId="0" fontId="108" fillId="6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19" fillId="55" borderId="0" applyNumberFormat="0" applyBorder="0" applyAlignment="0" applyProtection="0">
      <alignment vertical="center"/>
    </xf>
    <xf numFmtId="37" fontId="80" fillId="0" borderId="0">
      <alignment vertical="center"/>
    </xf>
    <xf numFmtId="0" fontId="108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55" borderId="0" applyNumberFormat="0" applyBorder="0" applyAlignment="0" applyProtection="0">
      <alignment vertical="center"/>
    </xf>
    <xf numFmtId="37" fontId="80" fillId="0" borderId="0">
      <alignment vertical="center"/>
    </xf>
    <xf numFmtId="0" fontId="108" fillId="6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23" fillId="50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23" fillId="50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3" fillId="0" borderId="38">
      <alignment horizontal="center" vertical="center"/>
    </xf>
    <xf numFmtId="0" fontId="108" fillId="5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3" fillId="0" borderId="38">
      <alignment horizontal="center" vertical="center"/>
    </xf>
    <xf numFmtId="0" fontId="108" fillId="53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3" fillId="0" borderId="38">
      <alignment horizontal="center" vertical="center"/>
    </xf>
    <xf numFmtId="0" fontId="108" fillId="53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80" fillId="0" borderId="0" applyNumberFormat="0" applyBorder="0" applyAlignment="0" applyProtection="0"/>
    <xf numFmtId="0" fontId="23" fillId="50" borderId="0" applyNumberFormat="0" applyBorder="0" applyAlignment="0" applyProtection="0"/>
    <xf numFmtId="0" fontId="123" fillId="0" borderId="0">
      <alignment vertical="center"/>
      <protection locked="0"/>
    </xf>
    <xf numFmtId="0" fontId="108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80" fillId="0" borderId="0" applyNumberFormat="0" applyBorder="0" applyAlignment="0" applyProtection="0"/>
    <xf numFmtId="0" fontId="23" fillId="5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111" fillId="58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111" fillId="58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111" fillId="58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113" fillId="0" borderId="0">
      <alignment vertical="center"/>
    </xf>
    <xf numFmtId="0" fontId="111" fillId="58" borderId="0" applyNumberFormat="0" applyBorder="0" applyAlignment="0" applyProtection="0"/>
    <xf numFmtId="0" fontId="113" fillId="0" borderId="0">
      <alignment vertical="center"/>
    </xf>
    <xf numFmtId="0" fontId="108" fillId="53" borderId="0" applyNumberFormat="0" applyBorder="0" applyAlignment="0" applyProtection="0">
      <alignment vertical="center"/>
    </xf>
    <xf numFmtId="0" fontId="113" fillId="0" borderId="0">
      <alignment vertical="center"/>
    </xf>
    <xf numFmtId="0" fontId="108" fillId="53" borderId="0" applyNumberFormat="0" applyBorder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23" fillId="15" borderId="0" applyNumberFormat="0" applyBorder="0" applyAlignment="0" applyProtection="0"/>
    <xf numFmtId="0" fontId="119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/>
    <xf numFmtId="0" fontId="119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03" fillId="0" borderId="38">
      <alignment horizontal="center"/>
    </xf>
    <xf numFmtId="0" fontId="108" fillId="53" borderId="0" applyNumberFormat="0" applyBorder="0" applyAlignment="0" applyProtection="0">
      <alignment vertical="center"/>
    </xf>
    <xf numFmtId="0" fontId="103" fillId="0" borderId="38">
      <alignment horizontal="center"/>
    </xf>
    <xf numFmtId="0" fontId="108" fillId="53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103" fillId="0" borderId="38">
      <alignment horizont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11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9" fillId="53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14" fontId="133" fillId="0" borderId="0">
      <alignment horizontal="center" wrapText="1"/>
      <protection locked="0"/>
    </xf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08" fillId="53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0" fillId="7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1" fillId="6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23" fillId="50" borderId="0" applyNumberFormat="0" applyBorder="0" applyAlignment="0" applyProtection="0"/>
    <xf numFmtId="0" fontId="125" fillId="0" borderId="11">
      <alignment horizontal="left"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0" fillId="74" borderId="0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4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60" borderId="0" applyNumberFormat="0" applyBorder="0" applyAlignment="0" applyProtection="0"/>
    <xf numFmtId="40" fontId="129" fillId="0" borderId="1" applyFill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1" fillId="15" borderId="0" applyNumberFormat="0" applyBorder="0" applyAlignment="0" applyProtection="0"/>
    <xf numFmtId="0" fontId="119" fillId="64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1" fillId="15" borderId="0" applyNumberFormat="0" applyBorder="0" applyAlignment="0" applyProtection="0"/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64" borderId="0" applyNumberFormat="0" applyBorder="0" applyAlignment="0" applyProtection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64" borderId="0" applyNumberFormat="0" applyBorder="0" applyAlignment="0" applyProtection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9" fillId="64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23" fillId="0" borderId="0">
      <protection locked="0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23" fillId="0" borderId="0">
      <protection locked="0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11" fillId="59" borderId="0" applyNumberFormat="0" applyBorder="0" applyAlignment="0" applyProtection="0"/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11" fillId="60" borderId="0" applyNumberFormat="0" applyBorder="0" applyAlignment="0" applyProtection="0"/>
    <xf numFmtId="0" fontId="134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03" fillId="0" borderId="38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03" fillId="0" borderId="38">
      <alignment horizontal="center" vertical="center"/>
    </xf>
    <xf numFmtId="0" fontId="111" fillId="15" borderId="0" applyNumberFormat="0" applyBorder="0" applyAlignment="0" applyProtection="0"/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6" fillId="0" borderId="0" applyNumberFormat="0" applyBorder="0" applyAlignment="0" applyProtection="0"/>
    <xf numFmtId="0" fontId="111" fillId="5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111" fillId="15" borderId="0" applyNumberFormat="0" applyBorder="0" applyAlignment="0" applyProtection="0"/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111" fillId="58" borderId="0" applyNumberFormat="0" applyBorder="0" applyAlignment="0" applyProtection="0"/>
    <xf numFmtId="0" fontId="26" fillId="0" borderId="0" applyNumberFormat="0" applyBorder="0" applyAlignment="0" applyProtection="0"/>
    <xf numFmtId="0" fontId="111" fillId="55" borderId="0" applyNumberFormat="0" applyBorder="0" applyAlignment="0" applyProtection="0"/>
    <xf numFmtId="0" fontId="111" fillId="15" borderId="0" applyNumberFormat="0" applyBorder="0" applyAlignment="0" applyProtection="0"/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9" fillId="55" borderId="0" applyNumberFormat="0" applyBorder="0" applyAlignment="0" applyProtection="0">
      <alignment vertical="center"/>
    </xf>
    <xf numFmtId="0" fontId="119" fillId="55" borderId="0" applyNumberFormat="0" applyBorder="0" applyAlignment="0" applyProtection="0">
      <alignment vertical="center"/>
    </xf>
    <xf numFmtId="0" fontId="119" fillId="55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11" fillId="60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23" fillId="66" borderId="0" applyNumberFormat="0" applyBorder="0" applyAlignment="0" applyProtection="0"/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26" fillId="0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26" fillId="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23" fillId="0" borderId="0"/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3" fillId="15" borderId="0" applyNumberFormat="0" applyBorder="0" applyAlignment="0" applyProtection="0"/>
    <xf numFmtId="0" fontId="123" fillId="0" borderId="0"/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3" fillId="0" borderId="0"/>
    <xf numFmtId="0" fontId="111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50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9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9" fillId="59" borderId="0" applyNumberFormat="0" applyBorder="0" applyAlignment="0" applyProtection="0">
      <alignment vertical="center"/>
    </xf>
    <xf numFmtId="0" fontId="119" fillId="59" borderId="0" applyNumberFormat="0" applyBorder="0" applyAlignment="0" applyProtection="0">
      <alignment vertical="center"/>
    </xf>
    <xf numFmtId="0" fontId="119" fillId="59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37" fillId="0" borderId="16" applyNumberFormat="0" applyFill="0" applyProtection="0">
      <alignment horizontal="left"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08" fillId="59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23" fillId="1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08" fillId="59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23" fillId="1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08" fillId="59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0" fillId="0" borderId="0">
      <alignment vertical="center"/>
    </xf>
    <xf numFmtId="0" fontId="108" fillId="59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08" fillId="59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3" fillId="0" borderId="0">
      <alignment vertical="center"/>
      <protection locked="0"/>
    </xf>
    <xf numFmtId="0" fontId="111" fillId="57" borderId="0" applyNumberFormat="0" applyBorder="0" applyAlignment="0" applyProtection="0"/>
    <xf numFmtId="0" fontId="123" fillId="0" borderId="0">
      <protection locked="0"/>
    </xf>
    <xf numFmtId="0" fontId="111" fillId="60" borderId="0" applyNumberFormat="0" applyBorder="0" applyAlignment="0" applyProtection="0"/>
    <xf numFmtId="0" fontId="111" fillId="57" borderId="0" applyNumberFormat="0" applyBorder="0" applyAlignment="0" applyProtection="0"/>
    <xf numFmtId="0" fontId="123" fillId="0" borderId="0">
      <protection locked="0"/>
    </xf>
    <xf numFmtId="0" fontId="111" fillId="60" borderId="0" applyNumberFormat="0" applyBorder="0" applyAlignment="0" applyProtection="0"/>
    <xf numFmtId="0" fontId="123" fillId="0" borderId="0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22" fillId="52" borderId="0" applyNumberFormat="0" applyBorder="0" applyAlignment="0" applyProtection="0">
      <alignment vertical="center"/>
    </xf>
    <xf numFmtId="0" fontId="123" fillId="0" borderId="0">
      <protection locked="0"/>
    </xf>
    <xf numFmtId="0" fontId="122" fillId="52" borderId="0" applyNumberFormat="0" applyBorder="0" applyAlignment="0" applyProtection="0">
      <alignment vertical="center"/>
    </xf>
    <xf numFmtId="0" fontId="123" fillId="0" borderId="0">
      <alignment vertical="center"/>
      <protection locked="0"/>
    </xf>
    <xf numFmtId="0" fontId="80" fillId="65" borderId="0" applyNumberFormat="0" applyBorder="0" applyAlignment="0" applyProtection="0"/>
    <xf numFmtId="0" fontId="0" fillId="0" borderId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/>
    <xf numFmtId="178" fontId="135" fillId="73" borderId="0">
      <alignment vertical="center"/>
    </xf>
    <xf numFmtId="0" fontId="126" fillId="11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178" fontId="135" fillId="73" borderId="0">
      <alignment vertical="center"/>
    </xf>
    <xf numFmtId="0" fontId="126" fillId="11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80" fillId="60" borderId="0" applyNumberFormat="0" applyBorder="0" applyAlignment="0" applyProtection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80" fillId="60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37" fontId="139" fillId="0" borderId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111" fillId="60" borderId="0" applyNumberFormat="0" applyBorder="0" applyAlignment="0" applyProtection="0"/>
    <xf numFmtId="0" fontId="111" fillId="65" borderId="0" applyNumberFormat="0" applyBorder="0" applyAlignment="0" applyProtection="0"/>
    <xf numFmtId="0" fontId="23" fillId="56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23" fillId="56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23" fillId="56" borderId="0" applyNumberFormat="0" applyBorder="0" applyAlignment="0" applyProtection="0"/>
    <xf numFmtId="0" fontId="110" fillId="0" borderId="0">
      <alignment vertical="center"/>
    </xf>
    <xf numFmtId="0" fontId="23" fillId="56" borderId="0" applyNumberFormat="0" applyBorder="0" applyAlignment="0" applyProtection="0"/>
    <xf numFmtId="0" fontId="80" fillId="0" borderId="0" applyNumberFormat="0" applyBorder="0" applyAlignment="0" applyProtection="0"/>
    <xf numFmtId="10" fontId="106" fillId="50" borderId="1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23" fillId="5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111" fillId="15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80" fillId="74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11" fillId="57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80" fillId="74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111" fillId="15" borderId="0" applyNumberFormat="0" applyBorder="0" applyAlignment="0" applyProtection="0"/>
    <xf numFmtId="0" fontId="43" fillId="0" borderId="0">
      <alignment vertical="center"/>
    </xf>
    <xf numFmtId="0" fontId="23" fillId="56" borderId="0" applyNumberFormat="0" applyBorder="0" applyAlignment="0" applyProtection="0"/>
    <xf numFmtId="0" fontId="111" fillId="15" borderId="0" applyNumberFormat="0" applyBorder="0" applyAlignment="0" applyProtection="0"/>
    <xf numFmtId="0" fontId="23" fillId="56" borderId="0" applyNumberFormat="0" applyBorder="0" applyAlignment="0" applyProtection="0"/>
    <xf numFmtId="0" fontId="111" fillId="15" borderId="0" applyNumberFormat="0" applyBorder="0" applyAlignment="0" applyProtection="0"/>
    <xf numFmtId="0" fontId="23" fillId="56" borderId="0" applyNumberFormat="0" applyBorder="0" applyAlignment="0" applyProtection="0"/>
    <xf numFmtId="0" fontId="111" fillId="15" borderId="0" applyNumberFormat="0" applyBorder="0" applyAlignment="0" applyProtection="0"/>
    <xf numFmtId="0" fontId="80" fillId="65" borderId="0" applyNumberFormat="0" applyBorder="0" applyAlignment="0" applyProtection="0"/>
    <xf numFmtId="0" fontId="111" fillId="15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80" fillId="6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80" fillId="0" borderId="0" applyNumberFormat="0" applyBorder="0" applyAlignment="0" applyProtection="0"/>
    <xf numFmtId="0" fontId="111" fillId="65" borderId="0" applyNumberFormat="0" applyBorder="0" applyAlignment="0" applyProtection="0"/>
    <xf numFmtId="0" fontId="43" fillId="0" borderId="0">
      <alignment vertical="center"/>
    </xf>
    <xf numFmtId="0" fontId="111" fillId="65" borderId="0" applyNumberFormat="0" applyBorder="0" applyAlignment="0" applyProtection="0"/>
    <xf numFmtId="0" fontId="111" fillId="15" borderId="0" applyNumberFormat="0" applyBorder="0" applyAlignment="0" applyProtection="0"/>
    <xf numFmtId="0" fontId="43" fillId="0" borderId="0">
      <alignment vertical="center"/>
    </xf>
    <xf numFmtId="0" fontId="111" fillId="65" borderId="0" applyNumberFormat="0" applyBorder="0" applyAlignment="0" applyProtection="0"/>
    <xf numFmtId="0" fontId="111" fillId="15" borderId="0" applyNumberFormat="0" applyBorder="0" applyAlignment="0" applyProtection="0"/>
    <xf numFmtId="0" fontId="127" fillId="68" borderId="44">
      <alignment vertical="center"/>
      <protection locked="0"/>
    </xf>
    <xf numFmtId="0" fontId="99" fillId="15" borderId="36" applyNumberFormat="0" applyAlignment="0" applyProtection="0">
      <alignment vertical="center"/>
    </xf>
    <xf numFmtId="0" fontId="26" fillId="60" borderId="0" applyNumberFormat="0" applyBorder="0" applyAlignment="0" applyProtection="0"/>
    <xf numFmtId="0" fontId="111" fillId="65" borderId="0" applyNumberFormat="0" applyBorder="0" applyAlignment="0" applyProtection="0"/>
    <xf numFmtId="0" fontId="111" fillId="15" borderId="0" applyNumberFormat="0" applyBorder="0" applyAlignment="0" applyProtection="0"/>
    <xf numFmtId="0" fontId="127" fillId="68" borderId="44">
      <alignment vertical="center"/>
      <protection locked="0"/>
    </xf>
    <xf numFmtId="0" fontId="99" fillId="15" borderId="36" applyNumberFormat="0" applyAlignment="0" applyProtection="0">
      <alignment vertical="center"/>
    </xf>
    <xf numFmtId="0" fontId="26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15" borderId="0" applyNumberFormat="0" applyBorder="0" applyAlignment="0" applyProtection="0"/>
    <xf numFmtId="0" fontId="23" fillId="50" borderId="0" applyNumberFormat="0" applyBorder="0" applyAlignment="0" applyProtection="0"/>
    <xf numFmtId="0" fontId="113" fillId="70" borderId="0" applyNumberFormat="0" applyFon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7" fillId="68" borderId="44">
      <alignment vertical="center"/>
      <protection locked="0"/>
    </xf>
    <xf numFmtId="0" fontId="125" fillId="0" borderId="11">
      <alignment horizontal="left" vertical="center"/>
    </xf>
    <xf numFmtId="0" fontId="111" fillId="15" borderId="0" applyNumberFormat="0" applyBorder="0" applyAlignment="0" applyProtection="0"/>
    <xf numFmtId="0" fontId="111" fillId="65" borderId="0" applyNumberFormat="0" applyBorder="0" applyAlignment="0" applyProtection="0"/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7" fillId="68" borderId="44">
      <alignment vertical="center"/>
      <protection locked="0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65" borderId="0" applyNumberFormat="0" applyBorder="0" applyAlignment="0" applyProtection="0"/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65" borderId="0" applyNumberFormat="0" applyBorder="0" applyAlignment="0" applyProtection="0"/>
    <xf numFmtId="0" fontId="23" fillId="50" borderId="0" applyNumberFormat="0" applyBorder="0" applyAlignment="0" applyProtection="0"/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1" fillId="65" borderId="0" applyNumberFormat="0" applyBorder="0" applyAlignment="0" applyProtection="0"/>
    <xf numFmtId="0" fontId="23" fillId="50" borderId="0" applyNumberFormat="0" applyBorder="0" applyAlignment="0" applyProtection="0"/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11" fillId="60" borderId="0" applyNumberFormat="0" applyBorder="0" applyAlignment="0" applyProtection="0"/>
    <xf numFmtId="0" fontId="111" fillId="65" borderId="0" applyNumberFormat="0" applyBorder="0" applyAlignment="0" applyProtection="0"/>
    <xf numFmtId="0" fontId="108" fillId="7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1" fillId="60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1" fillId="60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111" fillId="60" borderId="0" applyNumberFormat="0" applyBorder="0" applyAlignment="0" applyProtection="0"/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4" fontId="133" fillId="0" borderId="0">
      <alignment horizontal="center" vertical="center" wrapText="1"/>
      <protection locked="0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1" fillId="65" borderId="0" applyNumberFormat="0" applyBorder="0" applyAlignment="0" applyProtection="0"/>
    <xf numFmtId="0" fontId="111" fillId="55" borderId="0" applyNumberFormat="0" applyBorder="0" applyAlignment="0" applyProtection="0"/>
    <xf numFmtId="0" fontId="111" fillId="6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111" fillId="1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122" fillId="52" borderId="0" applyNumberFormat="0" applyBorder="0" applyAlignment="0" applyProtection="0">
      <alignment vertical="center"/>
    </xf>
    <xf numFmtId="0" fontId="26" fillId="54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22" fillId="52" borderId="0" applyNumberFormat="0" applyBorder="0" applyAlignment="0" applyProtection="0">
      <alignment vertical="center"/>
    </xf>
    <xf numFmtId="0" fontId="26" fillId="54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111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11" borderId="0" applyNumberFormat="0" applyBorder="0" applyAlignment="0" applyProtection="0"/>
    <xf numFmtId="0" fontId="111" fillId="65" borderId="0" applyNumberFormat="0" applyBorder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23" fillId="11" borderId="0" applyNumberFormat="0" applyBorder="0" applyAlignment="0" applyProtection="0"/>
    <xf numFmtId="0" fontId="111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23" fillId="11" borderId="0" applyNumberFormat="0" applyBorder="0" applyAlignment="0" applyProtection="0"/>
    <xf numFmtId="0" fontId="111" fillId="6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23" fillId="11" borderId="0" applyNumberFormat="0" applyBorder="0" applyAlignment="0" applyProtection="0"/>
    <xf numFmtId="0" fontId="111" fillId="65" borderId="0" applyNumberFormat="0" applyBorder="0" applyAlignment="0" applyProtection="0">
      <alignment vertical="center"/>
    </xf>
    <xf numFmtId="0" fontId="11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22" fillId="52" borderId="0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11" fillId="58" borderId="0" applyNumberFormat="0" applyBorder="0" applyAlignment="0" applyProtection="0"/>
    <xf numFmtId="0" fontId="103" fillId="0" borderId="38">
      <alignment horizontal="center" vertical="center"/>
    </xf>
    <xf numFmtId="0" fontId="111" fillId="60" borderId="0" applyNumberFormat="0" applyBorder="0" applyAlignment="0" applyProtection="0"/>
    <xf numFmtId="0" fontId="122" fillId="52" borderId="0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11" fillId="58" borderId="0" applyNumberFormat="0" applyBorder="0" applyAlignment="0" applyProtection="0"/>
    <xf numFmtId="0" fontId="111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1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0" fillId="0" borderId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23" fillId="11" borderId="0" applyNumberFormat="0" applyBorder="0" applyAlignment="0" applyProtection="0"/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23" fillId="11" borderId="0" applyNumberFormat="0" applyBorder="0" applyAlignment="0" applyProtection="0"/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23" fillId="11" borderId="0" applyNumberFormat="0" applyBorder="0" applyAlignment="0" applyProtection="0"/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11" borderId="0" applyNumberFormat="0" applyBorder="0" applyAlignment="0" applyProtection="0"/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11" borderId="0" applyNumberFormat="0" applyBorder="0" applyAlignment="0" applyProtection="0"/>
    <xf numFmtId="0" fontId="111" fillId="58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80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50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14" fontId="133" fillId="0" borderId="0">
      <alignment horizontal="center" vertical="center" wrapText="1"/>
      <protection locked="0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14" fontId="133" fillId="0" borderId="0">
      <alignment horizontal="center" vertical="center" wrapText="1"/>
      <protection locked="0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65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80" fillId="6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80" fillId="0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6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6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03" fillId="0" borderId="38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79" fontId="132" fillId="0" borderId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79" fontId="132" fillId="0" borderId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79" fontId="132" fillId="0" borderId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2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111" fillId="58" borderId="0" applyNumberFormat="0" applyBorder="0" applyAlignment="0" applyProtection="0"/>
    <xf numFmtId="0" fontId="111" fillId="1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10" fillId="0" borderId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15" borderId="0" applyNumberFormat="0" applyBorder="0" applyAlignment="0" applyProtection="0"/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11" fillId="15" borderId="0" applyNumberFormat="0" applyBorder="0" applyAlignment="0" applyProtection="0"/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11" fillId="15" borderId="0" applyNumberFormat="0" applyBorder="0" applyAlignment="0" applyProtection="0"/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11" fillId="15" borderId="0" applyNumberFormat="0" applyBorder="0" applyAlignment="0" applyProtection="0"/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11" fillId="15" borderId="0" applyNumberFormat="0" applyBorder="0" applyAlignment="0" applyProtection="0"/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45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0" fillId="0" borderId="0">
      <alignment vertical="center"/>
    </xf>
    <xf numFmtId="0" fontId="111" fillId="58" borderId="0" applyNumberFormat="0" applyBorder="0" applyAlignment="0" applyProtection="0"/>
    <xf numFmtId="0" fontId="0" fillId="0" borderId="0">
      <alignment vertical="center"/>
    </xf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111" fillId="60" borderId="0" applyNumberFormat="0" applyBorder="0" applyAlignment="0" applyProtection="0"/>
    <xf numFmtId="0" fontId="111" fillId="57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5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23" fillId="5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5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23" fillId="50" borderId="0" applyNumberFormat="0" applyBorder="0" applyAlignment="0" applyProtection="0"/>
    <xf numFmtId="0" fontId="111" fillId="57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50" borderId="0" applyNumberFormat="0" applyBorder="0" applyAlignment="0" applyProtection="0"/>
    <xf numFmtId="0" fontId="111" fillId="57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15" borderId="0" applyNumberFormat="0" applyBorder="0" applyAlignment="0" applyProtection="0"/>
    <xf numFmtId="0" fontId="23" fillId="50" borderId="0" applyNumberFormat="0" applyBorder="0" applyAlignment="0" applyProtection="0"/>
    <xf numFmtId="0" fontId="111" fillId="57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15" borderId="0" applyNumberFormat="0" applyBorder="0" applyAlignment="0" applyProtection="0"/>
    <xf numFmtId="0" fontId="23" fillId="50" borderId="0" applyNumberFormat="0" applyBorder="0" applyAlignment="0" applyProtection="0"/>
    <xf numFmtId="0" fontId="111" fillId="57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50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43" fillId="0" borderId="0">
      <alignment vertical="center"/>
    </xf>
    <xf numFmtId="0" fontId="111" fillId="60" borderId="0" applyNumberFormat="0" applyBorder="0" applyAlignment="0" applyProtection="0"/>
    <xf numFmtId="0" fontId="80" fillId="0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0" fontId="80" fillId="0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111" fillId="15" borderId="0" applyNumberFormat="0" applyBorder="0" applyAlignment="0" applyProtection="0"/>
    <xf numFmtId="0" fontId="23" fillId="15" borderId="0" applyNumberFormat="0" applyBorder="0" applyAlignment="0" applyProtection="0"/>
    <xf numFmtId="0" fontId="111" fillId="15" borderId="0" applyNumberFormat="0" applyBorder="0" applyAlignment="0" applyProtection="0"/>
    <xf numFmtId="0" fontId="23" fillId="15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11" fillId="15" borderId="0" applyNumberFormat="0" applyBorder="0" applyAlignment="0" applyProtection="0"/>
    <xf numFmtId="0" fontId="23" fillId="15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11" fillId="15" borderId="0" applyNumberFormat="0" applyBorder="0" applyAlignment="0" applyProtection="0"/>
    <xf numFmtId="0" fontId="23" fillId="1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111" fillId="60" borderId="0" applyNumberFormat="0" applyBorder="0" applyAlignment="0" applyProtection="0"/>
    <xf numFmtId="0" fontId="127" fillId="68" borderId="44">
      <alignment vertical="center"/>
      <protection locked="0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31" fillId="0" borderId="45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32" fillId="0" borderId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111" fillId="60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111" fillId="60" borderId="0" applyNumberFormat="0" applyBorder="0" applyAlignment="0" applyProtection="0"/>
    <xf numFmtId="0" fontId="0" fillId="0" borderId="0">
      <alignment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/>
    <xf numFmtId="0" fontId="23" fillId="51" borderId="0" applyNumberFormat="0" applyBorder="0" applyAlignment="0" applyProtection="0"/>
    <xf numFmtId="0" fontId="111" fillId="60" borderId="0" applyNumberFormat="0" applyBorder="0" applyAlignment="0" applyProtection="0"/>
    <xf numFmtId="0" fontId="0" fillId="0" borderId="0">
      <alignment vertical="center"/>
    </xf>
    <xf numFmtId="0" fontId="111" fillId="57" borderId="0" applyNumberFormat="0" applyBorder="0" applyAlignment="0" applyProtection="0"/>
    <xf numFmtId="0" fontId="23" fillId="51" borderId="0" applyNumberFormat="0" applyBorder="0" applyAlignment="0" applyProtection="0"/>
    <xf numFmtId="0" fontId="111" fillId="60" borderId="0" applyNumberFormat="0" applyBorder="0" applyAlignment="0" applyProtection="0"/>
    <xf numFmtId="0" fontId="0" fillId="0" borderId="0">
      <alignment vertical="center"/>
    </xf>
    <xf numFmtId="0" fontId="111" fillId="57" borderId="0" applyNumberFormat="0" applyBorder="0" applyAlignment="0" applyProtection="0"/>
    <xf numFmtId="0" fontId="23" fillId="51" borderId="0" applyNumberFormat="0" applyBorder="0" applyAlignment="0" applyProtection="0"/>
    <xf numFmtId="0" fontId="111" fillId="60" borderId="0" applyNumberFormat="0" applyBorder="0" applyAlignment="0" applyProtection="0"/>
    <xf numFmtId="0" fontId="111" fillId="57" borderId="0" applyNumberFormat="0" applyBorder="0" applyAlignment="0" applyProtection="0"/>
    <xf numFmtId="0" fontId="23" fillId="51" borderId="0" applyNumberFormat="0" applyBorder="0" applyAlignment="0" applyProtection="0"/>
    <xf numFmtId="0" fontId="111" fillId="60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1" fillId="57" borderId="0" applyNumberFormat="0" applyBorder="0" applyAlignment="0" applyProtection="0"/>
    <xf numFmtId="0" fontId="23" fillId="51" borderId="0" applyNumberFormat="0" applyBorder="0" applyAlignment="0" applyProtection="0"/>
    <xf numFmtId="0" fontId="111" fillId="60" borderId="0" applyNumberFormat="0" applyBorder="0" applyAlignment="0" applyProtection="0"/>
    <xf numFmtId="0" fontId="127" fillId="68" borderId="44">
      <alignment vertical="center"/>
      <protection locked="0"/>
    </xf>
    <xf numFmtId="0" fontId="111" fillId="60" borderId="0" applyNumberFormat="0" applyBorder="0" applyAlignment="0" applyProtection="0"/>
    <xf numFmtId="0" fontId="127" fillId="68" borderId="44">
      <alignment vertical="center"/>
      <protection locked="0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9" fontId="45" fillId="0" borderId="0" applyFont="0" applyFill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08" fillId="7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111" fillId="57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111" fillId="57" borderId="0" applyNumberFormat="0" applyBorder="0" applyAlignment="0" applyProtection="0"/>
    <xf numFmtId="0" fontId="37" fillId="0" borderId="16" applyNumberFormat="0" applyFill="0" applyProtection="0">
      <alignment horizontal="left"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25" fillId="0" borderId="11">
      <alignment horizontal="left" vertical="center"/>
    </xf>
    <xf numFmtId="15" fontId="113" fillId="0" borderId="0" applyFon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5" fillId="0" borderId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111" fillId="57" borderId="0" applyNumberFormat="0" applyBorder="0" applyAlignment="0" applyProtection="0"/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1" fillId="57" borderId="0" applyNumberFormat="0" applyBorder="0" applyAlignment="0" applyProtection="0"/>
    <xf numFmtId="0" fontId="110" fillId="0" borderId="0">
      <alignment vertical="center"/>
    </xf>
    <xf numFmtId="0" fontId="114" fillId="51" borderId="36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37" fillId="1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11" fillId="57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9" fillId="7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08" fillId="7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42" fillId="52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111" fillId="57" borderId="0" applyNumberFormat="0" applyBorder="0" applyAlignment="0" applyProtection="0"/>
    <xf numFmtId="0" fontId="110" fillId="0" borderId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111" fillId="57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111" fillId="57" borderId="0" applyNumberFormat="0" applyBorder="0" applyAlignment="0" applyProtection="0"/>
    <xf numFmtId="14" fontId="133" fillId="0" borderId="0">
      <alignment horizontal="center" wrapText="1"/>
      <protection locked="0"/>
    </xf>
    <xf numFmtId="0" fontId="80" fillId="60" borderId="0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80" fillId="6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80" fillId="65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80" fillId="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11" borderId="0" applyNumberFormat="0" applyBorder="0" applyAlignment="0" applyProtection="0"/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45" fillId="0" borderId="0">
      <alignment vertical="center"/>
    </xf>
    <xf numFmtId="0" fontId="111" fillId="57" borderId="0" applyNumberFormat="0" applyBorder="0" applyAlignment="0" applyProtection="0"/>
    <xf numFmtId="0" fontId="103" fillId="0" borderId="38">
      <alignment horizontal="center" vertical="center"/>
    </xf>
    <xf numFmtId="0" fontId="111" fillId="57" borderId="0" applyNumberFormat="0" applyBorder="0" applyAlignment="0" applyProtection="0"/>
    <xf numFmtId="0" fontId="103" fillId="0" borderId="38">
      <alignment horizontal="center" vertical="center"/>
    </xf>
    <xf numFmtId="0" fontId="111" fillId="57" borderId="0" applyNumberFormat="0" applyBorder="0" applyAlignment="0" applyProtection="0"/>
    <xf numFmtId="0" fontId="103" fillId="0" borderId="38">
      <alignment horizontal="center"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22" fillId="52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22" fillId="52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Border="0" applyAlignment="0" applyProtection="0"/>
    <xf numFmtId="0" fontId="111" fillId="57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23" fillId="15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23" fillId="15" borderId="0" applyNumberFormat="0" applyBorder="0" applyAlignment="0" applyProtection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7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80" fillId="6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80" fillId="65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0" fillId="0" borderId="0">
      <alignment vertical="center"/>
    </xf>
    <xf numFmtId="0" fontId="111" fillId="57" borderId="0" applyNumberFormat="0" applyBorder="0" applyAlignment="0" applyProtection="0"/>
    <xf numFmtId="0" fontId="110" fillId="0" borderId="0">
      <alignment vertical="center"/>
    </xf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111" fillId="57" borderId="0" applyNumberFormat="0" applyBorder="0" applyAlignment="0" applyProtection="0"/>
    <xf numFmtId="0" fontId="0" fillId="0" borderId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0" fillId="0" borderId="16" applyNumberFormat="0" applyFill="0" applyProtection="0">
      <alignment horizontal="center"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3" fillId="0" borderId="0" applyNumberFormat="0" applyFont="0" applyFill="0" applyBorder="0" applyAlignment="0" applyProtection="0">
      <alignment horizontal="left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10" fillId="0" borderId="0">
      <alignment vertical="center"/>
    </xf>
    <xf numFmtId="0" fontId="23" fillId="50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0" fillId="0" borderId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26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101" fillId="0" borderId="0" applyNumberFormat="0" applyFill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6" fillId="60" borderId="0" applyNumberFormat="0" applyBorder="0" applyAlignment="0" applyProtection="0"/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0" fontId="26" fillId="60" borderId="0" applyNumberFormat="0" applyBorder="0" applyAlignment="0" applyProtection="0"/>
    <xf numFmtId="0" fontId="125" fillId="0" borderId="11">
      <alignment horizontal="left" vertical="center"/>
    </xf>
    <xf numFmtId="0" fontId="23" fillId="50" borderId="0" applyNumberFormat="0" applyBorder="0" applyAlignment="0" applyProtection="0"/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6" borderId="0" applyNumberFormat="0" applyBorder="0" applyAlignment="0" applyProtection="0"/>
    <xf numFmtId="0" fontId="23" fillId="50" borderId="0" applyNumberFormat="0" applyBorder="0" applyAlignment="0" applyProtection="0"/>
    <xf numFmtId="0" fontId="23" fillId="56" borderId="0" applyNumberFormat="0" applyBorder="0" applyAlignment="0" applyProtection="0"/>
    <xf numFmtId="0" fontId="23" fillId="50" borderId="0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26" fillId="11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23" fillId="50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11" fillId="15" borderId="0" applyNumberFormat="0" applyBorder="0" applyAlignment="0" applyProtection="0"/>
    <xf numFmtId="0" fontId="111" fillId="58" borderId="0" applyNumberFormat="0" applyBorder="0" applyAlignment="0" applyProtection="0"/>
    <xf numFmtId="0" fontId="0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26" fillId="11" borderId="0" applyNumberFormat="0" applyBorder="0" applyAlignment="0" applyProtection="0"/>
    <xf numFmtId="0" fontId="111" fillId="15" borderId="0" applyNumberFormat="0" applyBorder="0" applyAlignment="0" applyProtection="0"/>
    <xf numFmtId="0" fontId="111" fillId="58" borderId="0" applyNumberFormat="0" applyBorder="0" applyAlignment="0" applyProtection="0"/>
    <xf numFmtId="0" fontId="0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0" fillId="0" borderId="0">
      <alignment vertical="center"/>
    </xf>
    <xf numFmtId="0" fontId="126" fillId="11" borderId="0" applyNumberFormat="0" applyBorder="0" applyAlignment="0" applyProtection="0"/>
    <xf numFmtId="0" fontId="23" fillId="50" borderId="0" applyNumberFormat="0" applyBorder="0" applyAlignment="0" applyProtection="0">
      <alignment vertical="center"/>
    </xf>
    <xf numFmtId="0" fontId="126" fillId="11" borderId="0" applyNumberFormat="0" applyBorder="0" applyAlignment="0" applyProtection="0"/>
    <xf numFmtId="0" fontId="23" fillId="1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178" fontId="121" fillId="67" borderId="0">
      <alignment vertical="center"/>
    </xf>
    <xf numFmtId="0" fontId="45" fillId="0" borderId="43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178" fontId="121" fillId="67" borderId="0">
      <alignment vertical="center"/>
    </xf>
    <xf numFmtId="0" fontId="45" fillId="0" borderId="43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178" fontId="121" fillId="67" borderId="0">
      <alignment vertical="center"/>
    </xf>
    <xf numFmtId="0" fontId="45" fillId="0" borderId="43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178" fontId="121" fillId="67" borderId="0">
      <alignment vertical="center"/>
    </xf>
    <xf numFmtId="0" fontId="45" fillId="0" borderId="43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178" fontId="121" fillId="67" borderId="0">
      <alignment vertical="center"/>
    </xf>
    <xf numFmtId="0" fontId="45" fillId="0" borderId="43" applyNumberFormat="0" applyFill="0" applyAlignment="0" applyProtection="0">
      <alignment vertical="center"/>
    </xf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40" fontId="129" fillId="0" borderId="1" applyFill="0" applyAlignment="0" applyProtection="0">
      <alignment vertical="center"/>
    </xf>
    <xf numFmtId="178" fontId="121" fillId="67" borderId="0">
      <alignment vertical="center"/>
    </xf>
    <xf numFmtId="0" fontId="23" fillId="11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40" fontId="109" fillId="0" borderId="1" applyFill="0" applyAlignment="0" applyProtection="0">
      <alignment vertical="center"/>
    </xf>
    <xf numFmtId="0" fontId="23" fillId="11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40" fontId="109" fillId="0" borderId="1" applyFill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23" fillId="11" borderId="0" applyNumberFormat="0" applyBorder="0" applyAlignment="0" applyProtection="0"/>
    <xf numFmtId="178" fontId="121" fillId="67" borderId="0">
      <alignment vertical="center"/>
    </xf>
    <xf numFmtId="0" fontId="111" fillId="65" borderId="0" applyNumberFormat="0" applyBorder="0" applyAlignment="0" applyProtection="0"/>
    <xf numFmtId="0" fontId="23" fillId="11" borderId="0" applyNumberFormat="0" applyBorder="0" applyAlignment="0" applyProtection="0"/>
    <xf numFmtId="178" fontId="121" fillId="67" borderId="0">
      <alignment vertical="center"/>
    </xf>
    <xf numFmtId="0" fontId="111" fillId="65" borderId="0" applyNumberFormat="0" applyBorder="0" applyAlignment="0" applyProtection="0"/>
    <xf numFmtId="0" fontId="23" fillId="11" borderId="0" applyNumberFormat="0" applyBorder="0" applyAlignment="0" applyProtection="0"/>
    <xf numFmtId="178" fontId="121" fillId="67" borderId="0">
      <alignment vertical="center"/>
    </xf>
    <xf numFmtId="0" fontId="111" fillId="65" borderId="0" applyNumberFormat="0" applyBorder="0" applyAlignment="0" applyProtection="0"/>
    <xf numFmtId="0" fontId="23" fillId="11" borderId="0" applyNumberFormat="0" applyBorder="0" applyAlignment="0" applyProtection="0"/>
    <xf numFmtId="178" fontId="121" fillId="67" borderId="0">
      <alignment vertical="center"/>
    </xf>
    <xf numFmtId="0" fontId="111" fillId="65" borderId="0" applyNumberFormat="0" applyBorder="0" applyAlignment="0" applyProtection="0"/>
    <xf numFmtId="182" fontId="132" fillId="0" borderId="0"/>
    <xf numFmtId="0" fontId="23" fillId="11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11" borderId="0" applyNumberFormat="0" applyBorder="0" applyAlignment="0" applyProtection="0"/>
    <xf numFmtId="0" fontId="113" fillId="0" borderId="0" applyNumberFormat="0" applyFont="0" applyFill="0" applyBorder="0" applyAlignment="0" applyProtection="0">
      <alignment horizontal="left"/>
    </xf>
    <xf numFmtId="0" fontId="23" fillId="11" borderId="0" applyNumberFormat="0" applyBorder="0" applyAlignment="0" applyProtection="0"/>
    <xf numFmtId="0" fontId="113" fillId="0" borderId="0" applyNumberFormat="0" applyFont="0" applyFill="0" applyBorder="0" applyAlignment="0" applyProtection="0">
      <alignment horizontal="left"/>
    </xf>
    <xf numFmtId="0" fontId="23" fillId="11" borderId="0" applyNumberFormat="0" applyBorder="0" applyAlignment="0" applyProtection="0"/>
    <xf numFmtId="0" fontId="111" fillId="65" borderId="0" applyNumberFormat="0" applyBorder="0" applyAlignment="0" applyProtection="0"/>
    <xf numFmtId="0" fontId="23" fillId="11" borderId="0" applyNumberFormat="0" applyBorder="0" applyAlignment="0" applyProtection="0"/>
    <xf numFmtId="0" fontId="111" fillId="65" borderId="0" applyNumberFormat="0" applyBorder="0" applyAlignment="0" applyProtection="0"/>
    <xf numFmtId="0" fontId="23" fillId="11" borderId="0" applyNumberFormat="0" applyBorder="0" applyAlignment="0" applyProtection="0"/>
    <xf numFmtId="0" fontId="111" fillId="65" borderId="0" applyNumberFormat="0" applyBorder="0" applyAlignment="0" applyProtection="0"/>
    <xf numFmtId="0" fontId="23" fillId="11" borderId="0" applyNumberFormat="0" applyBorder="0" applyAlignment="0" applyProtection="0"/>
    <xf numFmtId="0" fontId="111" fillId="65" borderId="0" applyNumberFormat="0" applyBorder="0" applyAlignment="0" applyProtection="0"/>
    <xf numFmtId="0" fontId="23" fillId="11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111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1" fillId="15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1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15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111" fillId="15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40" fontId="12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40" fontId="12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15" borderId="0" applyNumberFormat="0" applyBorder="0" applyAlignment="0" applyProtection="0"/>
    <xf numFmtId="0" fontId="43" fillId="0" borderId="0">
      <alignment vertical="center"/>
    </xf>
    <xf numFmtId="0" fontId="111" fillId="15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1" fillId="15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1" fillId="15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1" fillId="15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11" fillId="15" borderId="0" applyNumberFormat="0" applyBorder="0" applyAlignment="0" applyProtection="0"/>
    <xf numFmtId="0" fontId="125" fillId="0" borderId="11">
      <alignment horizontal="left" vertical="center"/>
    </xf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176" fontId="45" fillId="0" borderId="0" applyFont="0" applyFill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/>
    <xf numFmtId="0" fontId="111" fillId="60" borderId="0" applyNumberFormat="0" applyBorder="0" applyAlignment="0" applyProtection="0"/>
    <xf numFmtId="0" fontId="111" fillId="58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0" fillId="0" borderId="0">
      <alignment vertical="center"/>
    </xf>
    <xf numFmtId="0" fontId="111" fillId="60" borderId="0" applyNumberFormat="0" applyBorder="0" applyAlignment="0" applyProtection="0"/>
    <xf numFmtId="0" fontId="111" fillId="55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59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1" fillId="60" borderId="0" applyNumberFormat="0" applyBorder="0" applyAlignment="0" applyProtection="0"/>
    <xf numFmtId="0" fontId="23" fillId="15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6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6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23" fillId="15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>
      <alignment vertical="center"/>
    </xf>
    <xf numFmtId="0" fontId="0" fillId="0" borderId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0" fillId="0" borderId="0">
      <alignment vertical="center"/>
    </xf>
    <xf numFmtId="0" fontId="80" fillId="0" borderId="0">
      <alignment vertical="center"/>
    </xf>
    <xf numFmtId="0" fontId="0" fillId="0" borderId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23" fillId="15" borderId="0" applyNumberFormat="0" applyBorder="0" applyAlignment="0" applyProtection="0"/>
    <xf numFmtId="0" fontId="111" fillId="60" borderId="0" applyNumberFormat="0" applyBorder="0" applyAlignment="0" applyProtection="0"/>
    <xf numFmtId="0" fontId="45" fillId="0" borderId="0">
      <alignment vertical="center"/>
    </xf>
    <xf numFmtId="0" fontId="111" fillId="55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15" borderId="0" applyNumberFormat="0" applyBorder="0" applyAlignment="0" applyProtection="0"/>
    <xf numFmtId="0" fontId="111" fillId="60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11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43" fillId="0" borderId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111" fillId="60" borderId="0" applyNumberFormat="0" applyBorder="0" applyAlignment="0" applyProtection="0"/>
    <xf numFmtId="0" fontId="111" fillId="59" borderId="0" applyNumberFormat="0" applyBorder="0" applyAlignment="0" applyProtection="0"/>
    <xf numFmtId="0" fontId="111" fillId="60" borderId="0" applyNumberFormat="0" applyBorder="0" applyAlignment="0" applyProtection="0"/>
    <xf numFmtId="0" fontId="111" fillId="59" borderId="0" applyNumberFormat="0" applyBorder="0" applyAlignment="0" applyProtection="0"/>
    <xf numFmtId="0" fontId="111" fillId="60" borderId="0" applyNumberFormat="0" applyBorder="0" applyAlignment="0" applyProtection="0"/>
    <xf numFmtId="0" fontId="111" fillId="59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59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128" fillId="0" borderId="0" applyNumberFormat="0" applyFill="0" applyBorder="0" applyAlignment="0" applyProtection="0"/>
    <xf numFmtId="0" fontId="11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111" fillId="60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111" fillId="6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11" fillId="6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6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40" fontId="12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60" borderId="0" applyNumberFormat="0" applyBorder="0" applyAlignment="0" applyProtection="0"/>
    <xf numFmtId="40" fontId="12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43" fillId="0" borderId="0">
      <alignment vertical="center"/>
    </xf>
    <xf numFmtId="0" fontId="111" fillId="60" borderId="0" applyNumberFormat="0" applyBorder="0" applyAlignment="0" applyProtection="0"/>
    <xf numFmtId="0" fontId="132" fillId="0" borderId="0"/>
    <xf numFmtId="0" fontId="111" fillId="60" borderId="0" applyNumberFormat="0" applyBorder="0" applyAlignment="0" applyProtection="0"/>
    <xf numFmtId="0" fontId="132" fillId="0" borderId="0"/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37" fontId="139" fillId="0" borderId="0"/>
    <xf numFmtId="0" fontId="111" fillId="55" borderId="0" applyNumberFormat="0" applyBorder="0" applyAlignment="0" applyProtection="0"/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111" fillId="60" borderId="0" applyNumberFormat="0" applyBorder="0" applyAlignment="0" applyProtection="0"/>
    <xf numFmtId="0" fontId="132" fillId="0" borderId="0"/>
    <xf numFmtId="0" fontId="111" fillId="60" borderId="0" applyNumberFormat="0" applyBorder="0" applyAlignment="0" applyProtection="0"/>
    <xf numFmtId="0" fontId="132" fillId="0" borderId="0"/>
    <xf numFmtId="0" fontId="111" fillId="60" borderId="0" applyNumberFormat="0" applyBorder="0" applyAlignment="0" applyProtection="0"/>
    <xf numFmtId="0" fontId="132" fillId="0" borderId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111" fillId="60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10" fillId="0" borderId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10" fillId="0" borderId="0">
      <alignment vertical="center"/>
    </xf>
    <xf numFmtId="0" fontId="26" fillId="0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102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32" fillId="0" borderId="0"/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80" fillId="9" borderId="0" applyNumberFormat="0" applyBorder="0" applyAlignment="0" applyProtection="0"/>
    <xf numFmtId="0" fontId="132" fillId="0" borderId="0"/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80" fillId="9" borderId="0" applyNumberFormat="0" applyBorder="0" applyAlignment="0" applyProtection="0"/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23" fillId="51" borderId="0" applyNumberFormat="0" applyBorder="0" applyAlignment="0" applyProtection="0"/>
    <xf numFmtId="0" fontId="23" fillId="56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125" fillId="0" borderId="11">
      <alignment horizontal="left" vertical="center"/>
    </xf>
    <xf numFmtId="0" fontId="23" fillId="51" borderId="0" applyNumberFormat="0" applyBorder="0" applyAlignment="0" applyProtection="0"/>
    <xf numFmtId="0" fontId="23" fillId="56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125" fillId="0" borderId="11">
      <alignment horizontal="left" vertical="center"/>
    </xf>
    <xf numFmtId="0" fontId="23" fillId="51" borderId="0" applyNumberFormat="0" applyBorder="0" applyAlignment="0" applyProtection="0"/>
    <xf numFmtId="0" fontId="23" fillId="56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23" fillId="51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125" fillId="0" borderId="47" applyNumberFormat="0" applyAlignment="0" applyProtection="0">
      <alignment horizontal="left"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47" applyNumberFormat="0" applyAlignment="0" applyProtection="0">
      <alignment horizontal="left"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47" applyNumberFormat="0" applyAlignment="0" applyProtection="0">
      <alignment horizontal="left"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47" applyNumberFormat="0" applyAlignment="0" applyProtection="0">
      <alignment horizontal="left"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5" fillId="0" borderId="47" applyNumberFormat="0" applyAlignment="0" applyProtection="0">
      <alignment horizontal="left"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47" applyNumberFormat="0" applyAlignment="0" applyProtection="0">
      <alignment horizontal="left"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47" applyNumberFormat="0" applyAlignment="0" applyProtection="0">
      <alignment horizontal="left" vertical="center"/>
    </xf>
    <xf numFmtId="0" fontId="23" fillId="5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47" applyNumberFormat="0" applyAlignment="0" applyProtection="0">
      <alignment horizontal="left"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10" fillId="0" borderId="0">
      <alignment vertical="center"/>
    </xf>
    <xf numFmtId="0" fontId="110" fillId="0" borderId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23" fillId="51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23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23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/>
    <xf numFmtId="0" fontId="23" fillId="51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80" fillId="60" borderId="0" applyNumberFormat="0" applyAlignment="0" applyProtection="0">
      <alignment vertical="center"/>
    </xf>
    <xf numFmtId="0" fontId="125" fillId="0" borderId="11">
      <alignment horizontal="left" vertical="center"/>
    </xf>
    <xf numFmtId="0" fontId="23" fillId="56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/>
    <xf numFmtId="0" fontId="128" fillId="0" borderId="0" applyNumberFormat="0" applyFill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15" borderId="0" applyNumberFormat="0" applyBorder="0" applyAlignment="0" applyProtection="0"/>
    <xf numFmtId="0" fontId="110" fillId="0" borderId="0" applyNumberFormat="0" applyFont="0" applyAlignment="0" applyProtection="0">
      <alignment vertical="center"/>
    </xf>
    <xf numFmtId="0" fontId="23" fillId="15" borderId="0" applyNumberFormat="0" applyBorder="0" applyAlignment="0" applyProtection="0"/>
    <xf numFmtId="0" fontId="111" fillId="58" borderId="0" applyNumberFormat="0" applyBorder="0" applyAlignment="0" applyProtection="0"/>
    <xf numFmtId="0" fontId="23" fillId="15" borderId="0" applyNumberFormat="0" applyBorder="0" applyAlignment="0" applyProtection="0"/>
    <xf numFmtId="0" fontId="111" fillId="58" borderId="0" applyNumberFormat="0" applyBorder="0" applyAlignment="0" applyProtection="0"/>
    <xf numFmtId="0" fontId="110" fillId="0" borderId="0" applyNumberFormat="0" applyFont="0" applyAlignment="0" applyProtection="0">
      <alignment vertical="center"/>
    </xf>
    <xf numFmtId="0" fontId="0" fillId="0" borderId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23" fillId="15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15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111" fillId="51" borderId="0" applyNumberFormat="0" applyBorder="0" applyAlignment="0" applyProtection="0"/>
    <xf numFmtId="0" fontId="23" fillId="15" borderId="0" applyNumberFormat="0" applyBorder="0" applyAlignment="0" applyProtection="0"/>
    <xf numFmtId="0" fontId="111" fillId="51" borderId="0" applyNumberFormat="0" applyBorder="0" applyAlignment="0" applyProtection="0"/>
    <xf numFmtId="0" fontId="23" fillId="15" borderId="0" applyNumberFormat="0" applyBorder="0" applyAlignment="0" applyProtection="0"/>
    <xf numFmtId="0" fontId="111" fillId="51" borderId="0" applyNumberFormat="0" applyBorder="0" applyAlignment="0" applyProtection="0"/>
    <xf numFmtId="0" fontId="23" fillId="15" borderId="0" applyNumberFormat="0" applyBorder="0" applyAlignment="0" applyProtection="0"/>
    <xf numFmtId="0" fontId="111" fillId="51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103" fillId="0" borderId="38">
      <alignment horizontal="center" vertical="center"/>
    </xf>
    <xf numFmtId="0" fontId="23" fillId="15" borderId="0" applyNumberFormat="0" applyBorder="0" applyAlignment="0" applyProtection="0"/>
    <xf numFmtId="0" fontId="23" fillId="66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23" fillId="1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1" borderId="0" applyNumberFormat="0" applyBorder="0" applyAlignment="0" applyProtection="0"/>
    <xf numFmtId="0" fontId="23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/>
    <xf numFmtId="0" fontId="116" fillId="0" borderId="0" applyNumberForma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16" fillId="0" borderId="0" applyNumberForma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111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1" fillId="15" borderId="0" applyNumberFormat="0" applyBorder="0" applyAlignment="0" applyProtection="0"/>
    <xf numFmtId="0" fontId="125" fillId="0" borderId="11">
      <alignment horizontal="left" vertical="center"/>
    </xf>
    <xf numFmtId="0" fontId="111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1" fillId="15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1" fillId="15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1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1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1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1" fillId="15" borderId="0" applyNumberFormat="0" applyBorder="0" applyAlignment="0" applyProtection="0"/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1" fillId="1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1" fillId="1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0" fillId="0" borderId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22" fillId="52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22" fillId="52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80" fillId="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22" fillId="52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37" fillId="0" borderId="16" applyNumberFormat="0" applyFill="0" applyProtection="0">
      <alignment horizontal="left"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111" fillId="58" borderId="0" applyNumberFormat="0" applyBorder="0" applyAlignment="0" applyProtection="0"/>
    <xf numFmtId="0" fontId="80" fillId="60" borderId="0" applyNumberFormat="0" applyAlignment="0" applyProtection="0">
      <alignment vertical="center"/>
    </xf>
    <xf numFmtId="40" fontId="129" fillId="0" borderId="0" applyFill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5" borderId="0" applyNumberFormat="0" applyBorder="0" applyAlignment="0" applyProtection="0"/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0" fillId="0" borderId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110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/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/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111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1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1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1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1" fillId="58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1" fillId="58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1" fillId="58" borderId="0" applyNumberFormat="0" applyBorder="0" applyAlignment="0" applyProtection="0"/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111" fillId="58" borderId="0" applyNumberFormat="0" applyBorder="0" applyAlignment="0" applyProtection="0"/>
    <xf numFmtId="178" fontId="135" fillId="73" borderId="0"/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3" fillId="0" borderId="38">
      <alignment horizontal="center"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3" fillId="0" borderId="38">
      <alignment horizontal="center" vertical="center"/>
    </xf>
    <xf numFmtId="0" fontId="111" fillId="55" borderId="0" applyNumberFormat="0" applyBorder="0" applyAlignment="0" applyProtection="0"/>
    <xf numFmtId="0" fontId="110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12" fillId="0" borderId="40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58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111" fillId="58" borderId="0" applyNumberFormat="0" applyBorder="0" applyAlignment="0" applyProtection="0"/>
    <xf numFmtId="0" fontId="80" fillId="61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23" fillId="50" borderId="0" applyNumberFormat="0" applyBorder="0" applyAlignment="0" applyProtection="0"/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23" fillId="50" borderId="0" applyNumberFormat="0" applyBorder="0" applyAlignment="0" applyProtection="0"/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9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45" fillId="0" borderId="0" applyFont="0" applyFill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45" fillId="0" borderId="0" applyFont="0" applyFill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0" fillId="0" borderId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111" fillId="58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9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8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9" fontId="45" fillId="0" borderId="0" applyFont="0" applyFill="0" applyBorder="0" applyAlignment="0" applyProtection="0">
      <alignment vertical="center"/>
    </xf>
    <xf numFmtId="0" fontId="111" fillId="58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1" fillId="58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80" fillId="74" borderId="0" applyNumberFormat="0" applyBorder="0" applyAlignment="0" applyProtection="0"/>
    <xf numFmtId="0" fontId="111" fillId="58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111" fillId="58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74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8" borderId="0" applyNumberFormat="0" applyBorder="0" applyAlignment="0" applyProtection="0"/>
    <xf numFmtId="0" fontId="2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23" fillId="66" borderId="0" applyNumberFormat="0" applyBorder="0" applyAlignment="0" applyProtection="0">
      <alignment vertical="center"/>
    </xf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110" fillId="0" borderId="0">
      <alignment vertical="center"/>
    </xf>
    <xf numFmtId="0" fontId="110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23" fillId="6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80" fillId="74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80" fillId="74" borderId="0" applyNumberFormat="0" applyBorder="0" applyAlignment="0" applyProtection="0">
      <alignment vertical="center"/>
    </xf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116" fillId="0" borderId="42" applyNumberFormat="0" applyFill="0" applyAlignment="0" applyProtection="0">
      <alignment vertical="center"/>
    </xf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80" fillId="15" borderId="0" applyNumberFormat="0" applyBorder="0" applyAlignment="0" applyProtection="0">
      <alignment vertical="center"/>
    </xf>
    <xf numFmtId="0" fontId="23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66" borderId="0" applyNumberFormat="0" applyBorder="0" applyAlignment="0" applyProtection="0">
      <alignment vertical="center"/>
    </xf>
    <xf numFmtId="0" fontId="80" fillId="1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5" fontId="113" fillId="0" borderId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1" borderId="0" applyNumberFormat="0" applyBorder="0" applyAlignment="0" applyProtection="0"/>
    <xf numFmtId="0" fontId="23" fillId="56" borderId="0" applyNumberFormat="0" applyBorder="0" applyAlignment="0" applyProtection="0"/>
    <xf numFmtId="0" fontId="23" fillId="51" borderId="0" applyNumberFormat="0" applyBorder="0" applyAlignment="0" applyProtection="0"/>
    <xf numFmtId="0" fontId="23" fillId="56" borderId="0" applyNumberFormat="0" applyBorder="0" applyAlignment="0" applyProtection="0"/>
    <xf numFmtId="0" fontId="23" fillId="51" borderId="0" applyNumberFormat="0" applyBorder="0" applyAlignment="0" applyProtection="0"/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116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80" fillId="9" borderId="0" applyNumberFormat="0" applyBorder="0" applyAlignment="0" applyProtection="0"/>
    <xf numFmtId="0" fontId="23" fillId="56" borderId="0" applyNumberFormat="0" applyBorder="0" applyAlignment="0" applyProtection="0"/>
    <xf numFmtId="179" fontId="132" fillId="0" borderId="0">
      <alignment vertical="center"/>
    </xf>
    <xf numFmtId="0" fontId="23" fillId="56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80" fillId="9" borderId="0" applyNumberFormat="0" applyBorder="0" applyAlignment="0" applyProtection="0"/>
    <xf numFmtId="0" fontId="125" fillId="0" borderId="11">
      <alignment horizontal="left" vertical="center"/>
    </xf>
    <xf numFmtId="0" fontId="23" fillId="56" borderId="0" applyNumberFormat="0" applyBorder="0" applyAlignment="0" applyProtection="0"/>
    <xf numFmtId="0" fontId="134" fillId="0" borderId="42" applyNumberFormat="0" applyFill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23" fillId="56" borderId="0" applyNumberFormat="0" applyBorder="0" applyAlignment="0" applyProtection="0"/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137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0" fontId="110" fillId="0" borderId="0" applyNumberFormat="0" applyFont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10" fontId="106" fillId="50" borderId="1" applyNumberFormat="0" applyBorder="0" applyAlignment="0" applyProtection="0"/>
    <xf numFmtId="0" fontId="117" fillId="15" borderId="37" applyNumberFormat="0" applyAlignment="0" applyProtection="0">
      <alignment vertical="center"/>
    </xf>
    <xf numFmtId="0" fontId="23" fillId="56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Border="0" applyAlignment="0" applyProtection="0"/>
    <xf numFmtId="0" fontId="45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6" borderId="0" applyNumberFormat="0" applyBorder="0" applyAlignment="0" applyProtection="0">
      <alignment vertical="center"/>
    </xf>
    <xf numFmtId="0" fontId="110" fillId="0" borderId="0">
      <alignment vertical="center"/>
    </xf>
    <xf numFmtId="0" fontId="111" fillId="59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23" fillId="56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0" fillId="0" borderId="0">
      <alignment vertical="center"/>
    </xf>
    <xf numFmtId="0" fontId="111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0" fillId="0" borderId="0">
      <alignment vertical="center"/>
    </xf>
    <xf numFmtId="0" fontId="111" fillId="65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0" fillId="0" borderId="0">
      <alignment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03" fillId="0" borderId="38">
      <alignment horizontal="center"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03" fillId="0" borderId="38">
      <alignment horizontal="center" vertical="center"/>
    </xf>
    <xf numFmtId="0" fontId="111" fillId="65" borderId="0" applyNumberFormat="0" applyBorder="0" applyAlignment="0" applyProtection="0">
      <alignment vertical="center"/>
    </xf>
    <xf numFmtId="0" fontId="111" fillId="65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03" fillId="0" borderId="38">
      <alignment horizontal="center" vertical="center"/>
    </xf>
    <xf numFmtId="0" fontId="111" fillId="65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1" fillId="65" borderId="0" applyNumberFormat="0" applyBorder="0" applyAlignment="0" applyProtection="0"/>
    <xf numFmtId="178" fontId="121" fillId="67" borderId="0">
      <alignment vertical="center"/>
    </xf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0" fillId="0" borderId="0" applyNumberFormat="0" applyBorder="0" applyAlignment="0" applyProtection="0">
      <alignment vertical="center"/>
    </xf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1" fillId="65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1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02" fillId="15" borderId="37" applyNumberFormat="0" applyAlignment="0" applyProtection="0">
      <alignment vertical="center"/>
    </xf>
    <xf numFmtId="0" fontId="111" fillId="65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1" fillId="65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1" fillId="65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1" fillId="6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26" fillId="54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65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26" fillId="54" borderId="0" applyNumberFormat="0" applyBorder="0" applyAlignment="0" applyProtection="0"/>
    <xf numFmtId="0" fontId="111" fillId="55" borderId="0" applyNumberFormat="0" applyBorder="0" applyAlignment="0" applyProtection="0"/>
    <xf numFmtId="0" fontId="80" fillId="0" borderId="0" applyNumberFormat="0" applyBorder="0" applyAlignment="0" applyProtection="0"/>
    <xf numFmtId="0" fontId="111" fillId="55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80" fillId="0" borderId="0" applyNumberFormat="0" applyBorder="0" applyAlignment="0" applyProtection="0"/>
    <xf numFmtId="0" fontId="111" fillId="55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11" fillId="55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03" fillId="0" borderId="38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03" fillId="0" borderId="38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11" fillId="5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03" fillId="0" borderId="38">
      <alignment horizontal="center"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142" fillId="52" borderId="0" applyNumberFormat="0" applyBorder="0" applyAlignment="0" applyProtection="0"/>
    <xf numFmtId="0" fontId="111" fillId="55" borderId="0" applyNumberFormat="0" applyBorder="0" applyAlignment="0" applyProtection="0"/>
    <xf numFmtId="0" fontId="125" fillId="0" borderId="11">
      <alignment horizontal="left" vertical="center"/>
    </xf>
    <xf numFmtId="0" fontId="142" fillId="52" borderId="0" applyNumberFormat="0" applyBorder="0" applyAlignment="0" applyProtection="0"/>
    <xf numFmtId="0" fontId="111" fillId="55" borderId="0" applyNumberFormat="0" applyBorder="0" applyAlignment="0" applyProtection="0"/>
    <xf numFmtId="0" fontId="125" fillId="0" borderId="11">
      <alignment horizontal="left" vertical="center"/>
    </xf>
    <xf numFmtId="40" fontId="129" fillId="0" borderId="1" applyFill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37" fontId="139" fillId="0" borderId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37" fontId="139" fillId="0" borderId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1" fillId="59" borderId="0" applyNumberFormat="0" applyBorder="0" applyAlignment="0" applyProtection="0"/>
    <xf numFmtId="0" fontId="111" fillId="55" borderId="0" applyNumberFormat="0" applyBorder="0" applyAlignment="0" applyProtection="0"/>
    <xf numFmtId="0" fontId="111" fillId="59" borderId="0" applyNumberFormat="0" applyBorder="0" applyAlignment="0" applyProtection="0"/>
    <xf numFmtId="0" fontId="111" fillId="55" borderId="0" applyNumberFormat="0" applyBorder="0" applyAlignment="0" applyProtection="0"/>
    <xf numFmtId="0" fontId="111" fillId="59" borderId="0" applyNumberFormat="0" applyBorder="0" applyAlignment="0" applyProtection="0"/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11" fillId="55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11" fillId="55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37" fontId="139" fillId="0" borderId="0"/>
    <xf numFmtId="0" fontId="111" fillId="5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5" fillId="15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1" fillId="55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4" fillId="51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0" fillId="0" borderId="0">
      <alignment vertical="center"/>
    </xf>
    <xf numFmtId="0" fontId="80" fillId="6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1" fillId="55" borderId="0" applyNumberFormat="0" applyBorder="0" applyAlignment="0" applyProtection="0"/>
    <xf numFmtId="0" fontId="111" fillId="51" borderId="0" applyNumberFormat="0" applyBorder="0" applyAlignment="0" applyProtection="0"/>
    <xf numFmtId="0" fontId="111" fillId="55" borderId="0" applyNumberFormat="0" applyBorder="0" applyAlignment="0" applyProtection="0"/>
    <xf numFmtId="0" fontId="111" fillId="51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80" fillId="6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1" fillId="55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179" fontId="132" fillId="0" borderId="0"/>
    <xf numFmtId="0" fontId="110" fillId="0" borderId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179" fontId="132" fillId="0" borderId="0"/>
    <xf numFmtId="0" fontId="110" fillId="0" borderId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25" fillId="0" borderId="11">
      <alignment horizontal="left" vertical="center"/>
    </xf>
    <xf numFmtId="0" fontId="111" fillId="55" borderId="0" applyNumberFormat="0" applyBorder="0" applyAlignment="0" applyProtection="0"/>
    <xf numFmtId="0" fontId="125" fillId="0" borderId="11">
      <alignment horizontal="left" vertical="center"/>
    </xf>
    <xf numFmtId="40" fontId="129" fillId="0" borderId="0" applyFill="0" applyAlignment="0" applyProtection="0">
      <alignment vertical="center"/>
    </xf>
    <xf numFmtId="0" fontId="111" fillId="55" borderId="0" applyNumberFormat="0" applyBorder="0" applyAlignment="0" applyProtection="0"/>
    <xf numFmtId="0" fontId="125" fillId="0" borderId="11">
      <alignment horizontal="left" vertical="center"/>
    </xf>
    <xf numFmtId="0" fontId="111" fillId="55" borderId="0" applyNumberFormat="0" applyBorder="0" applyAlignment="0" applyProtection="0"/>
    <xf numFmtId="0" fontId="125" fillId="0" borderId="11">
      <alignment horizontal="left" vertical="center"/>
    </xf>
    <xf numFmtId="0" fontId="111" fillId="55" borderId="0" applyNumberFormat="0" applyBorder="0" applyAlignment="0" applyProtection="0"/>
    <xf numFmtId="0" fontId="125" fillId="0" borderId="11">
      <alignment horizontal="left"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29" fillId="0" borderId="1" applyFill="0" applyAlignment="0" applyProtection="0">
      <alignment vertical="center"/>
    </xf>
    <xf numFmtId="0" fontId="110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29" fillId="0" borderId="1" applyFill="0" applyAlignment="0" applyProtection="0">
      <alignment vertical="center"/>
    </xf>
    <xf numFmtId="0" fontId="110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177" fontId="37" fillId="0" borderId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80" fillId="6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183" fontId="132" fillId="0" borderId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8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110" fillId="0" borderId="0">
      <alignment vertical="center"/>
    </xf>
    <xf numFmtId="0" fontId="110" fillId="0" borderId="0">
      <alignment vertical="center"/>
    </xf>
    <xf numFmtId="182" fontId="132" fillId="0" borderId="0"/>
    <xf numFmtId="0" fontId="111" fillId="55" borderId="0" applyNumberFormat="0" applyBorder="0" applyAlignment="0" applyProtection="0"/>
    <xf numFmtId="0" fontId="110" fillId="0" borderId="0">
      <alignment vertical="center"/>
    </xf>
    <xf numFmtId="0" fontId="110" fillId="0" borderId="0">
      <alignment vertical="center"/>
    </xf>
    <xf numFmtId="182" fontId="132" fillId="0" borderId="0"/>
    <xf numFmtId="40" fontId="109" fillId="0" borderId="1" applyFill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124" fillId="51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0" fillId="0" borderId="0">
      <alignment vertical="center"/>
    </xf>
    <xf numFmtId="0" fontId="110" fillId="0" borderId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5" borderId="0" applyNumberFormat="0" applyBorder="0" applyAlignment="0" applyProtection="0"/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133" fillId="0" borderId="0">
      <alignment horizontal="center" wrapText="1"/>
      <protection locked="0"/>
    </xf>
    <xf numFmtId="0" fontId="111" fillId="55" borderId="0" applyNumberFormat="0" applyBorder="0" applyAlignment="0" applyProtection="0"/>
    <xf numFmtId="0" fontId="133" fillId="0" borderId="0">
      <alignment horizontal="center" wrapText="1"/>
      <protection locked="0"/>
    </xf>
    <xf numFmtId="0" fontId="111" fillId="55" borderId="0" applyNumberFormat="0" applyBorder="0" applyAlignment="0" applyProtection="0"/>
    <xf numFmtId="0" fontId="103" fillId="0" borderId="38">
      <alignment horizontal="center"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110" fillId="0" borderId="0">
      <alignment vertical="center"/>
    </xf>
    <xf numFmtId="0" fontId="111" fillId="55" borderId="0" applyNumberFormat="0" applyBorder="0" applyAlignment="0" applyProtection="0"/>
    <xf numFmtId="184" fontId="37" fillId="0" borderId="0" applyFont="0" applyFill="0" applyBorder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1" fillId="55" borderId="0" applyNumberFormat="0" applyBorder="0" applyAlignment="0" applyProtection="0"/>
    <xf numFmtId="0" fontId="111" fillId="55" borderId="0" applyNumberFormat="0" applyBorder="0" applyAlignment="0" applyProtection="0"/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5" fillId="0" borderId="0">
      <alignment vertical="center"/>
    </xf>
    <xf numFmtId="0" fontId="23" fillId="5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6" fillId="0" borderId="0" applyNumberFormat="0" applyBorder="0" applyAlignment="0" applyProtection="0"/>
    <xf numFmtId="0" fontId="0" fillId="0" borderId="0"/>
    <xf numFmtId="0" fontId="26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23" fillId="50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23" fillId="50" borderId="0" applyNumberFormat="0" applyBorder="0" applyAlignment="0" applyProtection="0"/>
    <xf numFmtId="0" fontId="43" fillId="0" borderId="0">
      <alignment vertical="center"/>
    </xf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23" fillId="50" borderId="0" applyNumberFormat="0" applyBorder="0" applyAlignment="0" applyProtection="0"/>
    <xf numFmtId="0" fontId="114" fillId="51" borderId="36" applyNumberFormat="0" applyAlignment="0" applyProtection="0">
      <alignment vertical="center"/>
    </xf>
    <xf numFmtId="0" fontId="23" fillId="5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182" fontId="132" fillId="0" borderId="0"/>
    <xf numFmtId="0" fontId="0" fillId="50" borderId="41" applyNumberFormat="0" applyFont="0" applyAlignment="0" applyProtection="0">
      <alignment vertical="center"/>
    </xf>
    <xf numFmtId="0" fontId="23" fillId="51" borderId="0" applyNumberFormat="0" applyBorder="0" applyAlignment="0" applyProtection="0"/>
    <xf numFmtId="0" fontId="80" fillId="0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23" fillId="51" borderId="0" applyNumberFormat="0" applyBorder="0" applyAlignment="0" applyProtection="0"/>
    <xf numFmtId="182" fontId="132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23" fillId="51" borderId="0" applyNumberFormat="0" applyBorder="0" applyAlignment="0" applyProtection="0"/>
    <xf numFmtId="182" fontId="132" fillId="0" borderId="0">
      <alignment vertical="center"/>
    </xf>
    <xf numFmtId="0" fontId="23" fillId="51" borderId="0" applyNumberFormat="0" applyBorder="0" applyAlignment="0" applyProtection="0"/>
    <xf numFmtId="182" fontId="132" fillId="0" borderId="0">
      <alignment vertical="center"/>
    </xf>
    <xf numFmtId="0" fontId="80" fillId="9" borderId="0" applyNumberFormat="0" applyBorder="0" applyAlignment="0" applyProtection="0"/>
    <xf numFmtId="0" fontId="23" fillId="51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9" fontId="45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/>
    <xf numFmtId="0" fontId="37" fillId="0" borderId="16" applyNumberFormat="0" applyFill="0" applyProtection="0">
      <alignment horizontal="left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/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/>
    <xf numFmtId="0" fontId="43" fillId="0" borderId="0">
      <alignment vertical="center"/>
    </xf>
    <xf numFmtId="0" fontId="23" fillId="51" borderId="0" applyNumberFormat="0" applyBorder="0" applyAlignment="0" applyProtection="0"/>
    <xf numFmtId="0" fontId="43" fillId="0" borderId="0">
      <alignment vertical="center"/>
    </xf>
    <xf numFmtId="0" fontId="23" fillId="51" borderId="0" applyNumberFormat="0" applyBorder="0" applyAlignment="0" applyProtection="0"/>
    <xf numFmtId="0" fontId="43" fillId="0" borderId="0">
      <alignment vertical="center"/>
    </xf>
    <xf numFmtId="0" fontId="23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182" fontId="132" fillId="0" borderId="0">
      <alignment vertical="center"/>
    </xf>
    <xf numFmtId="0" fontId="80" fillId="9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23" fillId="51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23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43" fillId="12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3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1" borderId="0" applyNumberFormat="0" applyBorder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1" fillId="51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111" fillId="51" borderId="0" applyNumberFormat="0" applyBorder="0" applyAlignment="0" applyProtection="0"/>
    <xf numFmtId="0" fontId="111" fillId="59" borderId="0" applyNumberFormat="0" applyBorder="0" applyAlignment="0" applyProtection="0"/>
    <xf numFmtId="15" fontId="113" fillId="0" borderId="0"/>
    <xf numFmtId="0" fontId="111" fillId="51" borderId="0" applyNumberFormat="0" applyBorder="0" applyAlignment="0" applyProtection="0"/>
    <xf numFmtId="0" fontId="111" fillId="59" borderId="0" applyNumberFormat="0" applyBorder="0" applyAlignment="0" applyProtection="0"/>
    <xf numFmtId="15" fontId="113" fillId="0" borderId="0"/>
    <xf numFmtId="0" fontId="111" fillId="51" borderId="0" applyNumberFormat="0" applyBorder="0" applyAlignment="0" applyProtection="0"/>
    <xf numFmtId="15" fontId="113" fillId="0" borderId="0"/>
    <xf numFmtId="0" fontId="111" fillId="51" borderId="0" applyNumberFormat="0" applyBorder="0" applyAlignment="0" applyProtection="0"/>
    <xf numFmtId="15" fontId="113" fillId="0" borderId="0"/>
    <xf numFmtId="0" fontId="111" fillId="51" borderId="0" applyNumberFormat="0" applyBorder="0" applyAlignment="0" applyProtection="0"/>
    <xf numFmtId="15" fontId="113" fillId="0" borderId="0"/>
    <xf numFmtId="0" fontId="111" fillId="51" borderId="0" applyNumberFormat="0" applyBorder="0" applyAlignment="0" applyProtection="0"/>
    <xf numFmtId="15" fontId="113" fillId="0" borderId="0"/>
    <xf numFmtId="0" fontId="111" fillId="51" borderId="0" applyNumberFormat="0" applyBorder="0" applyAlignment="0" applyProtection="0"/>
    <xf numFmtId="15" fontId="113" fillId="0" borderId="0"/>
    <xf numFmtId="0" fontId="111" fillId="51" borderId="0" applyNumberFormat="0" applyBorder="0" applyAlignment="0" applyProtection="0"/>
    <xf numFmtId="15" fontId="113" fillId="0" borderId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1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45" fillId="0" borderId="0" applyNumberFormat="0" applyFont="0" applyAlignment="0" applyProtection="0">
      <alignment vertical="center"/>
    </xf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45" fillId="0" borderId="0" applyNumberFormat="0" applyFont="0" applyAlignment="0" applyProtection="0">
      <alignment vertical="center"/>
    </xf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1" fillId="51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111" fillId="51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111" fillId="51" borderId="0" applyNumberFormat="0" applyBorder="0" applyAlignment="0" applyProtection="0"/>
    <xf numFmtId="0" fontId="134" fillId="0" borderId="0" applyNumberFormat="0" applyFill="0" applyBorder="0" applyAlignment="0" applyProtection="0">
      <alignment vertical="center"/>
    </xf>
    <xf numFmtId="0" fontId="111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1" fillId="51" borderId="0" applyNumberFormat="0" applyBorder="0" applyAlignment="0" applyProtection="0"/>
    <xf numFmtId="0" fontId="111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/>
    <xf numFmtId="0" fontId="111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1" borderId="0" applyNumberFormat="0" applyBorder="0" applyAlignment="0" applyProtection="0"/>
    <xf numFmtId="0" fontId="103" fillId="0" borderId="38">
      <alignment horizontal="center" vertical="center"/>
    </xf>
    <xf numFmtId="0" fontId="111" fillId="51" borderId="0" applyNumberFormat="0" applyBorder="0" applyAlignment="0" applyProtection="0"/>
    <xf numFmtId="0" fontId="116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111" fillId="51" borderId="0" applyNumberFormat="0" applyBorder="0" applyAlignment="0" applyProtection="0">
      <alignment vertical="center"/>
    </xf>
    <xf numFmtId="0" fontId="111" fillId="51" borderId="0" applyNumberFormat="0" applyBorder="0" applyAlignment="0" applyProtection="0">
      <alignment vertical="center"/>
    </xf>
    <xf numFmtId="0" fontId="110" fillId="0" borderId="0">
      <alignment vertical="center"/>
    </xf>
    <xf numFmtId="0" fontId="115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110" fillId="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1" fillId="59" borderId="0" applyNumberFormat="0" applyBorder="0" applyAlignment="0" applyProtection="0"/>
    <xf numFmtId="0" fontId="110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0" fillId="0" borderId="0">
      <alignment vertical="center"/>
    </xf>
    <xf numFmtId="0" fontId="124" fillId="51" borderId="36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40" fontId="129" fillId="0" borderId="1" applyFill="0" applyAlignment="0" applyProtection="0">
      <alignment vertical="center"/>
    </xf>
    <xf numFmtId="177" fontId="37" fillId="0" borderId="0"/>
    <xf numFmtId="40" fontId="129" fillId="0" borderId="1" applyFill="0" applyAlignment="0" applyProtection="0">
      <alignment vertical="center"/>
    </xf>
    <xf numFmtId="177" fontId="37" fillId="0" borderId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33" fillId="0" borderId="0">
      <alignment horizontal="center" wrapText="1"/>
      <protection locked="0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1" fillId="59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9" borderId="0" applyNumberFormat="0" applyBorder="0" applyAlignment="0" applyProtection="0"/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1" fillId="59" borderId="0" applyNumberFormat="0" applyBorder="0" applyAlignment="0" applyProtection="0"/>
    <xf numFmtId="0" fontId="140" fillId="60" borderId="4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9" borderId="0" applyNumberFormat="0" applyBorder="0" applyAlignment="0" applyProtection="0"/>
    <xf numFmtId="0" fontId="140" fillId="60" borderId="4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9" borderId="0" applyNumberFormat="0" applyBorder="0" applyAlignment="0" applyProtection="0"/>
    <xf numFmtId="0" fontId="140" fillId="60" borderId="4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1" fillId="59" borderId="0" applyNumberFormat="0" applyBorder="0" applyAlignment="0" applyProtection="0"/>
    <xf numFmtId="0" fontId="140" fillId="60" borderId="46" applyNumberFormat="0" applyAlignment="0" applyProtection="0">
      <alignment vertical="center"/>
    </xf>
    <xf numFmtId="0" fontId="111" fillId="59" borderId="0" applyNumberFormat="0" applyBorder="0" applyAlignment="0" applyProtection="0"/>
    <xf numFmtId="0" fontId="140" fillId="60" borderId="46" applyNumberFormat="0" applyAlignment="0" applyProtection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0" fontId="124" fillId="51" borderId="36" applyNumberFormat="0" applyAlignment="0" applyProtection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24" fillId="51" borderId="36" applyNumberFormat="0" applyAlignment="0" applyProtection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1" fillId="5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111" fillId="59" borderId="0" applyNumberFormat="0" applyBorder="0" applyAlignment="0" applyProtection="0"/>
    <xf numFmtId="0" fontId="111" fillId="59" borderId="0" applyNumberFormat="0" applyBorder="0" applyAlignment="0" applyProtection="0"/>
    <xf numFmtId="0" fontId="80" fillId="0" borderId="0" applyNumberFormat="0" applyBorder="0" applyAlignment="0" applyProtection="0"/>
    <xf numFmtId="0" fontId="80" fillId="0" borderId="0" applyNumberFormat="0" applyBorder="0" applyAlignment="0" applyProtection="0"/>
    <xf numFmtId="0" fontId="111" fillId="59" borderId="0" applyNumberFormat="0" applyBorder="0" applyAlignment="0" applyProtection="0"/>
    <xf numFmtId="0" fontId="133" fillId="0" borderId="0">
      <alignment horizontal="center" wrapText="1"/>
      <protection locked="0"/>
    </xf>
    <xf numFmtId="0" fontId="133" fillId="0" borderId="0">
      <alignment horizontal="center" wrapText="1"/>
      <protection locked="0"/>
    </xf>
    <xf numFmtId="0" fontId="133" fillId="0" borderId="0">
      <alignment horizontal="center" wrapText="1"/>
      <protection locked="0"/>
    </xf>
    <xf numFmtId="0" fontId="133" fillId="0" borderId="0">
      <alignment horizontal="center" wrapText="1"/>
      <protection locked="0"/>
    </xf>
    <xf numFmtId="0" fontId="133" fillId="0" borderId="0">
      <alignment horizontal="center" wrapText="1"/>
      <protection locked="0"/>
    </xf>
    <xf numFmtId="0" fontId="133" fillId="0" borderId="0">
      <alignment horizontal="center" wrapText="1"/>
      <protection locked="0"/>
    </xf>
    <xf numFmtId="0" fontId="133" fillId="0" borderId="0">
      <alignment horizontal="center" wrapText="1"/>
      <protection locked="0"/>
    </xf>
    <xf numFmtId="0" fontId="133" fillId="0" borderId="0">
      <alignment horizontal="center" wrapText="1"/>
      <protection locked="0"/>
    </xf>
    <xf numFmtId="0" fontId="110" fillId="6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3" fillId="0" borderId="0">
      <alignment horizontal="center" wrapText="1"/>
      <protection locked="0"/>
    </xf>
    <xf numFmtId="10" fontId="106" fillId="50" borderId="1" applyNumberFormat="0" applyBorder="0" applyAlignment="0" applyProtection="0">
      <alignment vertical="center"/>
    </xf>
    <xf numFmtId="0" fontId="133" fillId="0" borderId="0">
      <alignment horizontal="center" wrapText="1"/>
      <protection locked="0"/>
    </xf>
    <xf numFmtId="10" fontId="106" fillId="50" borderId="1" applyNumberFormat="0" applyBorder="0" applyAlignment="0" applyProtection="0">
      <alignment vertical="center"/>
    </xf>
    <xf numFmtId="0" fontId="133" fillId="0" borderId="0">
      <alignment horizontal="center" wrapText="1"/>
      <protection locked="0"/>
    </xf>
    <xf numFmtId="0" fontId="133" fillId="0" borderId="0">
      <alignment horizontal="center" wrapText="1"/>
      <protection locked="0"/>
    </xf>
    <xf numFmtId="0" fontId="133" fillId="0" borderId="0">
      <alignment horizontal="center" wrapText="1"/>
      <protection locked="0"/>
    </xf>
    <xf numFmtId="0" fontId="0" fillId="0" borderId="0">
      <alignment vertical="center"/>
    </xf>
    <xf numFmtId="0" fontId="109" fillId="0" borderId="1" applyNumberFormat="0" applyFill="0" applyAlignment="0" applyProtection="0">
      <alignment vertical="center"/>
    </xf>
    <xf numFmtId="0" fontId="130" fillId="69" borderId="1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85" fontId="37" fillId="0" borderId="0" applyFont="0" applyFill="0" applyBorder="0" applyAlignment="0" applyProtection="0">
      <alignment vertical="center"/>
    </xf>
    <xf numFmtId="179" fontId="132" fillId="0" borderId="0">
      <alignment vertical="center"/>
    </xf>
    <xf numFmtId="179" fontId="132" fillId="0" borderId="0">
      <alignment vertical="center"/>
    </xf>
    <xf numFmtId="179" fontId="132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79" fontId="132" fillId="0" borderId="0"/>
    <xf numFmtId="0" fontId="43" fillId="0" borderId="0">
      <alignment vertical="center"/>
    </xf>
    <xf numFmtId="0" fontId="0" fillId="0" borderId="0">
      <alignment vertical="center"/>
    </xf>
    <xf numFmtId="179" fontId="132" fillId="0" borderId="0"/>
    <xf numFmtId="179" fontId="132" fillId="0" borderId="0"/>
    <xf numFmtId="179" fontId="132" fillId="0" borderId="0"/>
    <xf numFmtId="179" fontId="132" fillId="0" borderId="0"/>
    <xf numFmtId="179" fontId="132" fillId="0" borderId="0"/>
    <xf numFmtId="0" fontId="43" fillId="0" borderId="0">
      <alignment vertical="center"/>
    </xf>
    <xf numFmtId="0" fontId="43" fillId="0" borderId="0">
      <alignment vertical="center"/>
    </xf>
    <xf numFmtId="179" fontId="132" fillId="0" borderId="0"/>
    <xf numFmtId="179" fontId="132" fillId="0" borderId="0"/>
    <xf numFmtId="186" fontId="37" fillId="0" borderId="0" applyFont="0" applyFill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182" fontId="132" fillId="0" borderId="0">
      <alignment vertical="center"/>
    </xf>
    <xf numFmtId="0" fontId="80" fillId="0" borderId="0" applyNumberFormat="0" applyBorder="0" applyAlignment="0" applyProtection="0"/>
    <xf numFmtId="182" fontId="132" fillId="0" borderId="0">
      <alignment vertical="center"/>
    </xf>
    <xf numFmtId="182" fontId="132" fillId="0" borderId="0">
      <alignment vertical="center"/>
    </xf>
    <xf numFmtId="182" fontId="132" fillId="0" borderId="0">
      <alignment vertical="center"/>
    </xf>
    <xf numFmtId="182" fontId="132" fillId="0" borderId="0">
      <alignment vertical="center"/>
    </xf>
    <xf numFmtId="182" fontId="132" fillId="0" borderId="0">
      <alignment vertical="center"/>
    </xf>
    <xf numFmtId="182" fontId="132" fillId="0" borderId="0">
      <alignment vertical="center"/>
    </xf>
    <xf numFmtId="182" fontId="132" fillId="0" borderId="0">
      <alignment vertical="center"/>
    </xf>
    <xf numFmtId="182" fontId="132" fillId="0" borderId="0">
      <alignment vertical="center"/>
    </xf>
    <xf numFmtId="0" fontId="43" fillId="0" borderId="0">
      <alignment vertical="center"/>
    </xf>
    <xf numFmtId="182" fontId="132" fillId="0" borderId="0"/>
    <xf numFmtId="0" fontId="43" fillId="0" borderId="0">
      <alignment vertical="center"/>
    </xf>
    <xf numFmtId="182" fontId="132" fillId="0" borderId="0"/>
    <xf numFmtId="182" fontId="132" fillId="0" borderId="0"/>
    <xf numFmtId="40" fontId="109" fillId="0" borderId="1" applyFill="0" applyAlignment="0" applyProtection="0">
      <alignment vertical="center"/>
    </xf>
    <xf numFmtId="182" fontId="132" fillId="0" borderId="0"/>
    <xf numFmtId="40" fontId="109" fillId="0" borderId="1" applyFill="0" applyAlignment="0" applyProtection="0">
      <alignment vertical="center"/>
    </xf>
    <xf numFmtId="182" fontId="132" fillId="0" borderId="0"/>
    <xf numFmtId="40" fontId="109" fillId="0" borderId="1" applyFill="0" applyAlignment="0" applyProtection="0">
      <alignment vertical="center"/>
    </xf>
    <xf numFmtId="182" fontId="132" fillId="0" borderId="0"/>
    <xf numFmtId="40" fontId="109" fillId="0" borderId="1" applyFill="0" applyAlignment="0" applyProtection="0">
      <alignment vertical="center"/>
    </xf>
    <xf numFmtId="182" fontId="132" fillId="0" borderId="0"/>
    <xf numFmtId="40" fontId="109" fillId="0" borderId="1" applyFill="0" applyAlignment="0" applyProtection="0">
      <alignment vertical="center"/>
    </xf>
    <xf numFmtId="182" fontId="132" fillId="0" borderId="0"/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182" fontId="132" fillId="0" borderId="0"/>
    <xf numFmtId="40" fontId="109" fillId="0" borderId="1" applyFill="0" applyAlignment="0" applyProtection="0">
      <alignment vertical="center"/>
    </xf>
    <xf numFmtId="182" fontId="132" fillId="0" borderId="0"/>
    <xf numFmtId="40" fontId="109" fillId="0" borderId="1" applyFill="0" applyAlignment="0" applyProtection="0">
      <alignment vertical="center"/>
    </xf>
    <xf numFmtId="182" fontId="132" fillId="0" borderId="0"/>
    <xf numFmtId="40" fontId="109" fillId="0" borderId="1" applyFill="0" applyAlignment="0" applyProtection="0">
      <alignment vertical="center"/>
    </xf>
    <xf numFmtId="182" fontId="132" fillId="0" borderId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82" fontId="132" fillId="0" borderId="0"/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82" fontId="132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82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2" fontId="132" fillId="0" borderId="0">
      <alignment vertical="center"/>
    </xf>
    <xf numFmtId="15" fontId="11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15" fontId="11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15" fontId="113" fillId="0" borderId="0">
      <alignment vertical="center"/>
    </xf>
    <xf numFmtId="0" fontId="115" fillId="15" borderId="36" applyNumberFormat="0" applyAlignment="0" applyProtection="0">
      <alignment vertical="center"/>
    </xf>
    <xf numFmtId="15" fontId="113" fillId="0" borderId="0">
      <alignment vertical="center"/>
    </xf>
    <xf numFmtId="15" fontId="113" fillId="0" borderId="0">
      <alignment vertical="center"/>
    </xf>
    <xf numFmtId="15" fontId="113" fillId="0" borderId="0">
      <alignment vertical="center"/>
    </xf>
    <xf numFmtId="15" fontId="113" fillId="0" borderId="0">
      <alignment vertical="center"/>
    </xf>
    <xf numFmtId="15" fontId="113" fillId="0" borderId="0">
      <alignment vertical="center"/>
    </xf>
    <xf numFmtId="15" fontId="113" fillId="0" borderId="0">
      <alignment vertical="center"/>
    </xf>
    <xf numFmtId="15" fontId="113" fillId="0" borderId="0"/>
    <xf numFmtId="0" fontId="43" fillId="0" borderId="0">
      <alignment vertical="center"/>
    </xf>
    <xf numFmtId="15" fontId="113" fillId="0" borderId="0"/>
    <xf numFmtId="0" fontId="124" fillId="51" borderId="36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15" fontId="113" fillId="0" borderId="0"/>
    <xf numFmtId="15" fontId="113" fillId="0" borderId="0"/>
    <xf numFmtId="15" fontId="113" fillId="0" borderId="0"/>
    <xf numFmtId="0" fontId="80" fillId="0" borderId="0" applyNumberFormat="0" applyBorder="0" applyAlignment="0" applyProtection="0">
      <alignment vertical="center"/>
    </xf>
    <xf numFmtId="15" fontId="113" fillId="0" borderId="0">
      <alignment vertical="center"/>
    </xf>
    <xf numFmtId="15" fontId="113" fillId="0" borderId="0">
      <alignment vertical="center"/>
    </xf>
    <xf numFmtId="15" fontId="113" fillId="0" borderId="0">
      <alignment vertical="center"/>
    </xf>
    <xf numFmtId="15" fontId="113" fillId="0" borderId="0">
      <alignment vertical="center"/>
    </xf>
    <xf numFmtId="15" fontId="113" fillId="0" borderId="0">
      <alignment vertical="center"/>
    </xf>
    <xf numFmtId="177" fontId="37" fillId="0" borderId="0"/>
    <xf numFmtId="15" fontId="113" fillId="0" borderId="0">
      <alignment vertical="center"/>
    </xf>
    <xf numFmtId="0" fontId="115" fillId="15" borderId="36" applyNumberFormat="0" applyAlignment="0" applyProtection="0">
      <alignment vertical="center"/>
    </xf>
    <xf numFmtId="0" fontId="109" fillId="0" borderId="1" applyNumberFormat="0" applyFill="0" applyAlignment="0" applyProtection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183" fontId="132" fillId="0" borderId="0">
      <alignment vertical="center"/>
    </xf>
    <xf numFmtId="10" fontId="106" fillId="50" borderId="1" applyNumberFormat="0" applyBorder="0" applyAlignment="0" applyProtection="0">
      <alignment vertical="center"/>
    </xf>
    <xf numFmtId="183" fontId="132" fillId="0" borderId="0">
      <alignment vertical="center"/>
    </xf>
    <xf numFmtId="10" fontId="106" fillId="50" borderId="1" applyNumberFormat="0" applyBorder="0" applyAlignment="0" applyProtection="0">
      <alignment vertical="center"/>
    </xf>
    <xf numFmtId="183" fontId="132" fillId="0" borderId="0">
      <alignment vertical="center"/>
    </xf>
    <xf numFmtId="183" fontId="132" fillId="0" borderId="0">
      <alignment vertical="center"/>
    </xf>
    <xf numFmtId="183" fontId="132" fillId="0" borderId="0">
      <alignment vertical="center"/>
    </xf>
    <xf numFmtId="0" fontId="0" fillId="0" borderId="0">
      <alignment vertical="center"/>
    </xf>
    <xf numFmtId="183" fontId="132" fillId="0" borderId="0">
      <alignment vertical="center"/>
    </xf>
    <xf numFmtId="0" fontId="0" fillId="0" borderId="0">
      <alignment vertical="center"/>
    </xf>
    <xf numFmtId="183" fontId="132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183" fontId="132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183" fontId="132" fillId="0" borderId="0">
      <alignment vertical="center"/>
    </xf>
    <xf numFmtId="0" fontId="0" fillId="0" borderId="0">
      <alignment vertical="center"/>
    </xf>
    <xf numFmtId="183" fontId="132" fillId="0" borderId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83" fontId="132" fillId="0" borderId="0"/>
    <xf numFmtId="183" fontId="132" fillId="0" borderId="0"/>
    <xf numFmtId="183" fontId="132" fillId="0" borderId="0"/>
    <xf numFmtId="40" fontId="109" fillId="0" borderId="1" applyFill="0" applyAlignment="0" applyProtection="0">
      <alignment vertical="center"/>
    </xf>
    <xf numFmtId="183" fontId="132" fillId="0" borderId="0"/>
    <xf numFmtId="40" fontId="109" fillId="0" borderId="1" applyFill="0" applyAlignment="0" applyProtection="0">
      <alignment vertical="center"/>
    </xf>
    <xf numFmtId="183" fontId="132" fillId="0" borderId="0"/>
    <xf numFmtId="40" fontId="109" fillId="0" borderId="1" applyFill="0" applyAlignment="0" applyProtection="0">
      <alignment vertical="center"/>
    </xf>
    <xf numFmtId="183" fontId="132" fillId="0" borderId="0"/>
    <xf numFmtId="40" fontId="109" fillId="0" borderId="1" applyFill="0" applyAlignment="0" applyProtection="0">
      <alignment vertical="center"/>
    </xf>
    <xf numFmtId="183" fontId="132" fillId="0" borderId="0"/>
    <xf numFmtId="40" fontId="109" fillId="0" borderId="1" applyFill="0" applyAlignment="0" applyProtection="0">
      <alignment vertical="center"/>
    </xf>
    <xf numFmtId="183" fontId="132" fillId="0" borderId="0"/>
    <xf numFmtId="40" fontId="109" fillId="0" borderId="1" applyFill="0" applyAlignment="0" applyProtection="0">
      <alignment vertical="center"/>
    </xf>
    <xf numFmtId="183" fontId="132" fillId="0" borderId="0"/>
    <xf numFmtId="0" fontId="110" fillId="0" borderId="0">
      <alignment vertical="center"/>
    </xf>
    <xf numFmtId="183" fontId="132" fillId="0" borderId="0"/>
    <xf numFmtId="183" fontId="132" fillId="0" borderId="0"/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83" fontId="132" fillId="0" borderId="0"/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83" fontId="132" fillId="0" borderId="0"/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83" fontId="132" fillId="0" borderId="0"/>
    <xf numFmtId="0" fontId="99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183" fontId="132" fillId="0" borderId="0"/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183" fontId="132" fillId="0" borderId="0"/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37" fillId="0" borderId="16" applyNumberFormat="0" applyFill="0" applyProtection="0">
      <alignment horizontal="left"/>
    </xf>
    <xf numFmtId="183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3" fontId="1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2" fillId="15" borderId="37" applyNumberFormat="0" applyAlignment="0" applyProtection="0">
      <alignment vertical="center"/>
    </xf>
    <xf numFmtId="0" fontId="0" fillId="0" borderId="0">
      <alignment vertical="center"/>
    </xf>
    <xf numFmtId="0" fontId="102" fillId="15" borderId="37" applyNumberFormat="0" applyAlignment="0" applyProtection="0">
      <alignment vertical="center"/>
    </xf>
    <xf numFmtId="0" fontId="0" fillId="0" borderId="0">
      <alignment vertical="center"/>
    </xf>
    <xf numFmtId="0" fontId="102" fillId="15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/>
    <xf numFmtId="10" fontId="106" fillId="50" borderId="1" applyNumberFormat="0" applyBorder="0" applyAlignment="0" applyProtection="0">
      <alignment vertical="center"/>
    </xf>
    <xf numFmtId="0" fontId="0" fillId="0" borderId="0"/>
    <xf numFmtId="0" fontId="110" fillId="0" borderId="0">
      <alignment vertical="center"/>
    </xf>
    <xf numFmtId="0" fontId="0" fillId="0" borderId="0"/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45" fillId="0" borderId="43" applyNumberFormat="0" applyFill="0" applyAlignment="0" applyProtection="0">
      <alignment vertical="center"/>
    </xf>
    <xf numFmtId="0" fontId="0" fillId="0" borderId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43" fillId="0" borderId="0">
      <alignment vertical="center"/>
    </xf>
    <xf numFmtId="0" fontId="0" fillId="0" borderId="0"/>
    <xf numFmtId="0" fontId="43" fillId="0" borderId="0">
      <alignment vertical="center"/>
    </xf>
    <xf numFmtId="0" fontId="113" fillId="0" borderId="0">
      <alignment vertical="center"/>
    </xf>
    <xf numFmtId="0" fontId="0" fillId="0" borderId="0"/>
    <xf numFmtId="0" fontId="0" fillId="0" borderId="0"/>
    <xf numFmtId="0" fontId="0" fillId="0" borderId="0"/>
    <xf numFmtId="0" fontId="43" fillId="0" borderId="0">
      <alignment vertical="center"/>
    </xf>
    <xf numFmtId="0" fontId="110" fillId="0" borderId="0">
      <alignment vertical="center"/>
    </xf>
    <xf numFmtId="0" fontId="0" fillId="0" borderId="0"/>
    <xf numFmtId="0" fontId="0" fillId="0" borderId="0"/>
    <xf numFmtId="0" fontId="43" fillId="0" borderId="0">
      <alignment vertical="center"/>
    </xf>
    <xf numFmtId="0" fontId="1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0" fillId="0" borderId="0">
      <alignment vertical="center"/>
    </xf>
    <xf numFmtId="178" fontId="135" fillId="73" borderId="0">
      <alignment vertical="center"/>
    </xf>
    <xf numFmtId="181" fontId="4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left" vertical="center"/>
    </xf>
    <xf numFmtId="38" fontId="106" fillId="1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38" fontId="106" fillId="15" borderId="0" applyNumberFormat="0" applyBorder="0" applyAlignment="0" applyProtection="0"/>
    <xf numFmtId="0" fontId="100" fillId="0" borderId="16" applyNumberFormat="0" applyFill="0" applyProtection="0">
      <alignment horizontal="center" vertical="center"/>
    </xf>
    <xf numFmtId="38" fontId="106" fillId="15" borderId="0" applyNumberFormat="0" applyBorder="0" applyAlignment="0" applyProtection="0"/>
    <xf numFmtId="0" fontId="110" fillId="0" borderId="0" applyNumberFormat="0" applyFont="0" applyAlignment="0" applyProtection="0">
      <alignment vertical="center"/>
    </xf>
    <xf numFmtId="38" fontId="106" fillId="15" borderId="0" applyNumberFormat="0" applyBorder="0" applyAlignment="0" applyProtection="0"/>
    <xf numFmtId="0" fontId="100" fillId="0" borderId="16" applyNumberFormat="0" applyFill="0" applyProtection="0">
      <alignment horizontal="center" vertical="center"/>
    </xf>
    <xf numFmtId="0" fontId="110" fillId="0" borderId="0" applyNumberFormat="0" applyFont="0" applyAlignment="0" applyProtection="0">
      <alignment vertical="center"/>
    </xf>
    <xf numFmtId="38" fontId="106" fillId="15" borderId="0" applyNumberFormat="0" applyBorder="0" applyAlignment="0" applyProtection="0"/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38" fontId="106" fillId="15" borderId="0" applyNumberFormat="0" applyBorder="0" applyAlignment="0" applyProtection="0"/>
    <xf numFmtId="38" fontId="106" fillId="15" borderId="0" applyNumberFormat="0" applyBorder="0" applyAlignment="0" applyProtection="0"/>
    <xf numFmtId="38" fontId="106" fillId="15" borderId="0" applyNumberFormat="0" applyBorder="0" applyAlignment="0" applyProtection="0"/>
    <xf numFmtId="0" fontId="110" fillId="0" borderId="0">
      <alignment vertical="center"/>
    </xf>
    <xf numFmtId="38" fontId="106" fillId="1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26" fillId="11" borderId="0" applyNumberFormat="0" applyBorder="0" applyAlignment="0" applyProtection="0"/>
    <xf numFmtId="0" fontId="110" fillId="12" borderId="0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25" fillId="0" borderId="11">
      <alignment horizontal="left" vertical="center"/>
    </xf>
    <xf numFmtId="38" fontId="106" fillId="1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13" fillId="0" borderId="0">
      <alignment vertical="center"/>
    </xf>
    <xf numFmtId="38" fontId="106" fillId="15" borderId="0" applyNumberFormat="0" applyBorder="0" applyAlignment="0" applyProtection="0"/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13" fillId="0" borderId="0">
      <alignment vertical="center"/>
    </xf>
    <xf numFmtId="38" fontId="106" fillId="15" borderId="0" applyNumberFormat="0" applyBorder="0" applyAlignment="0" applyProtection="0"/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13" fillId="0" borderId="0">
      <alignment vertical="center"/>
    </xf>
    <xf numFmtId="38" fontId="106" fillId="15" borderId="0" applyNumberFormat="0" applyBorder="0" applyAlignment="0" applyProtection="0"/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13" fillId="0" borderId="0">
      <alignment vertical="center"/>
    </xf>
    <xf numFmtId="38" fontId="106" fillId="15" borderId="0" applyNumberFormat="0" applyBorder="0" applyAlignment="0" applyProtection="0"/>
    <xf numFmtId="0" fontId="100" fillId="0" borderId="16" applyNumberFormat="0" applyFill="0" applyProtection="0">
      <alignment horizontal="center"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13" fillId="0" borderId="0">
      <alignment vertical="center"/>
    </xf>
    <xf numFmtId="38" fontId="106" fillId="15" borderId="0" applyNumberFormat="0" applyBorder="0" applyAlignment="0" applyProtection="0"/>
    <xf numFmtId="0" fontId="100" fillId="0" borderId="16" applyNumberFormat="0" applyFill="0" applyProtection="0">
      <alignment horizontal="center"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13" fillId="0" borderId="0">
      <alignment vertical="center"/>
    </xf>
    <xf numFmtId="38" fontId="106" fillId="15" borderId="0" applyNumberFormat="0" applyBorder="0" applyAlignment="0" applyProtection="0"/>
    <xf numFmtId="0" fontId="100" fillId="0" borderId="16" applyNumberFormat="0" applyFill="0" applyProtection="0">
      <alignment horizontal="center"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13" fillId="0" borderId="0">
      <alignment vertical="center"/>
    </xf>
    <xf numFmtId="38" fontId="106" fillId="15" borderId="0" applyNumberFormat="0" applyBorder="0" applyAlignment="0" applyProtection="0"/>
    <xf numFmtId="0" fontId="100" fillId="0" borderId="16" applyNumberFormat="0" applyFill="0" applyProtection="0">
      <alignment horizontal="center" vertical="center"/>
    </xf>
    <xf numFmtId="0" fontId="80" fillId="9" borderId="0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38" fontId="106" fillId="15" borderId="0" applyNumberFormat="0" applyBorder="0" applyAlignment="0" applyProtection="0">
      <alignment vertical="center"/>
    </xf>
    <xf numFmtId="0" fontId="125" fillId="0" borderId="47" applyNumberFormat="0" applyAlignment="0" applyProtection="0">
      <alignment horizontal="left" vertical="center"/>
    </xf>
    <xf numFmtId="0" fontId="45" fillId="0" borderId="0">
      <alignment vertical="center"/>
    </xf>
    <xf numFmtId="0" fontId="125" fillId="0" borderId="47" applyNumberFormat="0" applyAlignment="0" applyProtection="0">
      <alignment horizontal="left" vertical="center"/>
    </xf>
    <xf numFmtId="0" fontId="125" fillId="0" borderId="47" applyNumberFormat="0" applyAlignment="0" applyProtection="0">
      <alignment horizontal="left" vertical="center"/>
    </xf>
    <xf numFmtId="0" fontId="125" fillId="0" borderId="47" applyNumberFormat="0" applyAlignment="0" applyProtection="0">
      <alignment horizontal="left" vertical="center"/>
    </xf>
    <xf numFmtId="0" fontId="125" fillId="0" borderId="47" applyNumberFormat="0" applyAlignment="0" applyProtection="0">
      <alignment horizontal="left" vertical="center"/>
    </xf>
    <xf numFmtId="0" fontId="125" fillId="0" borderId="47" applyNumberFormat="0" applyAlignment="0" applyProtection="0">
      <alignment horizontal="left" vertical="center"/>
    </xf>
    <xf numFmtId="0" fontId="125" fillId="0" borderId="47" applyNumberFormat="0" applyAlignment="0" applyProtection="0">
      <alignment horizontal="left" vertical="center"/>
    </xf>
    <xf numFmtId="0" fontId="125" fillId="0" borderId="47" applyNumberFormat="0" applyAlignment="0" applyProtection="0">
      <alignment horizontal="left" vertical="center"/>
    </xf>
    <xf numFmtId="0" fontId="125" fillId="0" borderId="47" applyNumberFormat="0" applyAlignment="0" applyProtection="0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80" fillId="0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44" fillId="0" borderId="48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44" fillId="0" borderId="48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00" fillId="0" borderId="16" applyNumberFormat="0" applyFill="0" applyProtection="0">
      <alignment horizontal="center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6" fillId="11" borderId="0" applyNumberFormat="0" applyBorder="0" applyAlignment="0" applyProtection="0"/>
    <xf numFmtId="0" fontId="125" fillId="0" borderId="11">
      <alignment horizontal="left" vertical="center"/>
    </xf>
    <xf numFmtId="0" fontId="80" fillId="0" borderId="0" applyNumberFormat="0" applyBorder="0" applyAlignment="0" applyProtection="0"/>
    <xf numFmtId="0" fontId="113" fillId="0" borderId="0">
      <alignment vertical="center"/>
    </xf>
    <xf numFmtId="0" fontId="113" fillId="0" borderId="0">
      <alignment vertical="center"/>
    </xf>
    <xf numFmtId="0" fontId="125" fillId="0" borderId="11">
      <alignment horizontal="left" vertical="center"/>
    </xf>
    <xf numFmtId="0" fontId="113" fillId="0" borderId="0">
      <alignment vertical="center"/>
    </xf>
    <xf numFmtId="0" fontId="113" fillId="0" borderId="0">
      <alignment vertical="center"/>
    </xf>
    <xf numFmtId="0" fontId="80" fillId="0" borderId="0" applyNumberFormat="0" applyBorder="0" applyAlignment="0" applyProtection="0"/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10" fillId="0" borderId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/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/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/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/>
    <xf numFmtId="0" fontId="125" fillId="0" borderId="11">
      <alignment horizontal="left"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10" fillId="0" borderId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81" fontId="4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26" fillId="0" borderId="0" applyNumberFormat="0" applyBorder="0" applyAlignment="0" applyProtection="0"/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18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5" fillId="0" borderId="0">
      <alignment vertical="center"/>
    </xf>
    <xf numFmtId="0" fontId="125" fillId="0" borderId="11">
      <alignment horizontal="left" vertical="center"/>
    </xf>
    <xf numFmtId="0" fontId="45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09" fillId="0" borderId="1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6" fillId="11" borderId="0" applyNumberFormat="0" applyBorder="0" applyAlignment="0" applyProtection="0"/>
    <xf numFmtId="0" fontId="80" fillId="15" borderId="0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80" fillId="15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10" fillId="0" borderId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4" fillId="51" borderId="36" applyNumberFormat="0" applyAlignment="0" applyProtection="0">
      <alignment vertical="center"/>
    </xf>
    <xf numFmtId="0" fontId="125" fillId="0" borderId="11">
      <alignment horizontal="left" vertical="center"/>
    </xf>
    <xf numFmtId="0" fontId="124" fillId="51" borderId="36" applyNumberFormat="0" applyAlignment="0" applyProtection="0">
      <alignment vertical="center"/>
    </xf>
    <xf numFmtId="0" fontId="125" fillId="0" borderId="11">
      <alignment horizontal="left" vertical="center"/>
    </xf>
    <xf numFmtId="0" fontId="124" fillId="51" borderId="36" applyNumberFormat="0" applyAlignment="0" applyProtection="0">
      <alignment vertical="center"/>
    </xf>
    <xf numFmtId="0" fontId="125" fillId="0" borderId="11">
      <alignment horizontal="left" vertical="center"/>
    </xf>
    <xf numFmtId="0" fontId="124" fillId="51" borderId="36" applyNumberFormat="0" applyAlignment="0" applyProtection="0">
      <alignment vertical="center"/>
    </xf>
    <xf numFmtId="177" fontId="37" fillId="0" borderId="0"/>
    <xf numFmtId="0" fontId="125" fillId="0" borderId="11">
      <alignment horizontal="left" vertical="center"/>
    </xf>
    <xf numFmtId="0" fontId="124" fillId="51" borderId="36" applyNumberFormat="0" applyAlignment="0" applyProtection="0">
      <alignment vertical="center"/>
    </xf>
    <xf numFmtId="0" fontId="125" fillId="0" borderId="11">
      <alignment horizontal="left" vertical="center"/>
    </xf>
    <xf numFmtId="0" fontId="124" fillId="51" borderId="36" applyNumberFormat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10" fillId="0" borderId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80" fillId="0" borderId="0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55" borderId="0" applyNumberFormat="0" applyBorder="0" applyAlignment="0" applyProtection="0">
      <alignment vertical="center"/>
    </xf>
    <xf numFmtId="0" fontId="110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55" borderId="0" applyNumberFormat="0" applyBorder="0" applyAlignment="0" applyProtection="0">
      <alignment vertical="center"/>
    </xf>
    <xf numFmtId="0" fontId="110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9" fontId="45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80" fillId="61" borderId="0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58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125" fillId="0" borderId="11">
      <alignment horizontal="left" vertical="center"/>
    </xf>
    <xf numFmtId="0" fontId="110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5" fillId="0" borderId="0"/>
    <xf numFmtId="40" fontId="109" fillId="0" borderId="1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0" fontId="125" fillId="0" borderId="11">
      <alignment horizontal="left" vertical="center"/>
    </xf>
    <xf numFmtId="0" fontId="80" fillId="65" borderId="0" applyNumberFormat="0" applyBorder="0" applyAlignment="0" applyProtection="0"/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5" fontId="113" fillId="0" borderId="0" applyFont="0" applyFill="0" applyBorder="0" applyAlignment="0" applyProtection="0"/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80" fillId="9" borderId="0" applyNumberFormat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80" fillId="9" borderId="0" applyNumberFormat="0" applyAlignment="0" applyProtection="0">
      <alignment vertical="center"/>
    </xf>
    <xf numFmtId="0" fontId="125" fillId="0" borderId="11">
      <alignment horizontal="left" vertical="center"/>
    </xf>
    <xf numFmtId="0" fontId="80" fillId="9" borderId="0" applyNumberFormat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5" fillId="15" borderId="36" applyNumberFormat="0" applyAlignment="0" applyProtection="0">
      <alignment vertical="center"/>
    </xf>
    <xf numFmtId="0" fontId="125" fillId="0" borderId="11">
      <alignment horizontal="left" vertical="center"/>
    </xf>
    <xf numFmtId="0" fontId="80" fillId="9" borderId="0" applyNumberFormat="0" applyAlignment="0" applyProtection="0">
      <alignment vertical="center"/>
    </xf>
    <xf numFmtId="0" fontId="125" fillId="0" borderId="11">
      <alignment horizontal="left" vertical="center"/>
    </xf>
    <xf numFmtId="0" fontId="80" fillId="9" borderId="0" applyNumberFormat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00" fillId="0" borderId="16" applyNumberFormat="0" applyFill="0" applyProtection="0">
      <alignment horizontal="center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5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00" fillId="0" borderId="16" applyNumberFormat="0" applyFill="0" applyProtection="0">
      <alignment horizontal="center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0" fillId="0" borderId="0">
      <alignment vertical="center"/>
    </xf>
    <xf numFmtId="0" fontId="110" fillId="0" borderId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80" fillId="65" borderId="0" applyNumberFormat="0" applyBorder="0" applyAlignment="0" applyProtection="0">
      <alignment vertical="center"/>
    </xf>
    <xf numFmtId="0" fontId="110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80" fillId="0" borderId="0" applyNumberFormat="0" applyBorder="0" applyAlignment="0" applyProtection="0"/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16" fillId="0" borderId="42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45" fillId="52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0" fillId="0" borderId="16" applyNumberFormat="0" applyFill="0" applyProtection="0">
      <alignment horizontal="center" vertical="center"/>
    </xf>
    <xf numFmtId="0" fontId="125" fillId="0" borderId="11">
      <alignment horizontal="left"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0" fillId="0" borderId="16" applyNumberFormat="0" applyFill="0" applyProtection="0">
      <alignment horizontal="center" vertical="center"/>
    </xf>
    <xf numFmtId="0" fontId="125" fillId="0" borderId="11">
      <alignment horizontal="left" vertical="center"/>
    </xf>
    <xf numFmtId="0" fontId="100" fillId="0" borderId="16" applyNumberFormat="0" applyFill="0" applyProtection="0">
      <alignment horizontal="center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34" fillId="0" borderId="42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02" fillId="15" borderId="37" applyNumberFormat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0" fontId="125" fillId="0" borderId="11">
      <alignment horizontal="left" vertical="center"/>
    </xf>
    <xf numFmtId="0" fontId="108" fillId="7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8" fillId="7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8" fillId="74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5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3" fontId="113" fillId="0" borderId="0" applyFont="0" applyFill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37" fontId="139" fillId="0" borderId="0"/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5" fillId="0" borderId="11">
      <alignment horizontal="left" vertical="center"/>
    </xf>
    <xf numFmtId="0" fontId="108" fillId="55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25" fillId="0" borderId="11">
      <alignment horizontal="left" vertical="center"/>
    </xf>
    <xf numFmtId="0" fontId="80" fillId="0" borderId="0" applyNumberFormat="0" applyBorder="0" applyAlignment="0" applyProtection="0"/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80" fillId="60" borderId="0" applyNumberFormat="0" applyAlignment="0" applyProtection="0">
      <alignment vertical="center"/>
    </xf>
    <xf numFmtId="0" fontId="125" fillId="0" borderId="11">
      <alignment horizontal="left" vertical="center"/>
    </xf>
    <xf numFmtId="0" fontId="80" fillId="60" borderId="0" applyNumberFormat="0" applyAlignment="0" applyProtection="0">
      <alignment vertical="center"/>
    </xf>
    <xf numFmtId="0" fontId="125" fillId="0" borderId="11">
      <alignment horizontal="left" vertical="center"/>
    </xf>
    <xf numFmtId="0" fontId="80" fillId="9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80" fillId="9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0" fillId="0" borderId="0">
      <alignment vertical="center"/>
    </xf>
    <xf numFmtId="0" fontId="110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10" fillId="0" borderId="0">
      <alignment vertical="center"/>
    </xf>
    <xf numFmtId="0" fontId="110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7" fillId="68" borderId="44">
      <protection locked="0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7" fillId="68" borderId="44">
      <protection locked="0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26" fillId="9" borderId="0" applyNumberFormat="0" applyBorder="0" applyAlignment="0" applyProtection="0"/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7" fillId="68" borderId="44">
      <protection locked="0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8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13" fillId="0" borderId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13" fillId="0" borderId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08" fillId="75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5" borderId="0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80" fillId="0" borderId="0" applyNumberFormat="0" applyFill="0" applyAlignment="0" applyProtection="0">
      <alignment vertical="center"/>
    </xf>
    <xf numFmtId="0" fontId="125" fillId="0" borderId="11">
      <alignment horizontal="left" vertical="center"/>
    </xf>
    <xf numFmtId="0" fontId="80" fillId="0" borderId="0" applyNumberFormat="0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43" fillId="0" borderId="0">
      <alignment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117" fillId="15" borderId="37" applyNumberFormat="0" applyAlignment="0" applyProtection="0">
      <alignment vertical="center"/>
    </xf>
    <xf numFmtId="0" fontId="125" fillId="0" borderId="11">
      <alignment horizontal="left" vertical="center"/>
    </xf>
    <xf numFmtId="0" fontId="43" fillId="0" borderId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5" fillId="0" borderId="11">
      <alignment horizontal="left" vertical="center"/>
    </xf>
    <xf numFmtId="0" fontId="80" fillId="9" borderId="0" applyNumberFormat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3" fillId="0" borderId="0"/>
    <xf numFmtId="0" fontId="110" fillId="0" borderId="0">
      <alignment vertical="center"/>
    </xf>
    <xf numFmtId="0" fontId="45" fillId="0" borderId="0">
      <alignment vertical="center"/>
    </xf>
    <xf numFmtId="0" fontId="110" fillId="0" borderId="0" applyNumberFormat="0" applyBorder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0" fontId="125" fillId="0" borderId="11">
      <alignment horizontal="left"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13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13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0" fontId="125" fillId="0" borderId="11">
      <alignment horizontal="left"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/>
    <xf numFmtId="0" fontId="45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/>
    <xf numFmtId="10" fontId="106" fillId="50" borderId="1" applyNumberFormat="0" applyBorder="0" applyAlignment="0" applyProtection="0"/>
    <xf numFmtId="10" fontId="106" fillId="50" borderId="1" applyNumberFormat="0" applyBorder="0" applyAlignment="0" applyProtection="0"/>
    <xf numFmtId="10" fontId="106" fillId="50" borderId="1" applyNumberFormat="0" applyBorder="0" applyAlignment="0" applyProtection="0"/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/>
    <xf numFmtId="10" fontId="106" fillId="50" borderId="1" applyNumberFormat="0" applyBorder="0" applyAlignment="0" applyProtection="0"/>
    <xf numFmtId="10" fontId="106" fillId="50" borderId="1" applyNumberFormat="0" applyBorder="0" applyAlignment="0" applyProtection="0"/>
    <xf numFmtId="0" fontId="80" fillId="9" borderId="0" applyNumberFormat="0" applyAlignment="0" applyProtection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0" fontId="110" fillId="0" borderId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3" fillId="0" borderId="38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80" fillId="51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1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1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7" fontId="37" fillId="0" borderId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7" fontId="37" fillId="0" borderId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13" fillId="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13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3" fillId="0" borderId="38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0" borderId="0" applyNumberFormat="0" applyBorder="0" applyAlignment="0" applyProtection="0"/>
    <xf numFmtId="0" fontId="80" fillId="9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0" borderId="0" applyNumberFormat="0" applyBorder="0" applyAlignment="0" applyProtection="0"/>
    <xf numFmtId="0" fontId="80" fillId="9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80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5" fillId="0" borderId="39" applyNumberFormat="0" applyFill="0" applyProtection="0">
      <alignment horizont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5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5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80" fillId="0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6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6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6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6" fillId="50" borderId="1" applyNumberFormat="0" applyBorder="0" applyAlignment="0" applyProtection="0">
      <alignment vertical="center"/>
    </xf>
    <xf numFmtId="177" fontId="37" fillId="0" borderId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13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27" fillId="68" borderId="44">
      <protection locked="0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87" fontId="113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0" borderId="0"/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1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40" fontId="12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40" fontId="12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44" fillId="0" borderId="48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46" fillId="0" borderId="48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0" fontId="80" fillId="60" borderId="0" applyNumberFormat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" fontId="113" fillId="0" borderId="0" applyFont="0" applyFill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80" fillId="15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78" fontId="135" fillId="73" borderId="0">
      <alignment vertical="center"/>
    </xf>
    <xf numFmtId="10" fontId="106" fillId="50" borderId="1" applyNumberFormat="0" applyBorder="0" applyAlignment="0" applyProtection="0">
      <alignment vertical="center"/>
    </xf>
    <xf numFmtId="178" fontId="135" fillId="73" borderId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2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80" fillId="0" borderId="0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3" fontId="113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10" fontId="106" fillId="50" borderId="1" applyNumberFormat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28" fillId="0" borderId="0" applyNumberFormat="0" applyFill="0" applyBorder="0" applyAlignment="0" applyProtection="0"/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/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0" fillId="0" borderId="0">
      <alignment vertical="center"/>
    </xf>
    <xf numFmtId="10" fontId="106" fillId="50" borderId="1" applyNumberFormat="0" applyBorder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10" fontId="106" fillId="50" borderId="1" applyNumberFormat="0" applyBorder="0" applyAlignment="0" applyProtection="0">
      <alignment vertical="center"/>
    </xf>
    <xf numFmtId="178" fontId="135" fillId="73" borderId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178" fontId="135" fillId="73" borderId="0"/>
    <xf numFmtId="178" fontId="135" fillId="73" borderId="0"/>
    <xf numFmtId="0" fontId="124" fillId="51" borderId="36" applyNumberFormat="0" applyAlignment="0" applyProtection="0">
      <alignment vertical="center"/>
    </xf>
    <xf numFmtId="178" fontId="135" fillId="73" borderId="0"/>
    <xf numFmtId="0" fontId="124" fillId="51" borderId="36" applyNumberFormat="0" applyAlignment="0" applyProtection="0">
      <alignment vertical="center"/>
    </xf>
    <xf numFmtId="178" fontId="135" fillId="73" borderId="0"/>
    <xf numFmtId="0" fontId="124" fillId="51" borderId="36" applyNumberFormat="0" applyAlignment="0" applyProtection="0">
      <alignment vertical="center"/>
    </xf>
    <xf numFmtId="178" fontId="135" fillId="73" borderId="0"/>
    <xf numFmtId="0" fontId="124" fillId="51" borderId="36" applyNumberFormat="0" applyAlignment="0" applyProtection="0">
      <alignment vertical="center"/>
    </xf>
    <xf numFmtId="178" fontId="135" fillId="73" borderId="0"/>
    <xf numFmtId="0" fontId="124" fillId="51" borderId="36" applyNumberFormat="0" applyAlignment="0" applyProtection="0">
      <alignment vertical="center"/>
    </xf>
    <xf numFmtId="178" fontId="135" fillId="73" borderId="0"/>
    <xf numFmtId="0" fontId="124" fillId="51" borderId="36" applyNumberFormat="0" applyAlignment="0" applyProtection="0">
      <alignment vertical="center"/>
    </xf>
    <xf numFmtId="178" fontId="135" fillId="73" borderId="0"/>
    <xf numFmtId="0" fontId="124" fillId="51" borderId="36" applyNumberFormat="0" applyAlignment="0" applyProtection="0">
      <alignment vertical="center"/>
    </xf>
    <xf numFmtId="178" fontId="135" fillId="73" borderId="0"/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178" fontId="135" fillId="73" borderId="0"/>
    <xf numFmtId="178" fontId="135" fillId="73" borderId="0"/>
    <xf numFmtId="178" fontId="135" fillId="73" borderId="0"/>
    <xf numFmtId="178" fontId="135" fillId="73" borderId="0"/>
    <xf numFmtId="178" fontId="135" fillId="73" borderId="0"/>
    <xf numFmtId="178" fontId="135" fillId="73" borderId="0"/>
    <xf numFmtId="178" fontId="135" fillId="73" borderId="0"/>
    <xf numFmtId="0" fontId="37" fillId="0" borderId="16" applyNumberFormat="0" applyFill="0" applyProtection="0">
      <alignment horizontal="right" vertical="center"/>
    </xf>
    <xf numFmtId="178" fontId="135" fillId="73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178" fontId="135" fillId="73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178" fontId="135" fillId="73" borderId="0">
      <alignment vertical="center"/>
    </xf>
    <xf numFmtId="0" fontId="126" fillId="11" borderId="0" applyNumberFormat="0" applyBorder="0" applyAlignment="0" applyProtection="0"/>
    <xf numFmtId="178" fontId="135" fillId="73" borderId="0">
      <alignment vertical="center"/>
    </xf>
    <xf numFmtId="178" fontId="121" fillId="67" borderId="0">
      <alignment vertical="center"/>
    </xf>
    <xf numFmtId="178" fontId="121" fillId="67" borderId="0">
      <alignment vertical="center"/>
    </xf>
    <xf numFmtId="178" fontId="121" fillId="67" borderId="0">
      <alignment vertical="center"/>
    </xf>
    <xf numFmtId="178" fontId="121" fillId="67" borderId="0">
      <alignment vertical="center"/>
    </xf>
    <xf numFmtId="0" fontId="43" fillId="0" borderId="0">
      <alignment vertical="center"/>
    </xf>
    <xf numFmtId="178" fontId="121" fillId="67" borderId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78" fontId="121" fillId="67" borderId="0"/>
    <xf numFmtId="40" fontId="109" fillId="0" borderId="1" applyFill="0" applyAlignment="0" applyProtection="0">
      <alignment vertical="center"/>
    </xf>
    <xf numFmtId="178" fontId="121" fillId="67" borderId="0"/>
    <xf numFmtId="40" fontId="109" fillId="0" borderId="1" applyFill="0" applyAlignment="0" applyProtection="0">
      <alignment vertical="center"/>
    </xf>
    <xf numFmtId="178" fontId="121" fillId="67" borderId="0"/>
    <xf numFmtId="40" fontId="109" fillId="0" borderId="1" applyFill="0" applyAlignment="0" applyProtection="0">
      <alignment vertical="center"/>
    </xf>
    <xf numFmtId="178" fontId="121" fillId="67" borderId="0"/>
    <xf numFmtId="40" fontId="109" fillId="0" borderId="1" applyFill="0" applyAlignment="0" applyProtection="0">
      <alignment vertical="center"/>
    </xf>
    <xf numFmtId="0" fontId="80" fillId="65" borderId="0" applyNumberFormat="0" applyBorder="0" applyAlignment="0" applyProtection="0"/>
    <xf numFmtId="178" fontId="121" fillId="67" borderId="0"/>
    <xf numFmtId="178" fontId="121" fillId="67" borderId="0"/>
    <xf numFmtId="178" fontId="121" fillId="67" borderId="0"/>
    <xf numFmtId="178" fontId="121" fillId="67" borderId="0"/>
    <xf numFmtId="178" fontId="121" fillId="67" borderId="0"/>
    <xf numFmtId="178" fontId="121" fillId="67" borderId="0"/>
    <xf numFmtId="178" fontId="121" fillId="67" borderId="0"/>
    <xf numFmtId="0" fontId="117" fillId="15" borderId="37" applyNumberFormat="0" applyAlignment="0" applyProtection="0">
      <alignment vertical="center"/>
    </xf>
    <xf numFmtId="38" fontId="113" fillId="0" borderId="0" applyFont="0" applyFill="0" applyBorder="0" applyAlignment="0" applyProtection="0">
      <alignment vertical="center"/>
    </xf>
    <xf numFmtId="0" fontId="37" fillId="0" borderId="0" applyFon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188" fontId="113" fillId="0" borderId="0" applyFont="0" applyFill="0" applyBorder="0" applyAlignment="0" applyProtection="0">
      <alignment vertical="center"/>
    </xf>
    <xf numFmtId="189" fontId="37" fillId="0" borderId="0" applyFont="0" applyFill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>
      <alignment vertical="center"/>
    </xf>
    <xf numFmtId="0" fontId="132" fillId="0" borderId="0">
      <alignment vertical="center"/>
    </xf>
    <xf numFmtId="0" fontId="132" fillId="0" borderId="0">
      <alignment vertical="center"/>
    </xf>
    <xf numFmtId="0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/>
    <xf numFmtId="0" fontId="132" fillId="0" borderId="0"/>
    <xf numFmtId="0" fontId="132" fillId="0" borderId="0"/>
    <xf numFmtId="0" fontId="132" fillId="0" borderId="0"/>
    <xf numFmtId="0" fontId="110" fillId="0" borderId="0">
      <alignment vertical="center"/>
    </xf>
    <xf numFmtId="0" fontId="132" fillId="0" borderId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/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/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2" fillId="0" borderId="0">
      <alignment vertical="center"/>
    </xf>
    <xf numFmtId="0" fontId="132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37" fontId="139" fillId="0" borderId="0">
      <alignment vertical="center"/>
    </xf>
    <xf numFmtId="37" fontId="139" fillId="0" borderId="0">
      <alignment vertical="center"/>
    </xf>
    <xf numFmtId="37" fontId="139" fillId="0" borderId="0">
      <alignment vertical="center"/>
    </xf>
    <xf numFmtId="37" fontId="139" fillId="0" borderId="0"/>
    <xf numFmtId="37" fontId="139" fillId="0" borderId="0"/>
    <xf numFmtId="37" fontId="139" fillId="0" borderId="0"/>
    <xf numFmtId="37" fontId="139" fillId="0" borderId="0"/>
    <xf numFmtId="37" fontId="139" fillId="0" borderId="0"/>
    <xf numFmtId="37" fontId="139" fillId="0" borderId="0"/>
    <xf numFmtId="37" fontId="139" fillId="0" borderId="0"/>
    <xf numFmtId="37" fontId="139" fillId="0" borderId="0"/>
    <xf numFmtId="0" fontId="80" fillId="59" borderId="0" applyNumberFormat="0" applyBorder="0" applyAlignment="0" applyProtection="0"/>
    <xf numFmtId="0" fontId="110" fillId="0" borderId="0">
      <alignment vertical="center"/>
    </xf>
    <xf numFmtId="37" fontId="139" fillId="0" borderId="0"/>
    <xf numFmtId="37" fontId="139" fillId="0" borderId="0"/>
    <xf numFmtId="0" fontId="110" fillId="0" borderId="0">
      <alignment vertical="center"/>
    </xf>
    <xf numFmtId="37" fontId="139" fillId="0" borderId="0"/>
    <xf numFmtId="0" fontId="110" fillId="0" borderId="0">
      <alignment vertical="center"/>
    </xf>
    <xf numFmtId="37" fontId="139" fillId="0" borderId="0"/>
    <xf numFmtId="37" fontId="139" fillId="0" borderId="0"/>
    <xf numFmtId="37" fontId="139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7" fontId="139" fillId="0" borderId="0">
      <alignment vertical="center"/>
    </xf>
    <xf numFmtId="37" fontId="139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37" fontId="139" fillId="0" borderId="0">
      <alignment vertical="center"/>
    </xf>
    <xf numFmtId="37" fontId="139" fillId="0" borderId="0">
      <alignment vertical="center"/>
    </xf>
    <xf numFmtId="37" fontId="139" fillId="0" borderId="0">
      <alignment vertical="center"/>
    </xf>
    <xf numFmtId="37" fontId="139" fillId="0" borderId="0">
      <alignment vertical="center"/>
    </xf>
    <xf numFmtId="0" fontId="43" fillId="0" borderId="0">
      <alignment vertical="center"/>
    </xf>
    <xf numFmtId="37" fontId="139" fillId="0" borderId="0">
      <alignment vertical="center"/>
    </xf>
    <xf numFmtId="177" fontId="37" fillId="0" borderId="0">
      <alignment vertical="center"/>
    </xf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177" fontId="37" fillId="0" borderId="0"/>
    <xf numFmtId="0" fontId="45" fillId="0" borderId="0">
      <alignment vertical="center"/>
    </xf>
    <xf numFmtId="177" fontId="37" fillId="0" borderId="0"/>
    <xf numFmtId="177" fontId="37" fillId="0" borderId="0"/>
    <xf numFmtId="177" fontId="37" fillId="0" borderId="0"/>
    <xf numFmtId="177" fontId="37" fillId="0" borderId="0"/>
    <xf numFmtId="0" fontId="80" fillId="60" borderId="0" applyNumberFormat="0" applyAlignment="0" applyProtection="0">
      <alignment vertical="center"/>
    </xf>
    <xf numFmtId="177" fontId="37" fillId="0" borderId="0">
      <alignment vertical="center"/>
    </xf>
    <xf numFmtId="40" fontId="109" fillId="0" borderId="1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77" fontId="37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2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7" fillId="68" borderId="44">
      <alignment vertical="center"/>
      <protection locked="0"/>
    </xf>
    <xf numFmtId="40" fontId="109" fillId="0" borderId="1" applyFill="0" applyAlignment="0" applyProtection="0">
      <alignment vertical="center"/>
    </xf>
    <xf numFmtId="0" fontId="127" fillId="68" borderId="44">
      <alignment vertical="center"/>
      <protection locked="0"/>
    </xf>
    <xf numFmtId="40" fontId="109" fillId="0" borderId="1" applyFill="0" applyAlignment="0" applyProtection="0">
      <alignment vertical="center"/>
    </xf>
    <xf numFmtId="0" fontId="127" fillId="68" borderId="44">
      <alignment vertical="center"/>
      <protection locked="0"/>
    </xf>
    <xf numFmtId="40" fontId="109" fillId="0" borderId="1" applyFill="0" applyAlignment="0" applyProtection="0">
      <alignment vertical="center"/>
    </xf>
    <xf numFmtId="0" fontId="127" fillId="68" borderId="44">
      <alignment vertical="center"/>
      <protection locked="0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7" fillId="68" borderId="44">
      <protection locked="0"/>
    </xf>
    <xf numFmtId="40" fontId="109" fillId="0" borderId="1" applyFill="0" applyAlignment="0" applyProtection="0">
      <alignment vertical="center"/>
    </xf>
    <xf numFmtId="0" fontId="127" fillId="68" borderId="44">
      <protection locked="0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left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left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left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80" fillId="0" borderId="0" applyNumberFormat="0" applyBorder="0" applyAlignment="0" applyProtection="0"/>
    <xf numFmtId="0" fontId="113" fillId="0" borderId="0">
      <alignment vertical="center"/>
    </xf>
    <xf numFmtId="40" fontId="109" fillId="0" borderId="1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80" fillId="0" borderId="0" applyNumberFormat="0" applyBorder="0" applyAlignment="0" applyProtection="0"/>
    <xf numFmtId="0" fontId="11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0" borderId="0" applyNumberFormat="0" applyBorder="0" applyAlignment="0" applyProtection="0"/>
    <xf numFmtId="0" fontId="45" fillId="0" borderId="0">
      <alignment vertical="center"/>
    </xf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0" borderId="0" applyNumberFormat="0" applyBorder="0" applyAlignment="0" applyProtection="0"/>
    <xf numFmtId="0" fontId="45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0" fillId="0" borderId="0"/>
    <xf numFmtId="0" fontId="113" fillId="0" borderId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0" fillId="0" borderId="0"/>
    <xf numFmtId="0" fontId="113" fillId="0" borderId="0">
      <alignment vertical="center"/>
    </xf>
    <xf numFmtId="0" fontId="80" fillId="0" borderId="0" applyNumberFormat="0" applyBorder="0" applyAlignment="0" applyProtection="0"/>
    <xf numFmtId="0" fontId="80" fillId="0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80" fillId="0" borderId="0" applyNumberFormat="0" applyBorder="0" applyAlignment="0" applyProtection="0"/>
    <xf numFmtId="0" fontId="80" fillId="0" borderId="0" applyNumberFormat="0" applyBorder="0" applyAlignment="0" applyProtection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2" fillId="0" borderId="40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116" fillId="0" borderId="42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3" fillId="0" borderId="38">
      <alignment horizont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3" fillId="0" borderId="38">
      <alignment horizontal="center"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3" fillId="0" borderId="38">
      <alignment horizontal="center"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40" fillId="60" borderId="4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9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6" fillId="11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6" fillId="11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6" fillId="11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8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30" fillId="69" borderId="1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" fontId="113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99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15" fontId="113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15" fontId="113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37" fillId="0" borderId="0" applyFont="0" applyFill="0" applyBorder="0" applyAlignment="0" applyProtection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110" fillId="77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0" fillId="77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110" fillId="77" borderId="0" applyNumberFormat="0" applyBorder="0" applyAlignment="0" applyProtection="0"/>
    <xf numFmtId="40" fontId="109" fillId="0" borderId="1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14" fontId="133" fillId="0" borderId="0">
      <alignment horizontal="center" vertical="center" wrapText="1"/>
      <protection locked="0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0" fillId="0" borderId="0">
      <alignment vertical="center"/>
    </xf>
    <xf numFmtId="0" fontId="102" fillId="15" borderId="37" applyNumberFormat="0" applyAlignment="0" applyProtection="0">
      <alignment vertical="center"/>
    </xf>
    <xf numFmtId="0" fontId="110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80" fillId="0" borderId="0" applyNumberFormat="0" applyBorder="0" applyAlignment="0" applyProtection="0"/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19" fillId="74" borderId="0" applyNumberFormat="0" applyBorder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09" fillId="0" borderId="1" applyFill="0" applyAlignment="0" applyProtection="0">
      <alignment vertical="center"/>
    </xf>
    <xf numFmtId="14" fontId="133" fillId="0" borderId="0">
      <alignment horizontal="center" vertical="center" wrapText="1"/>
      <protection locked="0"/>
    </xf>
    <xf numFmtId="14" fontId="133" fillId="0" borderId="0">
      <alignment horizontal="center" vertical="center" wrapText="1"/>
      <protection locked="0"/>
    </xf>
    <xf numFmtId="14" fontId="133" fillId="0" borderId="0">
      <alignment horizontal="center" vertical="center" wrapText="1"/>
      <protection locked="0"/>
    </xf>
    <xf numFmtId="14" fontId="133" fillId="0" borderId="0">
      <alignment horizontal="center" vertical="center" wrapText="1"/>
      <protection locked="0"/>
    </xf>
    <xf numFmtId="14" fontId="133" fillId="0" borderId="0">
      <alignment horizontal="center" vertical="center" wrapText="1"/>
      <protection locked="0"/>
    </xf>
    <xf numFmtId="14" fontId="133" fillId="0" borderId="0">
      <alignment horizontal="center" vertical="center" wrapText="1"/>
      <protection locked="0"/>
    </xf>
    <xf numFmtId="0" fontId="43" fillId="0" borderId="0">
      <alignment vertical="center"/>
    </xf>
    <xf numFmtId="0" fontId="43" fillId="0" borderId="0">
      <alignment vertical="center"/>
    </xf>
    <xf numFmtId="14" fontId="133" fillId="0" borderId="0">
      <alignment horizontal="center" vertical="center" wrapText="1"/>
      <protection locked="0"/>
    </xf>
    <xf numFmtId="0" fontId="43" fillId="0" borderId="0">
      <alignment vertical="center"/>
    </xf>
    <xf numFmtId="0" fontId="43" fillId="0" borderId="0">
      <alignment vertical="center"/>
    </xf>
    <xf numFmtId="14" fontId="133" fillId="0" borderId="0">
      <alignment horizontal="center" vertical="center" wrapText="1"/>
      <protection locked="0"/>
    </xf>
    <xf numFmtId="0" fontId="43" fillId="0" borderId="0">
      <alignment vertical="center"/>
    </xf>
    <xf numFmtId="0" fontId="43" fillId="0" borderId="0">
      <alignment vertical="center"/>
    </xf>
    <xf numFmtId="14" fontId="133" fillId="0" borderId="0">
      <alignment horizontal="center" vertical="center" wrapText="1"/>
      <protection locked="0"/>
    </xf>
    <xf numFmtId="14" fontId="133" fillId="0" borderId="0">
      <alignment horizontal="center" wrapText="1"/>
      <protection locked="0"/>
    </xf>
    <xf numFmtId="14" fontId="133" fillId="0" borderId="0">
      <alignment horizontal="center" wrapText="1"/>
      <protection locked="0"/>
    </xf>
    <xf numFmtId="14" fontId="133" fillId="0" borderId="0">
      <alignment horizontal="center" wrapText="1"/>
      <protection locked="0"/>
    </xf>
    <xf numFmtId="14" fontId="133" fillId="0" borderId="0">
      <alignment horizontal="center" wrapText="1"/>
      <protection locked="0"/>
    </xf>
    <xf numFmtId="14" fontId="133" fillId="0" borderId="0">
      <alignment horizontal="center" wrapText="1"/>
      <protection locked="0"/>
    </xf>
    <xf numFmtId="14" fontId="133" fillId="0" borderId="0">
      <alignment horizontal="center" wrapText="1"/>
      <protection locked="0"/>
    </xf>
    <xf numFmtId="0" fontId="45" fillId="0" borderId="0"/>
    <xf numFmtId="0" fontId="108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4" fontId="133" fillId="0" borderId="0">
      <alignment horizontal="center" wrapText="1"/>
      <protection locked="0"/>
    </xf>
    <xf numFmtId="14" fontId="133" fillId="0" borderId="0">
      <alignment horizontal="center" wrapText="1"/>
      <protection locked="0"/>
    </xf>
    <xf numFmtId="0" fontId="45" fillId="0" borderId="43" applyNumberFormat="0" applyFill="0" applyAlignment="0" applyProtection="0">
      <alignment vertical="center"/>
    </xf>
    <xf numFmtId="14" fontId="133" fillId="0" borderId="0">
      <alignment horizontal="center" wrapText="1"/>
      <protection locked="0"/>
    </xf>
    <xf numFmtId="0" fontId="45" fillId="0" borderId="43" applyNumberFormat="0" applyFill="0" applyAlignment="0" applyProtection="0">
      <alignment vertical="center"/>
    </xf>
    <xf numFmtId="14" fontId="133" fillId="0" borderId="0">
      <alignment horizontal="center" wrapText="1"/>
      <protection locked="0"/>
    </xf>
    <xf numFmtId="0" fontId="45" fillId="0" borderId="43" applyNumberFormat="0" applyFill="0" applyAlignment="0" applyProtection="0">
      <alignment vertical="center"/>
    </xf>
    <xf numFmtId="14" fontId="133" fillId="0" borderId="0">
      <alignment horizontal="center" wrapText="1"/>
      <protection locked="0"/>
    </xf>
    <xf numFmtId="14" fontId="133" fillId="0" borderId="0">
      <alignment horizontal="center" wrapText="1"/>
      <protection locked="0"/>
    </xf>
    <xf numFmtId="14" fontId="133" fillId="0" borderId="0">
      <alignment horizontal="center" wrapText="1"/>
      <protection locked="0"/>
    </xf>
    <xf numFmtId="14" fontId="133" fillId="0" borderId="0">
      <alignment horizontal="center" wrapText="1"/>
      <protection locked="0"/>
    </xf>
    <xf numFmtId="14" fontId="133" fillId="0" borderId="0">
      <alignment horizontal="center" vertical="center" wrapText="1"/>
      <protection locked="0"/>
    </xf>
    <xf numFmtId="14" fontId="133" fillId="0" borderId="0">
      <alignment horizontal="center" vertical="center" wrapText="1"/>
      <protection locked="0"/>
    </xf>
    <xf numFmtId="14" fontId="133" fillId="0" borderId="0">
      <alignment horizontal="center" vertical="center" wrapText="1"/>
      <protection locked="0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10" fontId="37" fillId="0" borderId="0" applyFont="0" applyFill="0" applyBorder="0" applyAlignment="0" applyProtection="0"/>
    <xf numFmtId="0" fontId="26" fillId="0" borderId="0" applyNumberFormat="0" applyBorder="0" applyAlignment="0" applyProtection="0"/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0" fontId="103" fillId="0" borderId="38">
      <alignment horizontal="center" vertical="center"/>
    </xf>
    <xf numFmtId="10" fontId="37" fillId="0" borderId="0" applyFont="0" applyFill="0" applyBorder="0" applyAlignment="0" applyProtection="0"/>
    <xf numFmtId="0" fontId="103" fillId="0" borderId="38">
      <alignment horizontal="center" vertical="center"/>
    </xf>
    <xf numFmtId="10" fontId="37" fillId="0" borderId="0" applyFont="0" applyFill="0" applyBorder="0" applyAlignment="0" applyProtection="0"/>
    <xf numFmtId="0" fontId="103" fillId="0" borderId="38">
      <alignment horizontal="center" vertical="center"/>
    </xf>
    <xf numFmtId="10" fontId="37" fillId="0" borderId="0" applyFon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10" fillId="74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37" fillId="0" borderId="0" applyFon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9" fontId="123" fillId="0" borderId="0" applyFont="0" applyFill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30" fillId="69" borderId="1" applyAlignment="0" applyProtection="0">
      <alignment vertical="center"/>
    </xf>
    <xf numFmtId="40" fontId="130" fillId="69" borderId="1" applyAlignment="0" applyProtection="0">
      <alignment vertical="center"/>
    </xf>
    <xf numFmtId="40" fontId="109" fillId="0" borderId="1" applyFill="0" applyAlignment="0" applyProtection="0">
      <alignment vertical="center"/>
    </xf>
    <xf numFmtId="40" fontId="130" fillId="69" borderId="1" applyAlignment="0" applyProtection="0">
      <alignment vertical="center"/>
    </xf>
    <xf numFmtId="40" fontId="10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0" fontId="130" fillId="69" borderId="1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90" fontId="37" fillId="0" borderId="0" applyFont="0" applyFill="0" applyProtection="0">
      <alignment vertical="center"/>
    </xf>
    <xf numFmtId="0" fontId="113" fillId="0" borderId="0" applyNumberFormat="0" applyFont="0" applyFill="0" applyBorder="0" applyAlignment="0" applyProtection="0">
      <alignment horizontal="left" vertical="center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0" fontId="110" fillId="0" borderId="0">
      <alignment vertical="center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0" fontId="113" fillId="0" borderId="0" applyNumberFormat="0" applyFont="0" applyFill="0" applyBorder="0" applyAlignment="0" applyProtection="0">
      <alignment horizontal="left"/>
    </xf>
    <xf numFmtId="15" fontId="1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3" fillId="0" borderId="0" applyFont="0" applyFill="0" applyBorder="0" applyAlignment="0" applyProtection="0"/>
    <xf numFmtId="15" fontId="113" fillId="0" borderId="0" applyFont="0" applyFill="0" applyBorder="0" applyAlignment="0" applyProtection="0"/>
    <xf numFmtId="15" fontId="113" fillId="0" borderId="0" applyFont="0" applyFill="0" applyBorder="0" applyAlignment="0" applyProtection="0"/>
    <xf numFmtId="15" fontId="113" fillId="0" borderId="0" applyFont="0" applyFill="0" applyBorder="0" applyAlignment="0" applyProtection="0"/>
    <xf numFmtId="15" fontId="113" fillId="0" borderId="0" applyFont="0" applyFill="0" applyBorder="0" applyAlignment="0" applyProtection="0"/>
    <xf numFmtId="15" fontId="113" fillId="0" borderId="0" applyFont="0" applyFill="0" applyBorder="0" applyAlignment="0" applyProtection="0"/>
    <xf numFmtId="0" fontId="134" fillId="0" borderId="42" applyNumberFormat="0" applyFill="0" applyAlignment="0" applyProtection="0">
      <alignment vertical="center"/>
    </xf>
    <xf numFmtId="15" fontId="113" fillId="0" borderId="0" applyFont="0" applyFill="0" applyBorder="0" applyAlignment="0" applyProtection="0"/>
    <xf numFmtId="15" fontId="113" fillId="0" borderId="0" applyFont="0" applyFill="0" applyBorder="0" applyAlignment="0" applyProtection="0"/>
    <xf numFmtId="0" fontId="80" fillId="0" borderId="0" applyNumberFormat="0" applyBorder="0" applyAlignment="0" applyProtection="0"/>
    <xf numFmtId="15" fontId="113" fillId="0" borderId="0" applyFont="0" applyFill="0" applyBorder="0" applyAlignment="0" applyProtection="0"/>
    <xf numFmtId="0" fontId="80" fillId="0" borderId="0" applyNumberFormat="0" applyBorder="0" applyAlignment="0" applyProtection="0"/>
    <xf numFmtId="15" fontId="113" fillId="0" borderId="0" applyFont="0" applyFill="0" applyBorder="0" applyAlignment="0" applyProtection="0"/>
    <xf numFmtId="15" fontId="113" fillId="0" borderId="0" applyFont="0" applyFill="0" applyBorder="0" applyAlignment="0" applyProtection="0"/>
    <xf numFmtId="15" fontId="113" fillId="0" borderId="0" applyFont="0" applyFill="0" applyBorder="0" applyAlignment="0" applyProtection="0"/>
    <xf numFmtId="15" fontId="113" fillId="0" borderId="0" applyFont="0" applyFill="0" applyBorder="0" applyAlignment="0" applyProtection="0"/>
    <xf numFmtId="0" fontId="110" fillId="0" borderId="0" applyNumberFormat="0" applyBorder="0" applyAlignment="0" applyProtection="0">
      <alignment vertical="center"/>
    </xf>
    <xf numFmtId="15" fontId="113" fillId="0" borderId="0" applyFont="0" applyFill="0" applyBorder="0" applyAlignment="0" applyProtection="0"/>
    <xf numFmtId="0" fontId="110" fillId="0" borderId="0" applyNumberFormat="0" applyBorder="0" applyAlignment="0" applyProtection="0">
      <alignment vertical="center"/>
    </xf>
    <xf numFmtId="15" fontId="113" fillId="0" borderId="0" applyFont="0" applyFill="0" applyBorder="0" applyAlignment="0" applyProtection="0"/>
    <xf numFmtId="0" fontId="45" fillId="0" borderId="0">
      <alignment vertical="center"/>
    </xf>
    <xf numFmtId="15" fontId="113" fillId="0" borderId="0" applyFont="0" applyFill="0" applyBorder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15" fontId="113" fillId="0" borderId="0" applyFont="0" applyFill="0" applyBorder="0" applyAlignment="0" applyProtection="0">
      <alignment vertical="center"/>
    </xf>
    <xf numFmtId="4" fontId="113" fillId="0" borderId="0" applyFont="0" applyFill="0" applyBorder="0" applyAlignment="0" applyProtection="0"/>
    <xf numFmtId="4" fontId="113" fillId="0" borderId="0" applyFont="0" applyFill="0" applyBorder="0" applyAlignment="0" applyProtection="0"/>
    <xf numFmtId="4" fontId="113" fillId="0" borderId="0" applyFont="0" applyFill="0" applyBorder="0" applyAlignment="0" applyProtection="0"/>
    <xf numFmtId="4" fontId="113" fillId="0" borderId="0" applyFont="0" applyFill="0" applyBorder="0" applyAlignment="0" applyProtection="0"/>
    <xf numFmtId="4" fontId="113" fillId="0" borderId="0" applyFont="0" applyFill="0" applyBorder="0" applyAlignment="0" applyProtection="0"/>
    <xf numFmtId="4" fontId="113" fillId="0" borderId="0" applyFont="0" applyFill="0" applyBorder="0" applyAlignment="0" applyProtection="0"/>
    <xf numFmtId="4" fontId="113" fillId="0" borderId="0" applyFont="0" applyFill="0" applyBorder="0" applyAlignment="0" applyProtection="0"/>
    <xf numFmtId="0" fontId="110" fillId="0" borderId="0">
      <alignment vertical="center"/>
    </xf>
    <xf numFmtId="4" fontId="113" fillId="0" borderId="0" applyFont="0" applyFill="0" applyBorder="0" applyAlignment="0" applyProtection="0"/>
    <xf numFmtId="4" fontId="113" fillId="0" borderId="0" applyFont="0" applyFill="0" applyBorder="0" applyAlignment="0" applyProtection="0"/>
    <xf numFmtId="0" fontId="0" fillId="0" borderId="0">
      <alignment vertical="center"/>
    </xf>
    <xf numFmtId="4" fontId="113" fillId="0" borderId="0" applyFont="0" applyFill="0" applyBorder="0" applyAlignment="0" applyProtection="0"/>
    <xf numFmtId="0" fontId="0" fillId="0" borderId="0">
      <alignment vertical="center"/>
    </xf>
    <xf numFmtId="4" fontId="113" fillId="0" borderId="0" applyFont="0" applyFill="0" applyBorder="0" applyAlignment="0" applyProtection="0"/>
    <xf numFmtId="4" fontId="113" fillId="0" borderId="0" applyFont="0" applyFill="0" applyBorder="0" applyAlignment="0" applyProtection="0"/>
    <xf numFmtId="4" fontId="113" fillId="0" borderId="0" applyFont="0" applyFill="0" applyBorder="0" applyAlignment="0" applyProtection="0"/>
    <xf numFmtId="0" fontId="108" fillId="74" borderId="0" applyNumberFormat="0" applyBorder="0" applyAlignment="0" applyProtection="0">
      <alignment vertical="center"/>
    </xf>
    <xf numFmtId="4" fontId="113" fillId="0" borderId="0" applyFont="0" applyFill="0" applyBorder="0" applyAlignment="0" applyProtection="0"/>
    <xf numFmtId="0" fontId="108" fillId="74" borderId="0" applyNumberFormat="0" applyBorder="0" applyAlignment="0" applyProtection="0">
      <alignment vertical="center"/>
    </xf>
    <xf numFmtId="4" fontId="113" fillId="0" borderId="0" applyFont="0" applyFill="0" applyBorder="0" applyAlignment="0" applyProtection="0"/>
    <xf numFmtId="0" fontId="103" fillId="0" borderId="38">
      <alignment horizontal="center" vertical="center"/>
    </xf>
    <xf numFmtId="0" fontId="103" fillId="0" borderId="38">
      <alignment horizontal="center"/>
    </xf>
    <xf numFmtId="0" fontId="103" fillId="0" borderId="38">
      <alignment horizontal="center"/>
    </xf>
    <xf numFmtId="0" fontId="110" fillId="0" borderId="0">
      <alignment vertical="center"/>
    </xf>
    <xf numFmtId="0" fontId="103" fillId="0" borderId="38">
      <alignment horizontal="center"/>
    </xf>
    <xf numFmtId="0" fontId="103" fillId="0" borderId="38">
      <alignment horizontal="center"/>
    </xf>
    <xf numFmtId="0" fontId="103" fillId="0" borderId="38">
      <alignment horizontal="center"/>
    </xf>
    <xf numFmtId="0" fontId="103" fillId="0" borderId="38">
      <alignment horizont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80" fillId="0" borderId="0" applyNumberFormat="0" applyBorder="0" applyAlignment="0" applyProtection="0">
      <alignment vertical="center"/>
    </xf>
    <xf numFmtId="0" fontId="103" fillId="0" borderId="38">
      <alignment horizontal="center" vertical="center"/>
    </xf>
    <xf numFmtId="0" fontId="80" fillId="0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110" fillId="0" borderId="0">
      <alignment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17" fillId="15" borderId="37" applyNumberFormat="0" applyAlignment="0" applyProtection="0">
      <alignment vertical="center"/>
    </xf>
    <xf numFmtId="0" fontId="103" fillId="0" borderId="38">
      <alignment horizontal="center" vertical="center"/>
    </xf>
    <xf numFmtId="0" fontId="124" fillId="51" borderId="36" applyNumberFormat="0" applyAlignment="0" applyProtection="0">
      <alignment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124" fillId="51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24" fillId="51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24" fillId="51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99" fillId="15" borderId="36" applyNumberFormat="0" applyAlignment="0" applyProtection="0">
      <alignment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13" fillId="0" borderId="0">
      <alignment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80" fillId="0" borderId="0" applyNumberFormat="0" applyFill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02" fillId="15" borderId="37" applyNumberFormat="0" applyAlignment="0" applyProtection="0">
      <alignment vertical="center"/>
    </xf>
    <xf numFmtId="0" fontId="103" fillId="0" borderId="38">
      <alignment horizontal="center" vertical="center"/>
    </xf>
    <xf numFmtId="0" fontId="102" fillId="15" borderId="37" applyNumberFormat="0" applyAlignment="0" applyProtection="0">
      <alignment vertical="center"/>
    </xf>
    <xf numFmtId="0" fontId="80" fillId="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80" fillId="0" borderId="0" applyNumberFormat="0" applyFill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03" fillId="0" borderId="38">
      <alignment horizontal="center"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114" fillId="51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14" fillId="51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17" fillId="15" borderId="37" applyNumberFormat="0" applyAlignment="0" applyProtection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117" fillId="15" borderId="37" applyNumberFormat="0" applyAlignment="0" applyProtection="0">
      <alignment vertical="center"/>
    </xf>
    <xf numFmtId="0" fontId="0" fillId="0" borderId="0">
      <alignment vertical="center"/>
    </xf>
    <xf numFmtId="0" fontId="103" fillId="0" borderId="38">
      <alignment horizontal="center" vertical="center"/>
    </xf>
    <xf numFmtId="0" fontId="117" fillId="15" borderId="37" applyNumberFormat="0" applyAlignment="0" applyProtection="0">
      <alignment vertical="center"/>
    </xf>
    <xf numFmtId="0" fontId="103" fillId="0" borderId="38">
      <alignment horizontal="center" vertical="center"/>
    </xf>
    <xf numFmtId="0" fontId="117" fillId="15" borderId="37" applyNumberFormat="0" applyAlignment="0" applyProtection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14" fillId="51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110" fillId="0" borderId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80" fillId="9" borderId="0" applyNumberFormat="0" applyAlignment="0" applyProtection="0">
      <alignment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103" fillId="0" borderId="38">
      <alignment horizontal="center" vertical="center"/>
    </xf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0" fontId="99" fillId="15" borderId="36" applyNumberFormat="0" applyAlignment="0" applyProtection="0">
      <alignment vertical="center"/>
    </xf>
    <xf numFmtId="0" fontId="103" fillId="0" borderId="38">
      <alignment horizontal="center" vertical="center"/>
    </xf>
    <xf numFmtId="40" fontId="129" fillId="0" borderId="1" applyFill="0" applyAlignment="0" applyProtection="0">
      <alignment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03" fillId="0" borderId="38">
      <alignment horizontal="center"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03" fillId="0" borderId="38">
      <alignment horizontal="center" vertical="center"/>
    </xf>
    <xf numFmtId="0" fontId="117" fillId="15" borderId="37" applyNumberFormat="0" applyAlignment="0" applyProtection="0">
      <alignment vertical="center"/>
    </xf>
    <xf numFmtId="3" fontId="113" fillId="0" borderId="0" applyFont="0" applyFill="0" applyBorder="0" applyAlignment="0" applyProtection="0">
      <alignment vertical="center"/>
    </xf>
    <xf numFmtId="3" fontId="113" fillId="0" borderId="0" applyFont="0" applyFill="0" applyBorder="0" applyAlignment="0" applyProtection="0">
      <alignment vertical="center"/>
    </xf>
    <xf numFmtId="3" fontId="113" fillId="0" borderId="0" applyFont="0" applyFill="0" applyBorder="0" applyAlignment="0" applyProtection="0">
      <alignment vertical="center"/>
    </xf>
    <xf numFmtId="3" fontId="113" fillId="0" borderId="0" applyFont="0" applyFill="0" applyBorder="0" applyAlignment="0" applyProtection="0">
      <alignment vertical="center"/>
    </xf>
    <xf numFmtId="3" fontId="113" fillId="0" borderId="0" applyFont="0" applyFill="0" applyBorder="0" applyAlignment="0" applyProtection="0">
      <alignment vertical="center"/>
    </xf>
    <xf numFmtId="3" fontId="113" fillId="0" borderId="0" applyFont="0" applyFill="0" applyBorder="0" applyAlignment="0" applyProtection="0">
      <alignment vertical="center"/>
    </xf>
    <xf numFmtId="3" fontId="113" fillId="0" borderId="0" applyFont="0" applyFill="0" applyBorder="0" applyAlignment="0" applyProtection="0">
      <alignment vertical="center"/>
    </xf>
    <xf numFmtId="3" fontId="113" fillId="0" borderId="0" applyFont="0" applyFill="0" applyBorder="0" applyAlignment="0" applyProtection="0">
      <alignment vertical="center"/>
    </xf>
    <xf numFmtId="3" fontId="113" fillId="0" borderId="0" applyFont="0" applyFill="0" applyBorder="0" applyAlignment="0" applyProtection="0"/>
    <xf numFmtId="0" fontId="43" fillId="0" borderId="0">
      <alignment vertical="center"/>
    </xf>
    <xf numFmtId="3" fontId="113" fillId="0" borderId="0" applyFont="0" applyFill="0" applyBorder="0" applyAlignment="0" applyProtection="0"/>
    <xf numFmtId="0" fontId="43" fillId="0" borderId="0">
      <alignment vertical="center"/>
    </xf>
    <xf numFmtId="3" fontId="113" fillId="0" borderId="0" applyFont="0" applyFill="0" applyBorder="0" applyAlignment="0" applyProtection="0"/>
    <xf numFmtId="0" fontId="43" fillId="0" borderId="0">
      <alignment vertical="center"/>
    </xf>
    <xf numFmtId="3" fontId="113" fillId="0" borderId="0" applyFont="0" applyFill="0" applyBorder="0" applyAlignment="0" applyProtection="0"/>
    <xf numFmtId="3" fontId="113" fillId="0" borderId="0" applyFont="0" applyFill="0" applyBorder="0" applyAlignment="0" applyProtection="0"/>
    <xf numFmtId="3" fontId="113" fillId="0" borderId="0" applyFont="0" applyFill="0" applyBorder="0" applyAlignment="0" applyProtection="0"/>
    <xf numFmtId="3" fontId="113" fillId="0" borderId="0" applyFont="0" applyFill="0" applyBorder="0" applyAlignment="0" applyProtection="0"/>
    <xf numFmtId="3" fontId="113" fillId="0" borderId="0" applyFont="0" applyFill="0" applyBorder="0" applyAlignment="0" applyProtection="0"/>
    <xf numFmtId="3" fontId="113" fillId="0" borderId="0" applyFont="0" applyFill="0" applyBorder="0" applyAlignment="0" applyProtection="0"/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3" fontId="113" fillId="0" borderId="0" applyFont="0" applyFill="0" applyBorder="0" applyAlignment="0" applyProtection="0"/>
    <xf numFmtId="0" fontId="134" fillId="0" borderId="42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3" fontId="113" fillId="0" borderId="0" applyFont="0" applyFill="0" applyBorder="0" applyAlignment="0" applyProtection="0"/>
    <xf numFmtId="0" fontId="134" fillId="0" borderId="42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3" fontId="113" fillId="0" borderId="0" applyFont="0" applyFill="0" applyBorder="0" applyAlignment="0" applyProtection="0"/>
    <xf numFmtId="0" fontId="134" fillId="0" borderId="42" applyNumberFormat="0" applyFill="0" applyAlignment="0" applyProtection="0">
      <alignment vertical="center"/>
    </xf>
    <xf numFmtId="3" fontId="113" fillId="0" borderId="0" applyFont="0" applyFill="0" applyBorder="0" applyAlignment="0" applyProtection="0"/>
    <xf numFmtId="3" fontId="113" fillId="0" borderId="0" applyFont="0" applyFill="0" applyBorder="0" applyAlignment="0" applyProtection="0"/>
    <xf numFmtId="3" fontId="113" fillId="0" borderId="0" applyFont="0" applyFill="0" applyBorder="0" applyAlignment="0" applyProtection="0"/>
    <xf numFmtId="3" fontId="113" fillId="0" borderId="0" applyFont="0" applyFill="0" applyBorder="0" applyAlignment="0" applyProtection="0"/>
    <xf numFmtId="3" fontId="113" fillId="0" borderId="0" applyFont="0" applyFill="0" applyBorder="0" applyAlignment="0" applyProtection="0"/>
    <xf numFmtId="0" fontId="80" fillId="9" borderId="0" applyNumberFormat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3" fontId="113" fillId="0" borderId="0" applyFont="0" applyFill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80" fillId="9" borderId="0" applyNumberFormat="0" applyAlignment="0" applyProtection="0">
      <alignment vertical="center"/>
    </xf>
    <xf numFmtId="3" fontId="113" fillId="0" borderId="0" applyFont="0" applyFill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3" fontId="113" fillId="0" borderId="0" applyFont="0" applyFill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3" fontId="113" fillId="0" borderId="0" applyFont="0" applyFill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3" fontId="113" fillId="0" borderId="0" applyFont="0" applyFill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3" fontId="113" fillId="0" borderId="0" applyFont="0" applyFill="0" applyBorder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3" fontId="113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13" fillId="70" borderId="0" applyNumberFormat="0" applyFont="0" applyBorder="0" applyAlignment="0" applyProtection="0"/>
    <xf numFmtId="0" fontId="113" fillId="70" borderId="0" applyNumberFormat="0" applyFont="0" applyBorder="0" applyAlignment="0" applyProtection="0"/>
    <xf numFmtId="0" fontId="113" fillId="70" borderId="0" applyNumberFormat="0" applyFont="0" applyBorder="0" applyAlignment="0" applyProtection="0"/>
    <xf numFmtId="0" fontId="113" fillId="70" borderId="0" applyNumberFormat="0" applyFont="0" applyBorder="0" applyAlignment="0" applyProtection="0"/>
    <xf numFmtId="0" fontId="113" fillId="70" borderId="0" applyNumberFormat="0" applyFont="0" applyBorder="0" applyAlignment="0" applyProtection="0"/>
    <xf numFmtId="0" fontId="43" fillId="0" borderId="0">
      <alignment vertical="center"/>
    </xf>
    <xf numFmtId="0" fontId="80" fillId="0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13" fillId="70" borderId="0" applyNumberFormat="0" applyFont="0" applyBorder="0" applyAlignment="0" applyProtection="0"/>
    <xf numFmtId="0" fontId="43" fillId="0" borderId="0">
      <alignment vertical="center"/>
    </xf>
    <xf numFmtId="0" fontId="80" fillId="0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13" fillId="70" borderId="0" applyNumberFormat="0" applyFont="0" applyBorder="0" applyAlignment="0" applyProtection="0"/>
    <xf numFmtId="0" fontId="43" fillId="0" borderId="0">
      <alignment vertical="center"/>
    </xf>
    <xf numFmtId="0" fontId="113" fillId="70" borderId="0" applyNumberFormat="0" applyFont="0" applyBorder="0" applyAlignment="0" applyProtection="0"/>
    <xf numFmtId="0" fontId="43" fillId="0" borderId="0">
      <alignment vertical="center"/>
    </xf>
    <xf numFmtId="0" fontId="113" fillId="70" borderId="0" applyNumberFormat="0" applyFont="0" applyBorder="0" applyAlignment="0" applyProtection="0"/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3" fillId="70" borderId="0" applyNumberFormat="0" applyFont="0" applyBorder="0" applyAlignment="0" applyProtection="0"/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113" fillId="70" borderId="0" applyNumberFormat="0" applyFont="0" applyBorder="0" applyAlignment="0" applyProtection="0"/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113" fillId="70" borderId="0" applyNumberFormat="0" applyFont="0" applyBorder="0" applyAlignment="0" applyProtection="0"/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113" fillId="70" borderId="0" applyNumberFormat="0" applyFont="0" applyBorder="0" applyAlignment="0" applyProtection="0"/>
    <xf numFmtId="0" fontId="113" fillId="70" borderId="0" applyNumberFormat="0" applyFont="0" applyBorder="0" applyAlignment="0" applyProtection="0"/>
    <xf numFmtId="0" fontId="113" fillId="70" borderId="0" applyNumberFormat="0" applyFont="0" applyBorder="0" applyAlignment="0" applyProtection="0"/>
    <xf numFmtId="0" fontId="113" fillId="70" borderId="0" applyNumberFormat="0" applyFont="0" applyBorder="0" applyAlignment="0" applyProtection="0"/>
    <xf numFmtId="0" fontId="113" fillId="70" borderId="0" applyNumberFormat="0" applyFont="0" applyBorder="0" applyAlignment="0" applyProtection="0"/>
    <xf numFmtId="0" fontId="80" fillId="0" borderId="0" applyNumberForma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13" fillId="70" borderId="0" applyNumberFormat="0" applyFont="0" applyBorder="0" applyAlignment="0" applyProtection="0">
      <alignment vertical="center"/>
    </xf>
    <xf numFmtId="0" fontId="127" fillId="68" borderId="44">
      <alignment vertical="center"/>
      <protection locked="0"/>
    </xf>
    <xf numFmtId="0" fontId="43" fillId="0" borderId="0">
      <alignment vertical="center"/>
    </xf>
    <xf numFmtId="0" fontId="127" fillId="68" borderId="44">
      <alignment vertical="center"/>
      <protection locked="0"/>
    </xf>
    <xf numFmtId="0" fontId="43" fillId="0" borderId="0">
      <alignment vertical="center"/>
    </xf>
    <xf numFmtId="0" fontId="127" fillId="68" borderId="44">
      <alignment vertical="center"/>
      <protection locked="0"/>
    </xf>
    <xf numFmtId="0" fontId="43" fillId="0" borderId="0">
      <alignment vertical="center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102" fillId="15" borderId="37" applyNumberFormat="0" applyAlignment="0" applyProtection="0">
      <alignment vertical="center"/>
    </xf>
    <xf numFmtId="0" fontId="127" fillId="68" borderId="44">
      <alignment vertical="center"/>
      <protection locked="0"/>
    </xf>
    <xf numFmtId="0" fontId="127" fillId="68" borderId="44">
      <protection locked="0"/>
    </xf>
    <xf numFmtId="0" fontId="114" fillId="51" borderId="36" applyNumberFormat="0" applyAlignment="0" applyProtection="0">
      <alignment vertical="center"/>
    </xf>
    <xf numFmtId="0" fontId="127" fillId="68" borderId="44">
      <protection locked="0"/>
    </xf>
    <xf numFmtId="0" fontId="114" fillId="51" borderId="36" applyNumberFormat="0" applyAlignment="0" applyProtection="0">
      <alignment vertical="center"/>
    </xf>
    <xf numFmtId="0" fontId="127" fillId="68" borderId="44">
      <protection locked="0"/>
    </xf>
    <xf numFmtId="0" fontId="127" fillId="68" borderId="44">
      <protection locked="0"/>
    </xf>
    <xf numFmtId="0" fontId="127" fillId="68" borderId="44">
      <protection locked="0"/>
    </xf>
    <xf numFmtId="0" fontId="127" fillId="68" borderId="44">
      <protection locked="0"/>
    </xf>
    <xf numFmtId="0" fontId="45" fillId="0" borderId="43" applyNumberFormat="0" applyFill="0" applyAlignment="0" applyProtection="0">
      <alignment vertical="center"/>
    </xf>
    <xf numFmtId="0" fontId="127" fillId="68" borderId="44">
      <protection locked="0"/>
    </xf>
    <xf numFmtId="0" fontId="45" fillId="0" borderId="43" applyNumberFormat="0" applyFill="0" applyAlignment="0" applyProtection="0">
      <alignment vertical="center"/>
    </xf>
    <xf numFmtId="0" fontId="127" fillId="68" borderId="44">
      <protection locked="0"/>
    </xf>
    <xf numFmtId="0" fontId="127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80" fillId="0" borderId="0" applyNumberFormat="0" applyBorder="0" applyAlignment="0" applyProtection="0"/>
    <xf numFmtId="0" fontId="80" fillId="0" borderId="0" applyNumberFormat="0" applyBorder="0" applyAlignment="0" applyProtection="0"/>
    <xf numFmtId="176" fontId="0" fillId="0" borderId="0" applyFont="0" applyFill="0" applyBorder="0" applyAlignment="0" applyProtection="0">
      <alignment vertical="center"/>
    </xf>
    <xf numFmtId="0" fontId="127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7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7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7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7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7" fillId="68" borderId="44">
      <protection locked="0"/>
    </xf>
    <xf numFmtId="0" fontId="4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27" fillId="68" borderId="44">
      <protection locked="0"/>
    </xf>
    <xf numFmtId="0" fontId="43" fillId="0" borderId="0">
      <alignment vertical="center"/>
    </xf>
    <xf numFmtId="0" fontId="110" fillId="0" borderId="0">
      <alignment vertical="center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45" fillId="0" borderId="43" applyNumberFormat="0" applyFill="0" applyAlignment="0" applyProtection="0">
      <alignment vertical="center"/>
    </xf>
    <xf numFmtId="0" fontId="148" fillId="0" borderId="0">
      <alignment vertical="center"/>
    </xf>
    <xf numFmtId="0" fontId="45" fillId="0" borderId="0">
      <alignment vertical="center"/>
    </xf>
    <xf numFmtId="0" fontId="109" fillId="0" borderId="1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7" fillId="68" borderId="44">
      <alignment vertical="center"/>
      <protection locked="0"/>
    </xf>
    <xf numFmtId="0" fontId="0" fillId="0" borderId="0">
      <alignment vertical="center"/>
    </xf>
    <xf numFmtId="0" fontId="80" fillId="0" borderId="0">
      <alignment vertical="center"/>
    </xf>
    <xf numFmtId="0" fontId="127" fillId="68" borderId="44">
      <alignment vertical="center"/>
      <protection locked="0"/>
    </xf>
    <xf numFmtId="0" fontId="0" fillId="0" borderId="0">
      <alignment vertical="center"/>
    </xf>
    <xf numFmtId="0" fontId="80" fillId="0" borderId="0">
      <alignment vertical="center"/>
    </xf>
    <xf numFmtId="0" fontId="127" fillId="68" borderId="44">
      <alignment vertical="center"/>
      <protection locked="0"/>
    </xf>
    <xf numFmtId="0" fontId="0" fillId="0" borderId="0">
      <alignment vertical="center"/>
    </xf>
    <xf numFmtId="0" fontId="8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7" fillId="68" borderId="44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7" fillId="68" borderId="44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0" fontId="127" fillId="68" borderId="44">
      <alignment vertical="center"/>
      <protection locked="0"/>
    </xf>
    <xf numFmtId="0" fontId="0" fillId="0" borderId="0">
      <alignment vertical="center"/>
    </xf>
    <xf numFmtId="0" fontId="80" fillId="0" borderId="0">
      <alignment vertical="center"/>
    </xf>
    <xf numFmtId="0" fontId="127" fillId="68" borderId="44">
      <alignment vertical="center"/>
      <protection locked="0"/>
    </xf>
    <xf numFmtId="0" fontId="0" fillId="0" borderId="0">
      <alignment vertical="center"/>
    </xf>
    <xf numFmtId="0" fontId="80" fillId="0" borderId="0">
      <alignment vertical="center"/>
    </xf>
    <xf numFmtId="0" fontId="127" fillId="68" borderId="44">
      <alignment vertical="center"/>
      <protection locked="0"/>
    </xf>
    <xf numFmtId="0" fontId="0" fillId="0" borderId="0">
      <alignment vertical="center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127" fillId="68" borderId="44">
      <protection locked="0"/>
    </xf>
    <xf numFmtId="0" fontId="127" fillId="68" borderId="44">
      <protection locked="0"/>
    </xf>
    <xf numFmtId="0" fontId="127" fillId="68" borderId="44">
      <protection locked="0"/>
    </xf>
    <xf numFmtId="0" fontId="127" fillId="68" borderId="44">
      <protection locked="0"/>
    </xf>
    <xf numFmtId="0" fontId="127" fillId="68" borderId="44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7" fillId="68" borderId="44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7" fillId="68" borderId="44">
      <protection locked="0"/>
    </xf>
    <xf numFmtId="0" fontId="0" fillId="0" borderId="0">
      <alignment vertical="center"/>
    </xf>
    <xf numFmtId="0" fontId="127" fillId="68" borderId="44">
      <protection locked="0"/>
    </xf>
    <xf numFmtId="0" fontId="0" fillId="0" borderId="0">
      <alignment vertical="center"/>
    </xf>
    <xf numFmtId="0" fontId="127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27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7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7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7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7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7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7" fillId="68" borderId="44"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7" fillId="68" borderId="44">
      <protection locked="0"/>
    </xf>
    <xf numFmtId="0" fontId="110" fillId="0" borderId="0">
      <alignment vertical="center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127" fillId="68" borderId="44">
      <alignment vertical="center"/>
      <protection locked="0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7" fillId="68" borderId="44">
      <alignment vertical="center"/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7" fillId="68" borderId="44">
      <alignment vertical="center"/>
      <protection locked="0"/>
    </xf>
    <xf numFmtId="0" fontId="43" fillId="0" borderId="0">
      <alignment vertical="center"/>
    </xf>
    <xf numFmtId="0" fontId="43" fillId="0" borderId="0">
      <alignment vertical="center"/>
    </xf>
    <xf numFmtId="0" fontId="127" fillId="68" borderId="44">
      <alignment vertical="center"/>
      <protection locked="0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99" fillId="15" borderId="36" applyNumberFormat="0" applyAlignment="0" applyProtection="0">
      <alignment vertical="center"/>
    </xf>
    <xf numFmtId="0" fontId="127" fillId="68" borderId="44">
      <alignment vertical="center"/>
      <protection locked="0"/>
    </xf>
    <xf numFmtId="0" fontId="99" fillId="15" borderId="36" applyNumberFormat="0" applyAlignment="0" applyProtection="0">
      <alignment vertical="center"/>
    </xf>
    <xf numFmtId="0" fontId="127" fillId="68" borderId="44">
      <alignment vertical="center"/>
      <protection locked="0"/>
    </xf>
    <xf numFmtId="0" fontId="99" fillId="15" borderId="36" applyNumberFormat="0" applyAlignment="0" applyProtection="0">
      <alignment vertical="center"/>
    </xf>
    <xf numFmtId="0" fontId="127" fillId="68" borderId="44">
      <alignment vertical="center"/>
      <protection locked="0"/>
    </xf>
    <xf numFmtId="0" fontId="127" fillId="68" borderId="44">
      <protection locked="0"/>
    </xf>
    <xf numFmtId="0" fontId="127" fillId="68" borderId="44">
      <protection locked="0"/>
    </xf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27" fillId="68" borderId="44">
      <protection locked="0"/>
    </xf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27" fillId="68" borderId="44">
      <protection locked="0"/>
    </xf>
    <xf numFmtId="0" fontId="127" fillId="68" borderId="44">
      <protection locked="0"/>
    </xf>
    <xf numFmtId="0" fontId="127" fillId="68" borderId="44">
      <protection locked="0"/>
    </xf>
    <xf numFmtId="0" fontId="110" fillId="0" borderId="0">
      <alignment vertical="center"/>
    </xf>
    <xf numFmtId="0" fontId="127" fillId="68" borderId="44">
      <protection locked="0"/>
    </xf>
    <xf numFmtId="0" fontId="127" fillId="68" borderId="44">
      <protection locked="0"/>
    </xf>
    <xf numFmtId="0" fontId="127" fillId="68" borderId="44">
      <protection locked="0"/>
    </xf>
    <xf numFmtId="0" fontId="127" fillId="68" borderId="44">
      <protection locked="0"/>
    </xf>
    <xf numFmtId="0" fontId="127" fillId="68" borderId="44">
      <protection locked="0"/>
    </xf>
    <xf numFmtId="0" fontId="110" fillId="0" borderId="0">
      <alignment vertical="center"/>
    </xf>
    <xf numFmtId="0" fontId="99" fillId="15" borderId="36" applyNumberFormat="0" applyAlignment="0" applyProtection="0">
      <alignment vertical="center"/>
    </xf>
    <xf numFmtId="0" fontId="127" fillId="68" borderId="44">
      <alignment vertical="center"/>
      <protection locked="0"/>
    </xf>
    <xf numFmtId="0" fontId="127" fillId="68" borderId="44">
      <alignment vertical="center"/>
      <protection locked="0"/>
    </xf>
    <xf numFmtId="0" fontId="99" fillId="15" borderId="36" applyNumberFormat="0" applyAlignment="0" applyProtection="0">
      <alignment vertical="center"/>
    </xf>
    <xf numFmtId="0" fontId="127" fillId="68" borderId="44">
      <alignment vertical="center"/>
      <protection locked="0"/>
    </xf>
    <xf numFmtId="0" fontId="99" fillId="15" borderId="3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0" fillId="0" borderId="0">
      <alignment vertical="center"/>
    </xf>
    <xf numFmtId="0" fontId="115" fillId="15" borderId="3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91" fontId="37" fillId="0" borderId="0" applyFont="0" applyFill="0" applyBorder="0" applyAlignment="0" applyProtection="0">
      <alignment vertical="center"/>
    </xf>
    <xf numFmtId="192" fontId="37" fillId="0" borderId="0" applyFont="0" applyFill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115" fillId="15" borderId="36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80" fillId="0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80" fillId="0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01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1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1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1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01" fillId="0" borderId="0" applyNumberFormat="0" applyFill="0" applyBorder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11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80" fillId="9" borderId="0" applyNumberFormat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37" fillId="0" borderId="16" applyNumberFormat="0" applyFill="0" applyProtection="0">
      <alignment horizontal="right"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11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1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37" fillId="0" borderId="16" applyNumberFormat="0" applyFill="0" applyProtection="0">
      <alignment horizontal="right" vertical="center"/>
    </xf>
    <xf numFmtId="0" fontId="11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5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right"/>
    </xf>
    <xf numFmtId="0" fontId="115" fillId="15" borderId="36" applyNumberFormat="0" applyAlignment="0" applyProtection="0">
      <alignment vertical="center"/>
    </xf>
    <xf numFmtId="0" fontId="110" fillId="0" borderId="0">
      <alignment vertical="center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10" fillId="0" borderId="0">
      <alignment vertical="center"/>
    </xf>
    <xf numFmtId="0" fontId="37" fillId="0" borderId="16" applyNumberFormat="0" applyFill="0" applyProtection="0">
      <alignment horizontal="right" vertical="center"/>
    </xf>
    <xf numFmtId="0" fontId="37" fillId="0" borderId="16" applyNumberFormat="0" applyFill="0" applyProtection="0">
      <alignment horizontal="right"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71" borderId="0" applyNumberFormat="0" applyBorder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0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0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0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36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131" fillId="0" borderId="45" applyNumberFormat="0" applyFill="0" applyAlignment="0" applyProtection="0">
      <alignment vertical="center"/>
    </xf>
    <xf numFmtId="0" fontId="45" fillId="0" borderId="0">
      <alignment vertical="center"/>
    </xf>
    <xf numFmtId="0" fontId="80" fillId="0" borderId="0" applyNumberFormat="0" applyBorder="0" applyAlignment="0" applyProtection="0"/>
    <xf numFmtId="0" fontId="131" fillId="0" borderId="45" applyNumberFormat="0" applyFill="0" applyAlignment="0" applyProtection="0">
      <alignment vertical="center"/>
    </xf>
    <xf numFmtId="0" fontId="45" fillId="0" borderId="0">
      <alignment vertical="center"/>
    </xf>
    <xf numFmtId="0" fontId="80" fillId="0" borderId="0" applyNumberFormat="0" applyBorder="0" applyAlignment="0" applyProtection="0"/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71" borderId="0" applyNumberFormat="0" applyBorder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0" fillId="0" borderId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0" fillId="0" borderId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0" fillId="0" borderId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0" fillId="0" borderId="0">
      <alignment vertical="center"/>
    </xf>
    <xf numFmtId="0" fontId="149" fillId="0" borderId="40" applyNumberFormat="0" applyFill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149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112" fillId="0" borderId="40" applyNumberFormat="0" applyFill="0" applyAlignment="0" applyProtection="0">
      <alignment vertical="center"/>
    </xf>
    <xf numFmtId="0" fontId="110" fillId="0" borderId="0">
      <alignment vertical="center"/>
    </xf>
    <xf numFmtId="0" fontId="110" fillId="0" borderId="0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0" fillId="0" borderId="0">
      <alignment vertical="center"/>
    </xf>
    <xf numFmtId="0" fontId="110" fillId="0" borderId="0" applyNumberFormat="0" applyFont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12" fillId="0" borderId="40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0" fillId="0" borderId="0"/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0" fillId="0" borderId="0">
      <alignment vertical="center"/>
    </xf>
    <xf numFmtId="0" fontId="114" fillId="51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99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45" fillId="0" borderId="0">
      <alignment vertical="center"/>
    </xf>
    <xf numFmtId="0" fontId="110" fillId="54" borderId="0" applyNumberFormat="0" applyBorder="0" applyAlignment="0" applyProtection="0">
      <alignment vertical="center"/>
    </xf>
    <xf numFmtId="0" fontId="110" fillId="0" borderId="0">
      <alignment vertical="center"/>
    </xf>
    <xf numFmtId="0" fontId="45" fillId="0" borderId="0">
      <alignment vertical="center"/>
    </xf>
    <xf numFmtId="0" fontId="110" fillId="54" borderId="0" applyNumberFormat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2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10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6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10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6" fillId="0" borderId="42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1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5" fillId="0" borderId="0">
      <alignment vertical="center"/>
    </xf>
    <xf numFmtId="0" fontId="80" fillId="60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5" fillId="0" borderId="0">
      <alignment vertical="center"/>
    </xf>
    <xf numFmtId="0" fontId="80" fillId="60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34" fillId="0" borderId="42" applyNumberFormat="0" applyFill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0" fillId="0" borderId="0">
      <alignment vertical="center"/>
    </xf>
    <xf numFmtId="0" fontId="102" fillId="15" borderId="37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102" fillId="15" borderId="37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0" fillId="0" borderId="0">
      <alignment vertical="center"/>
    </xf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15" fillId="15" borderId="36" applyNumberFormat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1" fillId="0" borderId="0" applyNumberFormat="0" applyFill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1" fillId="0" borderId="0" applyNumberFormat="0" applyFill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1" fillId="0" borderId="0" applyNumberFormat="0" applyFill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1" fillId="0" borderId="0" applyNumberFormat="0" applyFill="0" applyBorder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45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45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45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17" fillId="15" borderId="37" applyNumberFormat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17" fillId="15" borderId="37" applyNumberFormat="0" applyAlignment="0" applyProtection="0">
      <alignment vertical="center"/>
    </xf>
    <xf numFmtId="0" fontId="110" fillId="0" borderId="0">
      <alignment vertical="center"/>
    </xf>
    <xf numFmtId="0" fontId="113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1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10" fillId="0" borderId="0">
      <alignment vertical="center"/>
    </xf>
    <xf numFmtId="0" fontId="0" fillId="0" borderId="0"/>
    <xf numFmtId="0" fontId="11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0" fillId="50" borderId="41" applyNumberFormat="0" applyFont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0" fillId="50" borderId="41" applyNumberFormat="0" applyFont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0" fillId="50" borderId="41" applyNumberFormat="0" applyFont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0" fillId="50" borderId="41" applyNumberFormat="0" applyFont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20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1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2" fillId="15" borderId="37" applyNumberFormat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45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10" fillId="0" borderId="0">
      <alignment vertical="center"/>
    </xf>
    <xf numFmtId="0" fontId="99" fillId="15" borderId="36" applyNumberFormat="0" applyAlignment="0" applyProtection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/>
    </xf>
    <xf numFmtId="0" fontId="100" fillId="0" borderId="16" applyNumberFormat="0" applyFill="0" applyProtection="0">
      <alignment horizontal="center"/>
    </xf>
    <xf numFmtId="0" fontId="100" fillId="0" borderId="16" applyNumberFormat="0" applyFill="0" applyProtection="0">
      <alignment horizontal="center"/>
    </xf>
    <xf numFmtId="0" fontId="100" fillId="0" borderId="16" applyNumberFormat="0" applyFill="0" applyProtection="0">
      <alignment horizontal="center"/>
    </xf>
    <xf numFmtId="0" fontId="110" fillId="0" borderId="0">
      <alignment vertical="center"/>
    </xf>
    <xf numFmtId="0" fontId="100" fillId="0" borderId="16" applyNumberFormat="0" applyFill="0" applyProtection="0">
      <alignment horizontal="center"/>
    </xf>
    <xf numFmtId="0" fontId="100" fillId="0" borderId="16" applyNumberFormat="0" applyFill="0" applyProtection="0">
      <alignment horizontal="center"/>
    </xf>
    <xf numFmtId="0" fontId="100" fillId="0" borderId="16" applyNumberFormat="0" applyFill="0" applyProtection="0">
      <alignment horizontal="center"/>
    </xf>
    <xf numFmtId="0" fontId="100" fillId="0" borderId="16" applyNumberFormat="0" applyFill="0" applyProtection="0">
      <alignment horizontal="center"/>
    </xf>
    <xf numFmtId="0" fontId="99" fillId="15" borderId="36" applyNumberFormat="0" applyAlignment="0" applyProtection="0">
      <alignment vertical="center"/>
    </xf>
    <xf numFmtId="0" fontId="100" fillId="0" borderId="16" applyNumberFormat="0" applyFill="0" applyProtection="0">
      <alignment horizont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00" fillId="0" borderId="16" applyNumberFormat="0" applyFill="0" applyProtection="0">
      <alignment horizont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00" fillId="0" borderId="16" applyNumberFormat="0" applyFill="0" applyProtection="0">
      <alignment horizont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10" fillId="0" borderId="0">
      <alignment vertical="center"/>
    </xf>
    <xf numFmtId="0" fontId="110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10" fillId="0" borderId="0">
      <alignment vertical="center"/>
    </xf>
    <xf numFmtId="0" fontId="100" fillId="0" borderId="16" applyNumberFormat="0" applyFill="0" applyProtection="0">
      <alignment horizontal="center" vertical="center"/>
    </xf>
    <xf numFmtId="0" fontId="100" fillId="0" borderId="16" applyNumberFormat="0" applyFill="0" applyProtection="0">
      <alignment horizontal="center" vertical="center"/>
    </xf>
    <xf numFmtId="0" fontId="128" fillId="0" borderId="0" applyNumberFormat="0" applyFill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99" fillId="15" borderId="36" applyNumberFormat="0" applyAlignment="0" applyProtection="0">
      <alignment vertical="center"/>
    </xf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02" fillId="15" borderId="37" applyNumberFormat="0" applyAlignment="0" applyProtection="0">
      <alignment vertical="center"/>
    </xf>
    <xf numFmtId="0" fontId="110" fillId="0" borderId="0">
      <alignment vertical="center"/>
    </xf>
    <xf numFmtId="0" fontId="128" fillId="0" borderId="0" applyNumberFormat="0" applyFill="0" applyBorder="0" applyAlignment="0" applyProtection="0"/>
    <xf numFmtId="0" fontId="102" fillId="15" borderId="37" applyNumberFormat="0" applyAlignment="0" applyProtection="0">
      <alignment vertical="center"/>
    </xf>
    <xf numFmtId="0" fontId="128" fillId="0" borderId="0" applyNumberFormat="0" applyFill="0" applyBorder="0" applyAlignment="0" applyProtection="0"/>
    <xf numFmtId="0" fontId="102" fillId="15" borderId="37" applyNumberFormat="0" applyAlignment="0" applyProtection="0">
      <alignment vertical="center"/>
    </xf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0" fillId="0" borderId="0">
      <alignment vertical="center"/>
    </xf>
    <xf numFmtId="0" fontId="128" fillId="0" borderId="0" applyNumberFormat="0" applyFill="0" applyBorder="0" applyAlignment="0" applyProtection="0"/>
    <xf numFmtId="0" fontId="0" fillId="0" borderId="0">
      <alignment vertical="center"/>
    </xf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02" fillId="15" borderId="37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05" fillId="0" borderId="39" applyNumberFormat="0" applyFill="0" applyProtection="0">
      <alignment horizontal="center" vertical="center"/>
    </xf>
    <xf numFmtId="0" fontId="105" fillId="0" borderId="39" applyNumberFormat="0" applyFill="0" applyProtection="0">
      <alignment horizontal="center" vertical="center"/>
    </xf>
    <xf numFmtId="0" fontId="105" fillId="0" borderId="39" applyNumberFormat="0" applyFill="0" applyProtection="0">
      <alignment horizontal="center" vertical="center"/>
    </xf>
    <xf numFmtId="0" fontId="105" fillId="0" borderId="39" applyNumberFormat="0" applyFill="0" applyProtection="0">
      <alignment horizontal="center" vertical="center"/>
    </xf>
    <xf numFmtId="0" fontId="105" fillId="0" borderId="39" applyNumberFormat="0" applyFill="0" applyProtection="0">
      <alignment horizontal="center" vertical="center"/>
    </xf>
    <xf numFmtId="0" fontId="124" fillId="51" borderId="36" applyNumberFormat="0" applyAlignment="0" applyProtection="0">
      <alignment vertical="center"/>
    </xf>
    <xf numFmtId="0" fontId="105" fillId="0" borderId="39" applyNumberFormat="0" applyFill="0" applyProtection="0">
      <alignment horizontal="center" vertical="center"/>
    </xf>
    <xf numFmtId="0" fontId="124" fillId="51" borderId="36" applyNumberFormat="0" applyAlignment="0" applyProtection="0">
      <alignment vertical="center"/>
    </xf>
    <xf numFmtId="0" fontId="105" fillId="0" borderId="39" applyNumberFormat="0" applyFill="0" applyProtection="0">
      <alignment horizontal="center" vertical="center"/>
    </xf>
    <xf numFmtId="0" fontId="124" fillId="51" borderId="36" applyNumberFormat="0" applyAlignment="0" applyProtection="0">
      <alignment vertical="center"/>
    </xf>
    <xf numFmtId="0" fontId="105" fillId="0" borderId="39" applyNumberFormat="0" applyFill="0" applyProtection="0">
      <alignment horizontal="center" vertical="center"/>
    </xf>
    <xf numFmtId="0" fontId="124" fillId="51" borderId="36" applyNumberFormat="0" applyAlignment="0" applyProtection="0">
      <alignment vertical="center"/>
    </xf>
    <xf numFmtId="0" fontId="105" fillId="0" borderId="39" applyNumberFormat="0" applyFill="0" applyProtection="0">
      <alignment horizontal="center" vertical="center"/>
    </xf>
    <xf numFmtId="0" fontId="124" fillId="51" borderId="36" applyNumberFormat="0" applyAlignment="0" applyProtection="0">
      <alignment vertical="center"/>
    </xf>
    <xf numFmtId="0" fontId="105" fillId="0" borderId="39" applyNumberFormat="0" applyFill="0" applyProtection="0">
      <alignment horizontal="center" vertical="center"/>
    </xf>
    <xf numFmtId="0" fontId="105" fillId="0" borderId="39" applyNumberFormat="0" applyFill="0" applyProtection="0">
      <alignment horizontal="center"/>
    </xf>
    <xf numFmtId="0" fontId="105" fillId="0" borderId="39" applyNumberFormat="0" applyFill="0" applyProtection="0">
      <alignment horizontal="center"/>
    </xf>
    <xf numFmtId="0" fontId="105" fillId="0" borderId="39" applyNumberFormat="0" applyFill="0" applyProtection="0">
      <alignment horizontal="center"/>
    </xf>
    <xf numFmtId="0" fontId="43" fillId="0" borderId="0">
      <alignment vertical="center"/>
    </xf>
    <xf numFmtId="0" fontId="43" fillId="0" borderId="0">
      <alignment vertical="center"/>
    </xf>
    <xf numFmtId="0" fontId="105" fillId="0" borderId="39" applyNumberFormat="0" applyFill="0" applyProtection="0">
      <alignment horizontal="center"/>
    </xf>
    <xf numFmtId="0" fontId="43" fillId="0" borderId="0">
      <alignment vertical="center"/>
    </xf>
    <xf numFmtId="0" fontId="43" fillId="0" borderId="0">
      <alignment vertical="center"/>
    </xf>
    <xf numFmtId="0" fontId="105" fillId="0" borderId="39" applyNumberFormat="0" applyFill="0" applyProtection="0">
      <alignment horizontal="center"/>
    </xf>
    <xf numFmtId="0" fontId="105" fillId="0" borderId="39" applyNumberFormat="0" applyFill="0" applyProtection="0">
      <alignment horizontal="center"/>
    </xf>
    <xf numFmtId="0" fontId="110" fillId="0" borderId="0">
      <alignment vertical="center"/>
    </xf>
    <xf numFmtId="0" fontId="105" fillId="0" borderId="39" applyNumberFormat="0" applyFill="0" applyProtection="0">
      <alignment horizontal="center"/>
    </xf>
    <xf numFmtId="0" fontId="105" fillId="0" borderId="39" applyNumberFormat="0" applyFill="0" applyProtection="0">
      <alignment horizontal="center"/>
    </xf>
    <xf numFmtId="0" fontId="105" fillId="0" borderId="39" applyNumberFormat="0" applyFill="0" applyProtection="0">
      <alignment horizontal="center"/>
    </xf>
    <xf numFmtId="0" fontId="105" fillId="0" borderId="39" applyNumberFormat="0" applyFill="0" applyProtection="0">
      <alignment horizontal="center"/>
    </xf>
    <xf numFmtId="0" fontId="105" fillId="0" borderId="39" applyNumberFormat="0" applyFill="0" applyProtection="0">
      <alignment horizontal="center"/>
    </xf>
    <xf numFmtId="0" fontId="43" fillId="0" borderId="0">
      <alignment vertical="center"/>
    </xf>
    <xf numFmtId="0" fontId="43" fillId="0" borderId="0">
      <alignment vertical="center"/>
    </xf>
    <xf numFmtId="0" fontId="105" fillId="0" borderId="39" applyNumberFormat="0" applyFill="0" applyProtection="0">
      <alignment horizontal="center"/>
    </xf>
    <xf numFmtId="0" fontId="43" fillId="0" borderId="0">
      <alignment vertical="center"/>
    </xf>
    <xf numFmtId="0" fontId="43" fillId="0" borderId="0">
      <alignment vertical="center"/>
    </xf>
    <xf numFmtId="0" fontId="105" fillId="0" borderId="39" applyNumberFormat="0" applyFill="0" applyProtection="0">
      <alignment horizontal="center"/>
    </xf>
    <xf numFmtId="0" fontId="105" fillId="0" borderId="39" applyNumberFormat="0" applyFill="0" applyProtection="0">
      <alignment horizontal="center" vertical="center"/>
    </xf>
    <xf numFmtId="0" fontId="105" fillId="0" borderId="39" applyNumberFormat="0" applyFill="0" applyProtection="0">
      <alignment horizontal="center" vertical="center"/>
    </xf>
    <xf numFmtId="0" fontId="105" fillId="0" borderId="39" applyNumberFormat="0" applyFill="0" applyProtection="0">
      <alignment horizontal="center" vertical="center"/>
    </xf>
    <xf numFmtId="0" fontId="105" fillId="0" borderId="39" applyNumberFormat="0" applyFill="0" applyProtection="0">
      <alignment horizontal="center" vertical="center"/>
    </xf>
    <xf numFmtId="0" fontId="105" fillId="0" borderId="39" applyNumberFormat="0" applyFill="0" applyProtection="0">
      <alignment horizontal="center" vertical="center"/>
    </xf>
    <xf numFmtId="0" fontId="105" fillId="0" borderId="39" applyNumberFormat="0" applyFill="0" applyProtection="0">
      <alignment horizontal="center"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10" fillId="0" borderId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10" fillId="0" borderId="0">
      <alignment vertical="center"/>
    </xf>
    <xf numFmtId="0" fontId="114" fillId="51" borderId="36" applyNumberFormat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45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10" fillId="0" borderId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22" fillId="52" borderId="0" applyNumberFormat="0" applyBorder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43" fillId="0" borderId="0">
      <alignment vertical="center"/>
    </xf>
    <xf numFmtId="0" fontId="110" fillId="0" borderId="0">
      <alignment vertical="center"/>
    </xf>
    <xf numFmtId="0" fontId="142" fillId="52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/>
    <xf numFmtId="0" fontId="43" fillId="0" borderId="0">
      <alignment vertical="center"/>
    </xf>
    <xf numFmtId="0" fontId="110" fillId="0" borderId="0">
      <alignment vertical="center"/>
    </xf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/>
    <xf numFmtId="40" fontId="129" fillId="0" borderId="1" applyFill="0" applyAlignment="0" applyProtection="0">
      <alignment vertical="center"/>
    </xf>
    <xf numFmtId="0" fontId="0" fillId="0" borderId="0">
      <alignment vertical="center"/>
    </xf>
    <xf numFmtId="0" fontId="142" fillId="52" borderId="0" applyNumberFormat="0" applyBorder="0" applyAlignment="0" applyProtection="0"/>
    <xf numFmtId="0" fontId="0" fillId="0" borderId="0">
      <alignment vertical="center"/>
    </xf>
    <xf numFmtId="0" fontId="142" fillId="52" borderId="0" applyNumberFormat="0" applyBorder="0" applyAlignment="0" applyProtection="0"/>
    <xf numFmtId="40" fontId="129" fillId="0" borderId="1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/>
    <xf numFmtId="0" fontId="142" fillId="52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>
      <alignment vertical="center"/>
    </xf>
    <xf numFmtId="0" fontId="110" fillId="0" borderId="0">
      <alignment vertical="center"/>
    </xf>
    <xf numFmtId="0" fontId="142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142" fillId="52" borderId="0" applyNumberFormat="0" applyBorder="0" applyAlignment="0" applyProtection="0">
      <alignment vertical="center"/>
    </xf>
    <xf numFmtId="0" fontId="142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42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42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80" fillId="0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1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0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43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43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71" borderId="0" applyNumberFormat="0" applyBorder="0" applyAlignment="0" applyProtection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/>
    <xf numFmtId="0" fontId="110" fillId="0" borderId="0">
      <alignment vertical="center"/>
    </xf>
    <xf numFmtId="0" fontId="45" fillId="0" borderId="0"/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5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99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5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5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9" borderId="0" applyNumberFormat="0" applyBorder="0" applyAlignment="0" applyProtection="0"/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26" fillId="0" borderId="0" applyNumberFormat="0" applyBorder="0" applyAlignment="0" applyProtection="0"/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50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50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54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54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6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55" borderId="0" applyNumberFormat="0" applyBorder="0" applyAlignment="0" applyProtection="0">
      <alignment vertical="center"/>
    </xf>
    <xf numFmtId="0" fontId="8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0" borderId="0"/>
    <xf numFmtId="0" fontId="110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40" fontId="129" fillId="0" borderId="1" applyFill="0" applyAlignment="0" applyProtection="0">
      <alignment vertical="center"/>
    </xf>
    <xf numFmtId="0" fontId="110" fillId="0" borderId="0">
      <alignment vertical="center"/>
    </xf>
    <xf numFmtId="40" fontId="12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0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80" fillId="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5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59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59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13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80" fillId="0" borderId="0" applyNumberFormat="0" applyBorder="0" applyAlignment="0" applyProtection="0"/>
    <xf numFmtId="0" fontId="80" fillId="0" borderId="0" applyNumberFormat="0" applyBorder="0" applyAlignment="0" applyProtection="0"/>
    <xf numFmtId="0" fontId="126" fillId="1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117" fillId="15" borderId="37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7" fillId="15" borderId="37" applyNumberFormat="0" applyAlignment="0" applyProtection="0">
      <alignment vertical="center"/>
    </xf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7" fillId="15" borderId="37" applyNumberFormat="0" applyAlignment="0" applyProtection="0">
      <alignment vertical="center"/>
    </xf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80" fillId="65" borderId="0" applyNumberFormat="0" applyBorder="0" applyAlignment="0" applyProtection="0"/>
    <xf numFmtId="0" fontId="110" fillId="0" borderId="0">
      <alignment vertical="center"/>
    </xf>
    <xf numFmtId="0" fontId="80" fillId="6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0" borderId="0" applyNumberFormat="0" applyBorder="0" applyAlignment="0" applyProtection="0"/>
    <xf numFmtId="0" fontId="45" fillId="0" borderId="0" applyNumberFormat="0" applyFon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0" borderId="0" applyNumberFormat="0" applyBorder="0" applyAlignment="0" applyProtection="0"/>
    <xf numFmtId="0" fontId="45" fillId="0" borderId="0" applyNumberFormat="0" applyFont="0" applyAlignment="0" applyProtection="0">
      <alignment vertical="center"/>
    </xf>
    <xf numFmtId="0" fontId="11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4" fillId="51" borderId="36" applyNumberFormat="0" applyAlignment="0" applyProtection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3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3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43" applyNumberFormat="0" applyFill="0" applyAlignment="0" applyProtection="0">
      <alignment vertical="center"/>
    </xf>
    <xf numFmtId="0" fontId="113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43" applyNumberFormat="0" applyFill="0" applyAlignment="0" applyProtection="0">
      <alignment vertical="center"/>
    </xf>
    <xf numFmtId="0" fontId="113" fillId="0" borderId="0">
      <alignment vertical="center"/>
    </xf>
    <xf numFmtId="0" fontId="80" fillId="55" borderId="0" applyNumberFormat="0" applyBorder="0" applyAlignment="0" applyProtection="0">
      <alignment vertical="center"/>
    </xf>
    <xf numFmtId="0" fontId="113" fillId="0" borderId="0">
      <alignment vertical="center"/>
    </xf>
    <xf numFmtId="0" fontId="80" fillId="55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3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113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113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113" fillId="0" borderId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/>
    <xf numFmtId="0" fontId="113" fillId="0" borderId="0">
      <alignment vertical="center"/>
    </xf>
    <xf numFmtId="0" fontId="0" fillId="0" borderId="0">
      <alignment vertical="center"/>
    </xf>
    <xf numFmtId="0" fontId="0" fillId="0" borderId="0"/>
    <xf numFmtId="0" fontId="113" fillId="0" borderId="0">
      <alignment vertical="center"/>
    </xf>
    <xf numFmtId="0" fontId="110" fillId="0" borderId="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13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0" fillId="0" borderId="0"/>
    <xf numFmtId="0" fontId="113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/>
    <xf numFmtId="0" fontId="113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/>
    <xf numFmtId="0" fontId="11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/>
    <xf numFmtId="0" fontId="11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0" fillId="0" borderId="0"/>
    <xf numFmtId="0" fontId="11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0" fillId="0" borderId="0"/>
    <xf numFmtId="0" fontId="113" fillId="0" borderId="0">
      <alignment vertical="center"/>
    </xf>
    <xf numFmtId="0" fontId="102" fillId="15" borderId="37" applyNumberFormat="0" applyAlignment="0" applyProtection="0">
      <alignment vertical="center"/>
    </xf>
    <xf numFmtId="0" fontId="0" fillId="0" borderId="0"/>
    <xf numFmtId="0" fontId="110" fillId="0" borderId="0">
      <alignment vertical="center"/>
    </xf>
    <xf numFmtId="0" fontId="0" fillId="0" borderId="0"/>
    <xf numFmtId="0" fontId="113" fillId="0" borderId="0">
      <alignment vertical="center"/>
    </xf>
    <xf numFmtId="0" fontId="43" fillId="0" borderId="0">
      <alignment vertical="center"/>
    </xf>
    <xf numFmtId="0" fontId="0" fillId="0" borderId="0"/>
    <xf numFmtId="0" fontId="43" fillId="0" borderId="0">
      <alignment vertical="center"/>
    </xf>
    <xf numFmtId="0" fontId="0" fillId="0" borderId="0"/>
    <xf numFmtId="0" fontId="0" fillId="0" borderId="0"/>
    <xf numFmtId="0" fontId="113" fillId="0" borderId="0">
      <alignment vertical="center"/>
    </xf>
    <xf numFmtId="0" fontId="0" fillId="0" borderId="0"/>
    <xf numFmtId="0" fontId="113" fillId="0" borderId="0">
      <alignment vertical="center"/>
    </xf>
    <xf numFmtId="0" fontId="0" fillId="0" borderId="0"/>
    <xf numFmtId="0" fontId="11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0" fillId="60" borderId="4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0" fillId="60" borderId="4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0" fillId="60" borderId="4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9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11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1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8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80" fillId="59" borderId="0" applyNumberFormat="0" applyBorder="0" applyAlignment="0" applyProtection="0"/>
    <xf numFmtId="0" fontId="1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5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15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5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9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9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4" fillId="51" borderId="36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8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24" fillId="51" borderId="36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8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80" fillId="71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80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15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176" fontId="45" fillId="0" borderId="0" applyFont="0" applyFill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02" fillId="15" borderId="37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 applyNumberFormat="0" applyFon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 applyNumberFormat="0" applyFon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80" fillId="51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0"/>
    <xf numFmtId="0" fontId="45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0"/>
    <xf numFmtId="0" fontId="45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37" fillId="0" borderId="16" applyNumberFormat="0" applyFill="0" applyProtection="0">
      <alignment horizontal="left"/>
    </xf>
    <xf numFmtId="0" fontId="43" fillId="0" borderId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115" fillId="15" borderId="36" applyNumberFormat="0" applyAlignment="0" applyProtection="0">
      <alignment vertical="center"/>
    </xf>
    <xf numFmtId="3" fontId="151" fillId="0" borderId="0" applyNumberFormat="0" applyFill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9" borderId="0" applyNumberFormat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7" fillId="15" borderId="37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7" fillId="15" borderId="37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80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80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26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80" fillId="0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0" borderId="0" applyNumberFormat="0" applyBorder="0" applyAlignment="0" applyProtection="0"/>
    <xf numFmtId="0" fontId="110" fillId="0" borderId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110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110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53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53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5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110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11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80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45" fillId="0" borderId="0">
      <alignment vertical="center"/>
    </xf>
    <xf numFmtId="0" fontId="80" fillId="60" borderId="0" applyNumberFormat="0" applyAlignment="0" applyProtection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9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6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110" fillId="0" borderId="0">
      <alignment vertical="center"/>
    </xf>
    <xf numFmtId="0" fontId="0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124" fillId="51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7" fillId="15" borderId="37" applyNumberFormat="0" applyAlignment="0" applyProtection="0">
      <alignment vertical="center"/>
    </xf>
    <xf numFmtId="0" fontId="0" fillId="0" borderId="0">
      <alignment vertical="center"/>
    </xf>
    <xf numFmtId="0" fontId="117" fillId="15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60" borderId="0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58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80" fillId="58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2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80" fillId="71" borderId="0" applyNumberFormat="0" applyBorder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80" fillId="71" borderId="0" applyNumberFormat="0" applyBorder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5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51" borderId="0" applyNumberFormat="0" applyBorder="0" applyAlignment="0" applyProtection="0"/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0" borderId="0" applyNumberFormat="0" applyBorder="0" applyAlignment="0" applyProtection="0">
      <alignment vertical="center"/>
    </xf>
    <xf numFmtId="0" fontId="80" fillId="55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80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99" fillId="15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9" fillId="15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114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0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10" fontId="113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10" fontId="113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76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10" fillId="78" borderId="0" applyNumberFormat="0" applyBorder="0" applyAlignment="0" applyProtection="0"/>
    <xf numFmtId="0" fontId="80" fillId="60" borderId="0" applyNumberFormat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10" fillId="0" borderId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102" fillId="15" borderId="37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37" fillId="11" borderId="0" applyNumberFormat="0" applyBorder="0" applyAlignment="0" applyProtection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99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115" fillId="15" borderId="36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126" fillId="11" borderId="0" applyNumberFormat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60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20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80" fillId="9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14" fillId="51" borderId="36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2" fillId="0" borderId="0" applyNumberFormat="0" applyFill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37" fillId="11" borderId="0" applyNumberFormat="0" applyBorder="0" applyAlignment="0" applyProtection="0">
      <alignment vertical="center"/>
    </xf>
    <xf numFmtId="0" fontId="80" fillId="0" borderId="0" applyNumberFormat="0" applyBorder="0" applyAlignment="0" applyProtection="0"/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50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137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/>
    <xf numFmtId="0" fontId="110" fillId="0" borderId="0">
      <alignment vertical="center"/>
    </xf>
    <xf numFmtId="0" fontId="126" fillId="11" borderId="0" applyNumberFormat="0" applyBorder="0" applyAlignment="0" applyProtection="0"/>
    <xf numFmtId="0" fontId="126" fillId="11" borderId="0" applyNumberFormat="0" applyBorder="0" applyAlignment="0" applyProtection="0"/>
    <xf numFmtId="0" fontId="110" fillId="0" borderId="0">
      <alignment vertical="center"/>
    </xf>
    <xf numFmtId="0" fontId="126" fillId="11" borderId="0" applyNumberFormat="0" applyBorder="0" applyAlignment="0" applyProtection="0"/>
    <xf numFmtId="0" fontId="126" fillId="11" borderId="0" applyNumberFormat="0" applyBorder="0" applyAlignment="0" applyProtection="0"/>
    <xf numFmtId="0" fontId="126" fillId="11" borderId="0" applyNumberFormat="0" applyBorder="0" applyAlignment="0" applyProtection="0"/>
    <xf numFmtId="0" fontId="110" fillId="0" borderId="0" applyNumberFormat="0" applyFont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26" fillId="11" borderId="0" applyNumberFormat="0" applyBorder="0" applyAlignment="0" applyProtection="0"/>
    <xf numFmtId="0" fontId="126" fillId="11" borderId="0" applyNumberFormat="0" applyBorder="0" applyAlignment="0" applyProtection="0"/>
    <xf numFmtId="0" fontId="126" fillId="11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26" fillId="11" borderId="0" applyNumberFormat="0" applyBorder="0" applyAlignment="0" applyProtection="0"/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126" fillId="11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43" applyNumberFormat="0" applyFill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53" fillId="60" borderId="4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76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76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76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76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0" fillId="76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110" fillId="76" borderId="0" applyNumberFormat="0" applyBorder="0" applyAlignment="0" applyProtection="0"/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13" fillId="0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10" fontId="113" fillId="0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0" fillId="12" borderId="0" applyNumberFormat="0" applyBorder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5" fillId="0" borderId="0" applyNumberFormat="0" applyFon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26" fillId="0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26" fillId="0" borderId="0" applyNumberFormat="0" applyBorder="0" applyAlignment="0" applyProtection="0"/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120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0" fontId="45" fillId="0" borderId="43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0" fillId="0" borderId="0">
      <alignment vertical="center"/>
    </xf>
    <xf numFmtId="0" fontId="115" fillId="15" borderId="36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0" fillId="77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10" fillId="77" borderId="0" applyNumberFormat="0" applyBorder="0" applyAlignment="0" applyProtection="0"/>
    <xf numFmtId="0" fontId="99" fillId="15" borderId="36" applyNumberFormat="0" applyAlignment="0" applyProtection="0">
      <alignment vertical="center"/>
    </xf>
    <xf numFmtId="0" fontId="110" fillId="77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0" fillId="77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0" fillId="77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0" fillId="77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0" fillId="77" borderId="0" applyNumberFormat="0" applyBorder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115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99" fillId="15" borderId="3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10" fillId="0" borderId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10" fillId="0" borderId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40" fillId="60" borderId="46" applyNumberFormat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0" fontId="105" fillId="0" borderId="39" applyNumberFormat="0" applyFill="0" applyProtection="0">
      <alignment horizontal="left" vertical="center"/>
    </xf>
    <xf numFmtId="0" fontId="105" fillId="0" borderId="39" applyNumberFormat="0" applyFill="0" applyProtection="0">
      <alignment horizontal="left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54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44" fillId="0" borderId="48" applyNumberFormat="0" applyFill="0" applyAlignment="0" applyProtection="0">
      <alignment vertical="center"/>
    </xf>
    <xf numFmtId="0" fontId="144" fillId="0" borderId="48" applyNumberFormat="0" applyFill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3" fontId="37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0" fillId="78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1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/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6" borderId="0" applyNumberFormat="0" applyBorder="0" applyAlignment="0" applyProtection="0">
      <alignment vertical="center"/>
    </xf>
    <xf numFmtId="0" fontId="110" fillId="78" borderId="0" applyNumberFormat="0" applyBorder="0" applyAlignment="0" applyProtection="0">
      <alignment vertical="center"/>
    </xf>
    <xf numFmtId="0" fontId="110" fillId="78" borderId="0" applyNumberFormat="0" applyBorder="0" applyAlignment="0" applyProtection="0"/>
    <xf numFmtId="0" fontId="110" fillId="0" borderId="0">
      <alignment vertical="center"/>
    </xf>
    <xf numFmtId="0" fontId="110" fillId="78" borderId="0" applyNumberFormat="0" applyBorder="0" applyAlignment="0" applyProtection="0"/>
    <xf numFmtId="0" fontId="110" fillId="78" borderId="0" applyNumberFormat="0" applyBorder="0" applyAlignment="0" applyProtection="0"/>
    <xf numFmtId="0" fontId="110" fillId="78" borderId="0" applyNumberFormat="0" applyBorder="0" applyAlignment="0" applyProtection="0"/>
    <xf numFmtId="0" fontId="110" fillId="78" borderId="0" applyNumberFormat="0" applyBorder="0" applyAlignment="0" applyProtection="0"/>
    <xf numFmtId="0" fontId="110" fillId="78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10" fillId="78" borderId="0" applyNumberFormat="0" applyBorder="0" applyAlignment="0" applyProtection="0">
      <alignment vertical="center"/>
    </xf>
    <xf numFmtId="0" fontId="110" fillId="78" borderId="0" applyNumberFormat="0" applyBorder="0" applyAlignment="0" applyProtection="0">
      <alignment vertical="center"/>
    </xf>
    <xf numFmtId="0" fontId="110" fillId="78" borderId="0" applyNumberFormat="0" applyBorder="0" applyAlignment="0" applyProtection="0">
      <alignment vertical="center"/>
    </xf>
    <xf numFmtId="0" fontId="110" fillId="78" borderId="0" applyNumberFormat="0" applyBorder="0" applyAlignment="0" applyProtection="0">
      <alignment vertical="center"/>
    </xf>
    <xf numFmtId="0" fontId="110" fillId="78" borderId="0" applyNumberFormat="0" applyBorder="0" applyAlignment="0" applyProtection="0">
      <alignment vertical="center"/>
    </xf>
    <xf numFmtId="0" fontId="110" fillId="78" borderId="0" applyNumberFormat="0" applyBorder="0" applyAlignment="0" applyProtection="0">
      <alignment vertical="center"/>
    </xf>
    <xf numFmtId="0" fontId="110" fillId="77" borderId="0" applyNumberFormat="0" applyBorder="0" applyAlignment="0" applyProtection="0">
      <alignment vertical="center"/>
    </xf>
    <xf numFmtId="0" fontId="110" fillId="77" borderId="0" applyNumberFormat="0" applyBorder="0" applyAlignment="0" applyProtection="0"/>
    <xf numFmtId="0" fontId="110" fillId="77" borderId="0" applyNumberFormat="0" applyBorder="0" applyAlignment="0" applyProtection="0"/>
    <xf numFmtId="0" fontId="110" fillId="77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10" fillId="77" borderId="0" applyNumberFormat="0" applyBorder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108" fillId="72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19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1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08" fillId="64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0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0" fillId="0" borderId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9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55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193" fontId="37" fillId="0" borderId="39" applyFill="0" applyProtection="0">
      <alignment horizontal="right" vertical="center"/>
    </xf>
    <xf numFmtId="193" fontId="37" fillId="0" borderId="39" applyFill="0" applyProtection="0">
      <alignment horizontal="right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80" fillId="9" borderId="0" applyNumberFormat="0" applyAlignment="0" applyProtection="0">
      <alignment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110" fillId="0" borderId="0">
      <alignment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/>
    </xf>
    <xf numFmtId="0" fontId="110" fillId="0" borderId="0" applyNumberFormat="0" applyBorder="0" applyAlignment="0" applyProtection="0">
      <alignment vertical="center"/>
    </xf>
    <xf numFmtId="0" fontId="37" fillId="0" borderId="16" applyNumberFormat="0" applyFill="0" applyProtection="0">
      <alignment horizontal="left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37" fillId="0" borderId="16" applyNumberFormat="0" applyFill="0" applyProtection="0">
      <alignment horizontal="left"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43" fillId="12" borderId="0" applyNumberFormat="0" applyBorder="0" applyAlignment="0" applyProtection="0">
      <alignment vertical="center"/>
    </xf>
    <xf numFmtId="0" fontId="110" fillId="0" borderId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47" fillId="12" borderId="0" applyNumberFormat="0" applyBorder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80" fillId="9" borderId="0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80" fillId="60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80" fillId="60" borderId="0" applyNumberFormat="0" applyBorder="0" applyAlignment="0" applyProtection="0"/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0" fillId="0" borderId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80" fillId="0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0" fillId="0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0" fillId="11" borderId="0" applyNumberFormat="0" applyBorder="0" applyAlignment="0" applyProtection="0">
      <alignment vertical="center"/>
    </xf>
    <xf numFmtId="0" fontId="110" fillId="11" borderId="0" applyNumberFormat="0" applyBorder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02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7" fillId="15" borderId="37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80" fillId="60" borderId="0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80" fillId="61" borderId="0" applyNumberFormat="0" applyBorder="0" applyAlignment="0" applyProtection="0">
      <alignment vertical="center"/>
    </xf>
    <xf numFmtId="0" fontId="80" fillId="61" borderId="0" applyNumberFormat="0" applyBorder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0" fillId="0" borderId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0" fillId="0" borderId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40" fontId="129" fillId="0" borderId="1" applyFill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2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0" fontId="114" fillId="51" borderId="36" applyNumberFormat="0" applyAlignment="0" applyProtection="0">
      <alignment vertical="center"/>
    </xf>
    <xf numFmtId="1" fontId="37" fillId="0" borderId="39" applyFill="0" applyProtection="0">
      <alignment horizontal="center" vertical="center"/>
    </xf>
    <xf numFmtId="1" fontId="37" fillId="0" borderId="39" applyFill="0" applyProtection="0">
      <alignment horizont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10" fontId="113" fillId="0" borderId="0" applyNumberFormat="0" applyBorder="0" applyAlignment="0" applyProtection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23" fillId="0" borderId="0">
      <alignment vertical="center"/>
    </xf>
    <xf numFmtId="0" fontId="113" fillId="0" borderId="0">
      <alignment vertical="center"/>
    </xf>
    <xf numFmtId="43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110" fillId="0" borderId="0">
      <alignment vertical="center"/>
    </xf>
    <xf numFmtId="0" fontId="110" fillId="0" borderId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0" borderId="0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43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0" borderId="0"/>
  </cellStyleXfs>
  <cellXfs count="1005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/>
    </xf>
    <xf numFmtId="194" fontId="2" fillId="2" borderId="0" xfId="0" applyNumberFormat="1" applyFont="1" applyFill="1" applyBorder="1" applyAlignment="1">
      <alignment horizontal="center" vertical="center"/>
    </xf>
    <xf numFmtId="194" fontId="2" fillId="2" borderId="0" xfId="0" applyNumberFormat="1" applyFont="1" applyFill="1" applyBorder="1" applyAlignment="1">
      <alignment horizontal="left" vertical="center"/>
    </xf>
    <xf numFmtId="194" fontId="1" fillId="0" borderId="0" xfId="0" applyNumberFormat="1" applyFont="1" applyFill="1" applyBorder="1" applyAlignment="1">
      <alignment horizontal="left" vertical="center"/>
    </xf>
    <xf numFmtId="194" fontId="1" fillId="2" borderId="0" xfId="0" applyNumberFormat="1" applyFont="1" applyFill="1" applyBorder="1" applyAlignment="1">
      <alignment horizontal="left" vertical="center"/>
    </xf>
    <xf numFmtId="195" fontId="1" fillId="2" borderId="0" xfId="0" applyNumberFormat="1" applyFont="1" applyFill="1" applyBorder="1" applyAlignment="1">
      <alignment horizontal="left" vertical="center"/>
    </xf>
    <xf numFmtId="195" fontId="1" fillId="2" borderId="0" xfId="30237" applyNumberFormat="1" applyFont="1" applyFill="1" applyBorder="1" applyAlignment="1">
      <alignment horizontal="left" vertical="center" wrapText="1"/>
    </xf>
    <xf numFmtId="49" fontId="1" fillId="2" borderId="0" xfId="30237" applyNumberFormat="1" applyFont="1" applyFill="1" applyBorder="1" applyAlignment="1">
      <alignment horizontal="left" vertical="center" wrapText="1"/>
    </xf>
    <xf numFmtId="49" fontId="1" fillId="0" borderId="0" xfId="30237" applyNumberFormat="1" applyFont="1" applyFill="1" applyBorder="1" applyAlignment="1">
      <alignment horizontal="left" vertical="center" wrapText="1"/>
    </xf>
    <xf numFmtId="14" fontId="1" fillId="2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/>
    </xf>
    <xf numFmtId="49" fontId="1" fillId="0" borderId="0" xfId="30239" applyNumberFormat="1" applyFont="1" applyFill="1" applyBorder="1" applyAlignment="1">
      <alignment horizontal="left" vertical="center"/>
    </xf>
    <xf numFmtId="49" fontId="1" fillId="2" borderId="0" xfId="30239" applyNumberFormat="1" applyFont="1" applyFill="1" applyBorder="1" applyAlignment="1">
      <alignment horizontal="left" vertical="center"/>
    </xf>
    <xf numFmtId="196" fontId="2" fillId="3" borderId="0" xfId="0" applyNumberFormat="1" applyFont="1" applyFill="1" applyBorder="1" applyAlignment="1">
      <alignment horizontal="left" vertical="center"/>
    </xf>
    <xf numFmtId="0" fontId="1" fillId="0" borderId="0" xfId="0" applyFont="1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97" fontId="0" fillId="0" borderId="0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97" fontId="0" fillId="0" borderId="1" xfId="0" applyNumberFormat="1" applyFill="1" applyBorder="1" applyAlignment="1">
      <alignment horizontal="center" vertical="center"/>
    </xf>
    <xf numFmtId="197" fontId="0" fillId="3" borderId="1" xfId="0" applyNumberFormat="1" applyFill="1" applyBorder="1" applyAlignment="1">
      <alignment horizontal="center" vertical="center"/>
    </xf>
    <xf numFmtId="197" fontId="0" fillId="0" borderId="1" xfId="0" applyNumberFormat="1" applyFill="1" applyBorder="1" applyAlignment="1">
      <alignment vertical="center"/>
    </xf>
    <xf numFmtId="197" fontId="4" fillId="0" borderId="1" xfId="0" applyNumberFormat="1" applyFont="1" applyFill="1" applyBorder="1" applyAlignment="1">
      <alignment vertical="center"/>
    </xf>
    <xf numFmtId="9" fontId="0" fillId="0" borderId="0" xfId="3" applyNumberForma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97" fontId="3" fillId="0" borderId="1" xfId="0" applyNumberFormat="1" applyFont="1" applyFill="1" applyBorder="1" applyAlignment="1">
      <alignment vertical="center"/>
    </xf>
    <xf numFmtId="197" fontId="3" fillId="3" borderId="1" xfId="0" applyNumberFormat="1" applyFont="1" applyFill="1" applyBorder="1" applyAlignment="1">
      <alignment vertical="center"/>
    </xf>
    <xf numFmtId="198" fontId="3" fillId="0" borderId="0" xfId="3" applyNumberFormat="1" applyFont="1">
      <alignment vertical="center"/>
    </xf>
    <xf numFmtId="0" fontId="5" fillId="0" borderId="0" xfId="0" applyFont="1" applyFill="1" applyBorder="1" applyAlignment="1">
      <alignment horizontal="center" vertical="center"/>
    </xf>
    <xf numFmtId="194" fontId="5" fillId="0" borderId="0" xfId="0" applyNumberFormat="1" applyFont="1" applyFill="1" applyBorder="1" applyAlignment="1">
      <alignment horizontal="center" vertical="center"/>
    </xf>
    <xf numFmtId="43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196" fontId="7" fillId="0" borderId="0" xfId="0" applyNumberFormat="1" applyFont="1" applyFill="1" applyBorder="1" applyAlignment="1">
      <alignment horizontal="left" vertical="center" wrapText="1"/>
    </xf>
    <xf numFmtId="194" fontId="7" fillId="0" borderId="0" xfId="0" applyNumberFormat="1" applyFont="1" applyFill="1" applyBorder="1" applyAlignment="1">
      <alignment horizontal="left" vertical="center"/>
    </xf>
    <xf numFmtId="196" fontId="7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 applyProtection="1">
      <alignment horizontal="left" vertical="center" shrinkToFit="1"/>
    </xf>
    <xf numFmtId="194" fontId="8" fillId="0" borderId="0" xfId="0" applyNumberFormat="1" applyFont="1" applyFill="1" applyBorder="1" applyAlignment="1">
      <alignment horizontal="left" vertical="center"/>
    </xf>
    <xf numFmtId="199" fontId="8" fillId="0" borderId="0" xfId="0" applyNumberFormat="1" applyFont="1" applyFill="1" applyBorder="1" applyAlignment="1" applyProtection="1">
      <alignment horizontal="left" vertical="center" shrinkToFit="1"/>
    </xf>
    <xf numFmtId="196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194" fontId="8" fillId="0" borderId="0" xfId="1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 wrapText="1"/>
    </xf>
    <xf numFmtId="49" fontId="8" fillId="0" borderId="0" xfId="30239" applyNumberFormat="1" applyFont="1" applyFill="1" applyBorder="1" applyAlignment="1">
      <alignment horizontal="left" vertical="center"/>
    </xf>
    <xf numFmtId="49" fontId="8" fillId="0" borderId="0" xfId="30237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/>
    </xf>
    <xf numFmtId="49" fontId="8" fillId="0" borderId="0" xfId="30240" applyNumberFormat="1" applyFont="1" applyFill="1" applyBorder="1" applyAlignment="1">
      <alignment horizontal="left" vertical="center"/>
    </xf>
    <xf numFmtId="14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shrinkToFit="1"/>
    </xf>
    <xf numFmtId="0" fontId="8" fillId="0" borderId="0" xfId="30239" applyFont="1" applyFill="1" applyBorder="1" applyAlignment="1">
      <alignment horizontal="left" vertical="center"/>
    </xf>
    <xf numFmtId="194" fontId="8" fillId="0" borderId="0" xfId="30239" applyNumberFormat="1" applyFont="1" applyFill="1" applyBorder="1" applyAlignment="1">
      <alignment horizontal="left" vertical="center"/>
    </xf>
    <xf numFmtId="200" fontId="8" fillId="0" borderId="0" xfId="0" applyNumberFormat="1" applyFont="1" applyFill="1" applyBorder="1" applyAlignment="1">
      <alignment horizontal="left" vertical="center"/>
    </xf>
    <xf numFmtId="194" fontId="9" fillId="0" borderId="0" xfId="1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43" fontId="6" fillId="0" borderId="0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194" fontId="16" fillId="0" borderId="0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left" vertical="center"/>
    </xf>
    <xf numFmtId="43" fontId="17" fillId="0" borderId="1" xfId="0" applyNumberFormat="1" applyFont="1" applyFill="1" applyBorder="1" applyAlignment="1" applyProtection="1">
      <alignment horizontal="center" vertical="center"/>
    </xf>
    <xf numFmtId="194" fontId="16" fillId="0" borderId="1" xfId="0" applyNumberFormat="1" applyFont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left" vertical="center" wrapText="1"/>
    </xf>
    <xf numFmtId="43" fontId="17" fillId="0" borderId="1" xfId="1" applyNumberFormat="1" applyFont="1" applyFill="1" applyBorder="1" applyAlignment="1" applyProtection="1">
      <alignment horizontal="center" vertical="center" wrapText="1"/>
    </xf>
    <xf numFmtId="43" fontId="17" fillId="0" borderId="1" xfId="1" applyNumberFormat="1" applyFont="1" applyFill="1" applyBorder="1" applyAlignment="1" applyProtection="1">
      <alignment horizontal="center" vertical="center" shrinkToFit="1"/>
    </xf>
    <xf numFmtId="199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Font="1" applyFill="1" applyBorder="1" applyAlignment="1" applyProtection="1">
      <alignment horizontal="center" vertical="center"/>
    </xf>
    <xf numFmtId="0" fontId="17" fillId="0" borderId="1" xfId="1" applyNumberFormat="1" applyFont="1" applyFill="1" applyBorder="1" applyAlignment="1" applyProtection="1">
      <alignment horizontal="left" vertical="center"/>
      <protection locked="0" hidden="1"/>
    </xf>
    <xf numFmtId="43" fontId="17" fillId="0" borderId="1" xfId="1" applyNumberFormat="1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 applyProtection="1">
      <alignment horizontal="center" vertical="center" shrinkToFit="1"/>
    </xf>
    <xf numFmtId="43" fontId="17" fillId="0" borderId="1" xfId="1" applyNumberFormat="1" applyFont="1" applyFill="1" applyBorder="1" applyAlignment="1" applyProtection="1">
      <alignment horizontal="center" vertical="center"/>
      <protection locked="0" hidden="1"/>
    </xf>
    <xf numFmtId="0" fontId="17" fillId="0" borderId="1" xfId="0" applyFont="1" applyFill="1" applyBorder="1" applyAlignment="1">
      <alignment horizontal="left" vertical="center"/>
    </xf>
    <xf numFmtId="43" fontId="17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3" fontId="18" fillId="0" borderId="1" xfId="0" applyNumberFormat="1" applyFont="1" applyFill="1" applyBorder="1" applyAlignment="1">
      <alignment horizontal="center" vertical="center"/>
    </xf>
    <xf numFmtId="196" fontId="19" fillId="0" borderId="1" xfId="0" applyNumberFormat="1" applyFont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194" fontId="19" fillId="0" borderId="1" xfId="0" applyNumberFormat="1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43" fontId="17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2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43" fontId="3" fillId="3" borderId="0" xfId="0" applyNumberFormat="1" applyFont="1" applyFill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43" fontId="0" fillId="0" borderId="0" xfId="0" applyNumberFormat="1" applyFont="1" applyBorder="1">
      <alignment vertical="center"/>
    </xf>
    <xf numFmtId="0" fontId="0" fillId="0" borderId="0" xfId="0" applyFont="1" applyBorder="1" applyAlignment="1">
      <alignment horizontal="left" vertical="center"/>
    </xf>
    <xf numFmtId="201" fontId="0" fillId="0" borderId="0" xfId="0" applyNumberFormat="1" applyFont="1" applyBorder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43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201" fontId="0" fillId="0" borderId="0" xfId="3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3" fontId="3" fillId="0" borderId="0" xfId="0" applyNumberFormat="1" applyFont="1" applyFill="1" applyBorder="1" applyAlignment="1">
      <alignment horizontal="center" vertical="center" wrapText="1"/>
    </xf>
    <xf numFmtId="43" fontId="3" fillId="0" borderId="0" xfId="0" applyNumberFormat="1" applyFont="1" applyFill="1" applyAlignment="1">
      <alignment horizontal="center" vertical="center"/>
    </xf>
    <xf numFmtId="196" fontId="3" fillId="0" borderId="0" xfId="0" applyNumberFormat="1" applyFont="1" applyFill="1" applyBorder="1" applyAlignment="1">
      <alignment horizontal="center" vertical="center"/>
    </xf>
    <xf numFmtId="194" fontId="3" fillId="0" borderId="0" xfId="0" applyNumberFormat="1" applyFont="1" applyFill="1" applyBorder="1" applyAlignment="1">
      <alignment horizontal="center" vertical="center"/>
    </xf>
    <xf numFmtId="202" fontId="3" fillId="0" borderId="0" xfId="0" applyNumberFormat="1" applyFont="1" applyFill="1" applyBorder="1" applyAlignment="1">
      <alignment horizontal="center" vertical="center"/>
    </xf>
    <xf numFmtId="197" fontId="3" fillId="0" borderId="0" xfId="0" applyNumberFormat="1" applyFont="1" applyFill="1" applyBorder="1" applyAlignment="1">
      <alignment horizontal="center" vertical="center"/>
    </xf>
    <xf numFmtId="197" fontId="3" fillId="0" borderId="0" xfId="0" applyNumberFormat="1" applyFont="1" applyFill="1" applyBorder="1" applyAlignment="1">
      <alignment horizontal="left" vertical="center"/>
    </xf>
    <xf numFmtId="201" fontId="3" fillId="4" borderId="0" xfId="3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195" fontId="3" fillId="0" borderId="0" xfId="0" applyNumberFormat="1" applyFont="1" applyFill="1" applyBorder="1" applyAlignment="1">
      <alignment horizontal="left" vertical="center"/>
    </xf>
    <xf numFmtId="196" fontId="3" fillId="0" borderId="0" xfId="0" applyNumberFormat="1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center" vertical="center"/>
    </xf>
    <xf numFmtId="14" fontId="0" fillId="2" borderId="0" xfId="0" applyNumberFormat="1" applyFont="1" applyFill="1" applyBorder="1">
      <alignment vertical="center"/>
    </xf>
    <xf numFmtId="0" fontId="0" fillId="2" borderId="0" xfId="0" applyFont="1" applyFill="1" applyBorder="1" applyAlignment="1">
      <alignment vertical="center" wrapText="1"/>
    </xf>
    <xf numFmtId="43" fontId="20" fillId="2" borderId="0" xfId="0" applyNumberFormat="1" applyFont="1" applyFill="1" applyBorder="1" applyAlignment="1">
      <alignment horizontal="center" vertical="center"/>
    </xf>
    <xf numFmtId="43" fontId="0" fillId="2" borderId="0" xfId="0" applyNumberFormat="1" applyFont="1" applyFill="1" applyBorder="1">
      <alignment vertical="center"/>
    </xf>
    <xf numFmtId="4" fontId="0" fillId="2" borderId="0" xfId="0" applyNumberFormat="1" applyFont="1" applyFill="1" applyBorder="1">
      <alignment vertical="center"/>
    </xf>
    <xf numFmtId="0" fontId="0" fillId="2" borderId="0" xfId="0" applyFont="1" applyFill="1" applyBorder="1" applyAlignment="1">
      <alignment horizontal="left" vertical="center"/>
    </xf>
    <xf numFmtId="198" fontId="0" fillId="2" borderId="0" xfId="3" applyNumberFormat="1" applyFont="1" applyFill="1" applyBorder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14" fontId="0" fillId="2" borderId="0" xfId="0" applyNumberFormat="1" applyFont="1" applyFill="1" applyBorder="1" applyAlignment="1">
      <alignment vertical="center" wrapText="1"/>
    </xf>
    <xf numFmtId="14" fontId="0" fillId="2" borderId="0" xfId="0" applyNumberFormat="1" applyFont="1" applyFill="1" applyBorder="1" applyAlignment="1">
      <alignment horizontal="left" vertical="center"/>
    </xf>
    <xf numFmtId="43" fontId="20" fillId="0" borderId="0" xfId="0" applyNumberFormat="1" applyFont="1" applyFill="1" applyBorder="1" applyAlignment="1">
      <alignment horizontal="center" vertical="center"/>
    </xf>
    <xf numFmtId="198" fontId="0" fillId="2" borderId="0" xfId="3" applyNumberFormat="1" applyFont="1" applyFill="1" applyBorder="1" applyAlignment="1">
      <alignment horizontal="left" vertical="center"/>
    </xf>
    <xf numFmtId="43" fontId="0" fillId="0" borderId="0" xfId="0" applyNumberFormat="1" applyFont="1" applyFill="1" applyBorder="1">
      <alignment vertical="center"/>
    </xf>
    <xf numFmtId="10" fontId="0" fillId="2" borderId="0" xfId="3" applyNumberFormat="1" applyFont="1" applyFill="1" applyBorder="1">
      <alignment vertical="center"/>
    </xf>
    <xf numFmtId="0" fontId="0" fillId="2" borderId="0" xfId="0" applyFont="1" applyFill="1" applyBorder="1" applyAlignment="1">
      <alignment horizontal="left" vertical="center" wrapText="1"/>
    </xf>
    <xf numFmtId="43" fontId="21" fillId="2" borderId="0" xfId="0" applyNumberFormat="1" applyFont="1" applyFill="1" applyBorder="1" applyAlignment="1" applyProtection="1">
      <alignment horizontal="center" vertical="center" wrapText="1"/>
    </xf>
    <xf numFmtId="43" fontId="0" fillId="2" borderId="0" xfId="0" applyNumberFormat="1" applyFont="1" applyFill="1" applyBorder="1" applyAlignment="1">
      <alignment horizontal="left" vertical="center"/>
    </xf>
    <xf numFmtId="14" fontId="0" fillId="2" borderId="0" xfId="0" applyNumberFormat="1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43" fontId="2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left" vertical="center"/>
    </xf>
    <xf numFmtId="49" fontId="3" fillId="3" borderId="0" xfId="0" applyNumberFormat="1" applyFont="1" applyFill="1" applyBorder="1" applyAlignment="1">
      <alignment horizontal="center" vertical="center"/>
    </xf>
    <xf numFmtId="4" fontId="3" fillId="3" borderId="0" xfId="0" applyNumberFormat="1" applyFont="1" applyFill="1" applyBorder="1">
      <alignment vertical="center"/>
    </xf>
    <xf numFmtId="43" fontId="3" fillId="3" borderId="0" xfId="0" applyNumberFormat="1" applyFont="1" applyFill="1" applyBorder="1" applyAlignment="1">
      <alignment horizontal="left" vertical="center"/>
    </xf>
    <xf numFmtId="43" fontId="3" fillId="3" borderId="0" xfId="3" applyNumberFormat="1" applyFont="1" applyFill="1" applyBorder="1">
      <alignment vertical="center"/>
    </xf>
    <xf numFmtId="201" fontId="0" fillId="0" borderId="0" xfId="3" applyNumberFormat="1" applyFont="1" applyBorder="1">
      <alignment vertical="center"/>
    </xf>
    <xf numFmtId="0" fontId="0" fillId="0" borderId="0" xfId="0" applyFont="1" applyBorder="1" applyAlignment="1">
      <alignment vertical="center" wrapText="1"/>
    </xf>
    <xf numFmtId="43" fontId="3" fillId="3" borderId="0" xfId="0" applyNumberFormat="1" applyFont="1" applyFill="1" applyBorder="1" applyAlignment="1">
      <alignment horizontal="center" vertical="center"/>
    </xf>
    <xf numFmtId="43" fontId="0" fillId="0" borderId="0" xfId="0" applyNumberFormat="1" applyFont="1" applyBorder="1" applyAlignment="1">
      <alignment horizontal="center" vertical="center"/>
    </xf>
    <xf numFmtId="43" fontId="0" fillId="0" borderId="0" xfId="0" applyNumberFormat="1" applyFont="1" applyFill="1" applyBorder="1" applyAlignment="1">
      <alignment horizontal="center" vertical="center"/>
    </xf>
    <xf numFmtId="198" fontId="0" fillId="0" borderId="0" xfId="3" applyNumberFormat="1" applyFont="1" applyFill="1" applyBorder="1" applyAlignment="1">
      <alignment horizontal="center" vertical="center"/>
    </xf>
    <xf numFmtId="197" fontId="3" fillId="0" borderId="0" xfId="0" applyNumberFormat="1" applyFont="1" applyFill="1" applyBorder="1" applyAlignment="1">
      <alignment horizontal="center" vertical="center" wrapText="1"/>
    </xf>
    <xf numFmtId="43" fontId="3" fillId="4" borderId="0" xfId="3" applyNumberFormat="1" applyFont="1" applyFill="1" applyBorder="1" applyAlignment="1">
      <alignment horizontal="center" vertical="center" wrapText="1"/>
    </xf>
    <xf numFmtId="198" fontId="3" fillId="4" borderId="0" xfId="3" applyNumberFormat="1" applyFont="1" applyFill="1" applyBorder="1" applyAlignment="1">
      <alignment horizontal="center" vertical="center" wrapText="1"/>
    </xf>
    <xf numFmtId="195" fontId="3" fillId="0" borderId="0" xfId="0" applyNumberFormat="1" applyFont="1" applyFill="1" applyBorder="1" applyAlignment="1">
      <alignment horizontal="center" vertical="center"/>
    </xf>
    <xf numFmtId="199" fontId="20" fillId="0" borderId="0" xfId="0" applyNumberFormat="1" applyFont="1" applyFill="1" applyBorder="1" applyAlignment="1" applyProtection="1">
      <alignment horizontal="center" vertical="center" shrinkToFit="1"/>
    </xf>
    <xf numFmtId="43" fontId="20" fillId="0" borderId="0" xfId="0" applyNumberFormat="1" applyFont="1" applyFill="1" applyBorder="1" applyAlignment="1" applyProtection="1">
      <alignment horizontal="center" vertical="center"/>
    </xf>
    <xf numFmtId="199" fontId="20" fillId="2" borderId="0" xfId="0" applyNumberFormat="1" applyFont="1" applyFill="1" applyBorder="1" applyAlignment="1" applyProtection="1">
      <alignment horizontal="center" vertical="center" shrinkToFit="1"/>
    </xf>
    <xf numFmtId="43" fontId="20" fillId="2" borderId="0" xfId="0" applyNumberFormat="1" applyFont="1" applyFill="1" applyBorder="1" applyAlignment="1" applyProtection="1">
      <alignment horizontal="center" vertical="center"/>
    </xf>
    <xf numFmtId="43" fontId="0" fillId="2" borderId="0" xfId="0" applyNumberFormat="1" applyFont="1" applyFill="1" applyBorder="1" applyAlignment="1">
      <alignment horizontal="center" vertical="center"/>
    </xf>
    <xf numFmtId="198" fontId="0" fillId="2" borderId="0" xfId="3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 applyProtection="1">
      <alignment horizontal="center" vertical="center" shrinkToFit="1"/>
    </xf>
    <xf numFmtId="14" fontId="0" fillId="2" borderId="0" xfId="0" applyNumberFormat="1" applyFont="1" applyFill="1" applyBorder="1" applyAlignment="1">
      <alignment horizontal="center" vertical="center"/>
    </xf>
    <xf numFmtId="49" fontId="20" fillId="2" borderId="0" xfId="0" applyNumberFormat="1" applyFont="1" applyFill="1" applyBorder="1" applyAlignment="1" applyProtection="1">
      <alignment horizontal="center" vertical="center" shrinkToFit="1"/>
    </xf>
    <xf numFmtId="198" fontId="0" fillId="2" borderId="0" xfId="3" applyNumberFormat="1" applyFont="1" applyFill="1" applyBorder="1" applyAlignment="1">
      <alignment horizontal="center" vertical="center" wrapText="1"/>
    </xf>
    <xf numFmtId="198" fontId="0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203" fontId="0" fillId="2" borderId="0" xfId="3" applyNumberFormat="1" applyFont="1" applyFill="1" applyBorder="1" applyAlignment="1">
      <alignment horizontal="center" vertical="center"/>
    </xf>
    <xf numFmtId="196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4" fontId="0" fillId="6" borderId="0" xfId="0" applyNumberFormat="1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left" vertical="center"/>
    </xf>
    <xf numFmtId="204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205" fontId="0" fillId="0" borderId="0" xfId="0" applyNumberFormat="1" applyFont="1" applyBorder="1" applyAlignment="1">
      <alignment horizontal="center" vertical="center"/>
    </xf>
    <xf numFmtId="196" fontId="0" fillId="0" borderId="0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/>
    </xf>
    <xf numFmtId="205" fontId="3" fillId="0" borderId="0" xfId="0" applyNumberFormat="1" applyFont="1" applyFill="1" applyAlignment="1">
      <alignment horizontal="center" vertical="center"/>
    </xf>
    <xf numFmtId="196" fontId="3" fillId="0" borderId="0" xfId="0" applyNumberFormat="1" applyFont="1" applyFill="1" applyAlignment="1">
      <alignment horizontal="center" vertical="center"/>
    </xf>
    <xf numFmtId="43" fontId="0" fillId="0" borderId="0" xfId="3" applyNumberFormat="1" applyFont="1" applyFill="1" applyBorder="1" applyAlignment="1">
      <alignment horizontal="center" vertical="center"/>
    </xf>
    <xf numFmtId="196" fontId="3" fillId="0" borderId="0" xfId="0" applyNumberFormat="1" applyFont="1" applyFill="1" applyBorder="1" applyAlignment="1">
      <alignment horizontal="center" vertical="center" wrapText="1"/>
    </xf>
    <xf numFmtId="205" fontId="3" fillId="0" borderId="0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196" fontId="0" fillId="0" borderId="0" xfId="0" applyNumberFormat="1" applyFont="1" applyFill="1" applyBorder="1" applyAlignment="1">
      <alignment horizontal="center" vertical="center"/>
    </xf>
    <xf numFmtId="197" fontId="0" fillId="0" borderId="0" xfId="0" applyNumberFormat="1" applyFont="1" applyFill="1" applyBorder="1" applyAlignment="1">
      <alignment horizontal="center" vertical="center"/>
    </xf>
    <xf numFmtId="194" fontId="0" fillId="0" borderId="0" xfId="0" applyNumberFormat="1" applyFont="1" applyFill="1" applyBorder="1" applyAlignment="1">
      <alignment horizontal="center" vertical="center"/>
    </xf>
    <xf numFmtId="202" fontId="0" fillId="0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Fill="1" applyBorder="1" applyAlignment="1">
      <alignment horizontal="center" vertical="center"/>
    </xf>
    <xf numFmtId="205" fontId="0" fillId="2" borderId="0" xfId="0" applyNumberFormat="1" applyFont="1" applyFill="1" applyBorder="1" applyAlignment="1">
      <alignment horizontal="center" vertical="center"/>
    </xf>
    <xf numFmtId="198" fontId="0" fillId="0" borderId="0" xfId="3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9" fontId="0" fillId="0" borderId="0" xfId="3" applyNumberFormat="1" applyFont="1" applyFill="1" applyBorder="1" applyAlignment="1" applyProtection="1">
      <alignment horizontal="center" vertical="center" wrapText="1"/>
    </xf>
    <xf numFmtId="205" fontId="0" fillId="0" borderId="0" xfId="0" applyNumberFormat="1" applyFont="1" applyFill="1" applyBorder="1" applyAlignment="1">
      <alignment horizontal="center" vertical="center"/>
    </xf>
    <xf numFmtId="195" fontId="0" fillId="2" borderId="0" xfId="0" applyNumberFormat="1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 applyProtection="1">
      <alignment horizontal="center" vertical="center" shrinkToFit="1"/>
    </xf>
    <xf numFmtId="0" fontId="23" fillId="2" borderId="0" xfId="0" applyFont="1" applyFill="1" applyBorder="1" applyAlignment="1" applyProtection="1">
      <alignment horizontal="center" vertical="center"/>
    </xf>
    <xf numFmtId="206" fontId="0" fillId="2" borderId="0" xfId="0" applyNumberFormat="1" applyFont="1" applyFill="1" applyBorder="1" applyAlignment="1">
      <alignment horizontal="center" vertical="center"/>
    </xf>
    <xf numFmtId="199" fontId="23" fillId="2" borderId="0" xfId="0" applyNumberFormat="1" applyFont="1" applyFill="1" applyBorder="1" applyAlignment="1" applyProtection="1">
      <alignment horizontal="center" vertical="center" shrinkToFit="1"/>
    </xf>
    <xf numFmtId="49" fontId="24" fillId="2" borderId="0" xfId="0" applyNumberFormat="1" applyFont="1" applyFill="1" applyBorder="1" applyAlignment="1" applyProtection="1">
      <alignment horizontal="center" vertical="center" shrinkToFit="1"/>
    </xf>
    <xf numFmtId="198" fontId="22" fillId="2" borderId="0" xfId="3" applyNumberFormat="1" applyFont="1" applyFill="1" applyBorder="1" applyAlignment="1">
      <alignment horizontal="center" vertical="center"/>
    </xf>
    <xf numFmtId="197" fontId="0" fillId="2" borderId="0" xfId="0" applyNumberFormat="1" applyFont="1" applyFill="1" applyBorder="1" applyAlignment="1">
      <alignment horizontal="center" vertical="center"/>
    </xf>
    <xf numFmtId="202" fontId="0" fillId="2" borderId="0" xfId="0" applyNumberFormat="1" applyFont="1" applyFill="1" applyBorder="1" applyAlignment="1">
      <alignment horizontal="center" vertical="center"/>
    </xf>
    <xf numFmtId="0" fontId="23" fillId="2" borderId="0" xfId="0" applyFont="1" applyFill="1" applyBorder="1" applyAlignment="1" applyProtection="1">
      <alignment horizontal="center" vertical="center" wrapText="1"/>
    </xf>
    <xf numFmtId="203" fontId="0" fillId="2" borderId="0" xfId="3" applyNumberFormat="1" applyFont="1" applyFill="1" applyBorder="1" applyAlignment="1">
      <alignment horizontal="center" vertical="center" wrapText="1"/>
    </xf>
    <xf numFmtId="207" fontId="0" fillId="2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Border="1" applyAlignment="1">
      <alignment horizontal="center" vertical="center"/>
    </xf>
    <xf numFmtId="49" fontId="24" fillId="7" borderId="0" xfId="0" applyNumberFormat="1" applyFont="1" applyFill="1" applyBorder="1" applyAlignment="1" applyProtection="1">
      <alignment horizontal="center" vertical="center" shrinkToFit="1"/>
    </xf>
    <xf numFmtId="0" fontId="23" fillId="7" borderId="0" xfId="0" applyFont="1" applyFill="1" applyBorder="1" applyAlignment="1" applyProtection="1">
      <alignment horizontal="center" vertical="center"/>
    </xf>
    <xf numFmtId="49" fontId="23" fillId="7" borderId="0" xfId="0" applyNumberFormat="1" applyFont="1" applyFill="1" applyBorder="1" applyAlignment="1" applyProtection="1">
      <alignment horizontal="center" vertical="center" shrinkToFit="1"/>
    </xf>
    <xf numFmtId="199" fontId="23" fillId="7" borderId="0" xfId="0" applyNumberFormat="1" applyFont="1" applyFill="1" applyBorder="1" applyAlignment="1" applyProtection="1">
      <alignment horizontal="center" vertical="center" shrinkToFit="1"/>
    </xf>
    <xf numFmtId="14" fontId="0" fillId="2" borderId="0" xfId="0" applyNumberFormat="1" applyFill="1">
      <alignment vertical="center"/>
    </xf>
    <xf numFmtId="0" fontId="0" fillId="2" borderId="0" xfId="0" applyFill="1">
      <alignment vertical="center"/>
    </xf>
    <xf numFmtId="0" fontId="3" fillId="3" borderId="0" xfId="0" applyFont="1" applyFill="1" applyAlignment="1">
      <alignment vertical="center"/>
    </xf>
    <xf numFmtId="205" fontId="3" fillId="3" borderId="0" xfId="0" applyNumberFormat="1" applyFont="1" applyFill="1" applyBorder="1" applyAlignment="1">
      <alignment horizontal="center" vertical="center"/>
    </xf>
    <xf numFmtId="43" fontId="3" fillId="3" borderId="0" xfId="3" applyNumberFormat="1" applyFont="1" applyFill="1" applyBorder="1" applyAlignment="1">
      <alignment horizontal="center" vertical="center"/>
    </xf>
    <xf numFmtId="43" fontId="0" fillId="0" borderId="0" xfId="3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208" fontId="0" fillId="0" borderId="0" xfId="0" applyNumberFormat="1" applyFont="1" applyFill="1" applyBorder="1" applyAlignment="1">
      <alignment horizontal="center" vertical="center"/>
    </xf>
    <xf numFmtId="209" fontId="0" fillId="0" borderId="0" xfId="0" applyNumberFormat="1" applyFont="1" applyFill="1" applyBorder="1" applyAlignment="1">
      <alignment horizontal="center" vertical="center"/>
    </xf>
    <xf numFmtId="208" fontId="3" fillId="0" borderId="0" xfId="0" applyNumberFormat="1" applyFont="1" applyFill="1" applyBorder="1" applyAlignment="1">
      <alignment horizontal="center" vertical="center"/>
    </xf>
    <xf numFmtId="209" fontId="3" fillId="0" borderId="0" xfId="0" applyNumberFormat="1" applyFont="1" applyFill="1" applyBorder="1" applyAlignment="1">
      <alignment horizontal="center" vertical="center"/>
    </xf>
    <xf numFmtId="198" fontId="3" fillId="0" borderId="0" xfId="3" applyNumberFormat="1" applyFont="1" applyFill="1" applyBorder="1" applyAlignment="1">
      <alignment horizontal="center" vertical="center"/>
    </xf>
    <xf numFmtId="209" fontId="3" fillId="0" borderId="0" xfId="0" applyNumberFormat="1" applyFont="1" applyFill="1" applyBorder="1" applyAlignment="1">
      <alignment horizontal="center" vertical="center" wrapText="1"/>
    </xf>
    <xf numFmtId="197" fontId="3" fillId="3" borderId="0" xfId="0" applyNumberFormat="1" applyFont="1" applyFill="1" applyBorder="1" applyAlignment="1">
      <alignment horizontal="center" vertical="center" wrapText="1"/>
    </xf>
    <xf numFmtId="197" fontId="3" fillId="4" borderId="0" xfId="0" applyNumberFormat="1" applyFont="1" applyFill="1" applyBorder="1" applyAlignment="1">
      <alignment horizontal="center" vertical="center"/>
    </xf>
    <xf numFmtId="197" fontId="0" fillId="4" borderId="0" xfId="0" applyNumberFormat="1" applyFont="1" applyFill="1" applyBorder="1" applyAlignment="1">
      <alignment horizontal="center" vertical="center"/>
    </xf>
    <xf numFmtId="197" fontId="0" fillId="4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5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196" fontId="25" fillId="0" borderId="0" xfId="0" applyNumberFormat="1" applyFont="1" applyFill="1" applyBorder="1" applyAlignment="1">
      <alignment horizontal="center" vertical="center"/>
    </xf>
    <xf numFmtId="208" fontId="25" fillId="0" borderId="0" xfId="0" applyNumberFormat="1" applyFont="1" applyFill="1" applyBorder="1" applyAlignment="1">
      <alignment horizontal="center" vertical="center"/>
    </xf>
    <xf numFmtId="209" fontId="25" fillId="0" borderId="0" xfId="0" applyNumberFormat="1" applyFont="1" applyFill="1" applyBorder="1" applyAlignment="1">
      <alignment horizontal="center" vertical="center" wrapText="1"/>
    </xf>
    <xf numFmtId="43" fontId="25" fillId="0" borderId="0" xfId="0" applyNumberFormat="1" applyFont="1" applyFill="1" applyBorder="1" applyAlignment="1">
      <alignment horizontal="center" vertical="center"/>
    </xf>
    <xf numFmtId="194" fontId="25" fillId="0" borderId="0" xfId="0" applyNumberFormat="1" applyFont="1" applyFill="1" applyBorder="1" applyAlignment="1">
      <alignment horizontal="center" vertical="center"/>
    </xf>
    <xf numFmtId="195" fontId="25" fillId="0" borderId="0" xfId="0" applyNumberFormat="1" applyFont="1" applyFill="1" applyBorder="1" applyAlignment="1">
      <alignment horizontal="center" vertical="center"/>
    </xf>
    <xf numFmtId="197" fontId="25" fillId="0" borderId="0" xfId="0" applyNumberFormat="1" applyFont="1" applyFill="1" applyBorder="1" applyAlignment="1">
      <alignment horizontal="center" vertical="center"/>
    </xf>
    <xf numFmtId="202" fontId="25" fillId="0" borderId="0" xfId="0" applyNumberFormat="1" applyFont="1" applyFill="1" applyBorder="1" applyAlignment="1">
      <alignment horizontal="center" vertical="center"/>
    </xf>
    <xf numFmtId="201" fontId="25" fillId="4" borderId="0" xfId="3" applyNumberFormat="1" applyFont="1" applyFill="1" applyBorder="1" applyAlignment="1">
      <alignment horizontal="center" vertical="center" wrapText="1"/>
    </xf>
    <xf numFmtId="198" fontId="25" fillId="4" borderId="0" xfId="3" applyNumberFormat="1" applyFont="1" applyFill="1" applyBorder="1" applyAlignment="1">
      <alignment horizontal="center" vertical="center" wrapText="1"/>
    </xf>
    <xf numFmtId="197" fontId="25" fillId="0" borderId="0" xfId="0" applyNumberFormat="1" applyFont="1" applyFill="1" applyBorder="1" applyAlignment="1">
      <alignment horizontal="center" vertical="center" wrapText="1"/>
    </xf>
    <xf numFmtId="197" fontId="25" fillId="3" borderId="0" xfId="0" applyNumberFormat="1" applyFont="1" applyFill="1" applyBorder="1" applyAlignment="1">
      <alignment horizontal="center" vertical="center" wrapText="1"/>
    </xf>
    <xf numFmtId="197" fontId="25" fillId="4" borderId="0" xfId="0" applyNumberFormat="1" applyFont="1" applyFill="1" applyBorder="1" applyAlignment="1">
      <alignment horizontal="center" vertical="center"/>
    </xf>
    <xf numFmtId="197" fontId="26" fillId="4" borderId="0" xfId="0" applyNumberFormat="1" applyFont="1" applyFill="1" applyBorder="1" applyAlignment="1">
      <alignment horizontal="center" vertical="center"/>
    </xf>
    <xf numFmtId="197" fontId="26" fillId="4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199" fontId="0" fillId="7" borderId="0" xfId="0" applyNumberFormat="1" applyFont="1" applyFill="1" applyBorder="1" applyAlignment="1" applyProtection="1">
      <alignment horizontal="center" vertical="center" shrinkToFit="1"/>
    </xf>
    <xf numFmtId="196" fontId="28" fillId="0" borderId="0" xfId="0" applyNumberFormat="1" applyFont="1" applyFill="1" applyBorder="1" applyAlignment="1">
      <alignment horizontal="center" vertical="center"/>
    </xf>
    <xf numFmtId="197" fontId="0" fillId="0" borderId="0" xfId="0" applyNumberFormat="1" applyFont="1" applyFill="1" applyBorder="1" applyAlignment="1">
      <alignment horizontal="center" vertical="center" wrapText="1"/>
    </xf>
    <xf numFmtId="49" fontId="0" fillId="7" borderId="0" xfId="0" applyNumberFormat="1" applyFont="1" applyFill="1" applyBorder="1" applyAlignment="1" applyProtection="1">
      <alignment horizontal="center" vertical="center" shrinkToFit="1"/>
    </xf>
    <xf numFmtId="196" fontId="2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 shrinkToFit="1"/>
    </xf>
    <xf numFmtId="0" fontId="0" fillId="2" borderId="0" xfId="0" applyNumberFormat="1" applyFont="1" applyFill="1" applyBorder="1" applyAlignment="1">
      <alignment horizontal="center" vertical="center"/>
    </xf>
    <xf numFmtId="199" fontId="0" fillId="2" borderId="0" xfId="0" applyNumberFormat="1" applyFont="1" applyFill="1" applyBorder="1" applyAlignment="1" applyProtection="1">
      <alignment horizontal="center" vertical="center" shrinkToFit="1"/>
    </xf>
    <xf numFmtId="208" fontId="0" fillId="2" borderId="0" xfId="0" applyNumberFormat="1" applyFont="1" applyFill="1" applyBorder="1" applyAlignment="1">
      <alignment horizontal="center" vertical="center"/>
    </xf>
    <xf numFmtId="197" fontId="0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 applyProtection="1">
      <alignment horizontal="center" vertical="center" shrinkToFit="1"/>
    </xf>
    <xf numFmtId="209" fontId="0" fillId="2" borderId="0" xfId="0" applyNumberFormat="1" applyFont="1" applyFill="1" applyBorder="1" applyAlignment="1">
      <alignment horizontal="center" vertical="center"/>
    </xf>
    <xf numFmtId="202" fontId="0" fillId="2" borderId="0" xfId="0" applyNumberFormat="1" applyFont="1" applyFill="1" applyBorder="1" applyAlignment="1">
      <alignment horizontal="center" vertical="center" wrapText="1"/>
    </xf>
    <xf numFmtId="194" fontId="0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96" fontId="4" fillId="0" borderId="0" xfId="0" applyNumberFormat="1" applyFont="1" applyFill="1" applyBorder="1" applyAlignment="1">
      <alignment horizontal="center" vertical="center"/>
    </xf>
    <xf numFmtId="49" fontId="29" fillId="7" borderId="0" xfId="0" applyNumberFormat="1" applyFont="1" applyFill="1" applyBorder="1" applyAlignment="1" applyProtection="1">
      <alignment horizontal="center" vertical="center" wrapText="1" shrinkToFit="1"/>
    </xf>
    <xf numFmtId="14" fontId="0" fillId="0" borderId="0" xfId="0" applyNumberFormat="1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>
      <alignment horizontal="center" vertical="center" wrapText="1"/>
    </xf>
    <xf numFmtId="195" fontId="0" fillId="2" borderId="0" xfId="0" applyNumberFormat="1" applyFont="1" applyFill="1" applyBorder="1" applyAlignment="1">
      <alignment horizontal="center" vertical="center" wrapText="1"/>
    </xf>
    <xf numFmtId="49" fontId="0" fillId="2" borderId="0" xfId="30237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202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4" fontId="0" fillId="0" borderId="0" xfId="0" applyNumberFormat="1" applyFont="1" applyFill="1" applyBorder="1" applyAlignment="1">
      <alignment horizontal="center" vertical="center"/>
    </xf>
    <xf numFmtId="4" fontId="0" fillId="2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 applyProtection="1">
      <alignment horizontal="center" vertical="center"/>
    </xf>
    <xf numFmtId="208" fontId="0" fillId="0" borderId="0" xfId="1" applyNumberFormat="1" applyFont="1" applyFill="1" applyBorder="1" applyAlignment="1">
      <alignment horizontal="center" vertical="center"/>
    </xf>
    <xf numFmtId="197" fontId="0" fillId="0" borderId="0" xfId="1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21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206" fontId="0" fillId="0" borderId="0" xfId="1" applyNumberFormat="1" applyFont="1" applyFill="1" applyBorder="1" applyAlignment="1">
      <alignment horizontal="center" vertical="center"/>
    </xf>
    <xf numFmtId="211" fontId="0" fillId="0" borderId="0" xfId="0" applyNumberFormat="1" applyFont="1" applyFill="1" applyBorder="1" applyAlignment="1">
      <alignment horizontal="center" vertical="center"/>
    </xf>
    <xf numFmtId="49" fontId="0" fillId="0" borderId="0" xfId="30239" applyNumberFormat="1" applyFont="1" applyFill="1" applyBorder="1" applyAlignment="1">
      <alignment horizontal="center" vertical="center"/>
    </xf>
    <xf numFmtId="0" fontId="0" fillId="7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208" fontId="0" fillId="2" borderId="0" xfId="1" applyNumberFormat="1" applyFont="1" applyFill="1" applyBorder="1" applyAlignment="1">
      <alignment horizontal="center" vertical="center"/>
    </xf>
    <xf numFmtId="197" fontId="0" fillId="2" borderId="0" xfId="1" applyNumberFormat="1" applyFont="1" applyFill="1" applyBorder="1" applyAlignment="1">
      <alignment horizontal="center" vertical="center"/>
    </xf>
    <xf numFmtId="43" fontId="0" fillId="2" borderId="0" xfId="1" applyNumberFormat="1" applyFont="1" applyFill="1" applyBorder="1" applyAlignment="1">
      <alignment horizontal="center" vertical="center"/>
    </xf>
    <xf numFmtId="195" fontId="0" fillId="2" borderId="0" xfId="30237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center" vertical="center" wrapText="1"/>
    </xf>
    <xf numFmtId="211" fontId="0" fillId="2" borderId="0" xfId="1" applyNumberFormat="1" applyFont="1" applyFill="1" applyBorder="1" applyAlignment="1">
      <alignment horizontal="center" vertical="center"/>
    </xf>
    <xf numFmtId="49" fontId="0" fillId="2" borderId="0" xfId="30240" applyNumberFormat="1" applyFont="1" applyFill="1" applyBorder="1" applyAlignment="1">
      <alignment horizontal="center" vertical="center"/>
    </xf>
    <xf numFmtId="49" fontId="0" fillId="0" borderId="0" xfId="30237" applyNumberFormat="1" applyFont="1" applyFill="1" applyBorder="1" applyAlignment="1">
      <alignment horizontal="center" vertical="center" wrapText="1"/>
    </xf>
    <xf numFmtId="43" fontId="0" fillId="0" borderId="0" xfId="1" applyNumberFormat="1" applyFont="1" applyFill="1" applyBorder="1" applyAlignment="1">
      <alignment horizontal="center" vertical="center"/>
    </xf>
    <xf numFmtId="195" fontId="0" fillId="0" borderId="0" xfId="30237" applyNumberFormat="1" applyFont="1" applyFill="1" applyBorder="1" applyAlignment="1">
      <alignment horizontal="center" vertical="center" wrapText="1"/>
    </xf>
    <xf numFmtId="211" fontId="0" fillId="0" borderId="0" xfId="1" applyNumberFormat="1" applyFont="1" applyFill="1" applyBorder="1" applyAlignment="1">
      <alignment horizontal="center" vertical="center"/>
    </xf>
    <xf numFmtId="210" fontId="0" fillId="2" borderId="0" xfId="0" applyNumberFormat="1" applyFont="1" applyFill="1" applyBorder="1" applyAlignment="1">
      <alignment horizontal="center" vertical="center"/>
    </xf>
    <xf numFmtId="49" fontId="0" fillId="2" borderId="0" xfId="30239" applyNumberFormat="1" applyFont="1" applyFill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 shrinkToFit="1"/>
    </xf>
    <xf numFmtId="211" fontId="0" fillId="2" borderId="0" xfId="0" applyNumberFormat="1" applyFont="1" applyFill="1" applyBorder="1" applyAlignment="1">
      <alignment horizontal="center" vertical="center"/>
    </xf>
    <xf numFmtId="196" fontId="0" fillId="7" borderId="0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206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shrinkToFit="1"/>
    </xf>
    <xf numFmtId="14" fontId="0" fillId="0" borderId="0" xfId="0" applyNumberFormat="1" applyFont="1" applyFill="1" applyBorder="1" applyAlignment="1">
      <alignment horizontal="center" vertical="center" wrapText="1" shrinkToFit="1"/>
    </xf>
    <xf numFmtId="0" fontId="20" fillId="0" borderId="0" xfId="0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49" fontId="0" fillId="2" borderId="0" xfId="0" applyNumberFormat="1" applyFont="1" applyFill="1" applyBorder="1" applyAlignment="1">
      <alignment horizontal="center" vertical="center" shrinkToFit="1"/>
    </xf>
    <xf numFmtId="206" fontId="0" fillId="2" borderId="0" xfId="1" applyNumberFormat="1" applyFont="1" applyFill="1" applyBorder="1" applyAlignment="1">
      <alignment horizontal="center" vertical="center"/>
    </xf>
    <xf numFmtId="209" fontId="0" fillId="2" borderId="0" xfId="1" applyNumberFormat="1" applyFont="1" applyFill="1" applyBorder="1" applyAlignment="1">
      <alignment horizontal="center" vertical="center"/>
    </xf>
    <xf numFmtId="212" fontId="0" fillId="2" borderId="0" xfId="1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 applyProtection="1">
      <alignment horizontal="center" vertical="center"/>
    </xf>
    <xf numFmtId="200" fontId="0" fillId="2" borderId="0" xfId="0" applyNumberFormat="1" applyFont="1" applyFill="1" applyBorder="1" applyAlignment="1">
      <alignment horizontal="center" vertical="center"/>
    </xf>
    <xf numFmtId="195" fontId="0" fillId="2" borderId="0" xfId="30237" applyNumberFormat="1" applyFont="1" applyFill="1" applyBorder="1" applyAlignment="1">
      <alignment horizontal="center" vertical="center" shrinkToFit="1"/>
    </xf>
    <xf numFmtId="202" fontId="0" fillId="2" borderId="0" xfId="0" applyNumberFormat="1" applyFont="1" applyFill="1" applyBorder="1" applyAlignment="1">
      <alignment horizontal="center" vertical="center" shrinkToFit="1"/>
    </xf>
    <xf numFmtId="0" fontId="3" fillId="3" borderId="0" xfId="0" applyNumberFormat="1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196" fontId="3" fillId="3" borderId="0" xfId="0" applyNumberFormat="1" applyFont="1" applyFill="1" applyBorder="1" applyAlignment="1">
      <alignment horizontal="center" vertical="center"/>
    </xf>
    <xf numFmtId="208" fontId="3" fillId="3" borderId="0" xfId="0" applyNumberFormat="1" applyFont="1" applyFill="1" applyBorder="1" applyAlignment="1">
      <alignment horizontal="center" vertical="center"/>
    </xf>
    <xf numFmtId="197" fontId="3" fillId="3" borderId="0" xfId="0" applyNumberFormat="1" applyFont="1" applyFill="1" applyBorder="1" applyAlignment="1">
      <alignment horizontal="center" vertical="center"/>
    </xf>
    <xf numFmtId="195" fontId="3" fillId="3" borderId="0" xfId="0" applyNumberFormat="1" applyFont="1" applyFill="1" applyBorder="1" applyAlignment="1">
      <alignment horizontal="center" vertical="center"/>
    </xf>
    <xf numFmtId="202" fontId="3" fillId="3" borderId="0" xfId="0" applyNumberFormat="1" applyFont="1" applyFill="1" applyBorder="1" applyAlignment="1">
      <alignment horizontal="center" vertical="center"/>
    </xf>
    <xf numFmtId="196" fontId="3" fillId="3" borderId="0" xfId="0" applyNumberFormat="1" applyFont="1" applyFill="1" applyBorder="1" applyAlignment="1">
      <alignment horizontal="center" vertical="center" wrapText="1"/>
    </xf>
    <xf numFmtId="0" fontId="29" fillId="0" borderId="0" xfId="0" applyFont="1" applyBorder="1">
      <alignment vertical="center"/>
    </xf>
    <xf numFmtId="198" fontId="0" fillId="0" borderId="0" xfId="0" applyNumberFormat="1" applyFont="1" applyFill="1" applyBorder="1" applyAlignment="1">
      <alignment horizontal="center" vertical="center"/>
    </xf>
    <xf numFmtId="197" fontId="30" fillId="0" borderId="0" xfId="0" applyNumberFormat="1" applyFont="1" applyFill="1" applyBorder="1" applyAlignment="1">
      <alignment horizontal="right" vertical="center"/>
    </xf>
    <xf numFmtId="0" fontId="31" fillId="0" borderId="0" xfId="0" applyFont="1" applyBorder="1" applyAlignment="1">
      <alignment vertical="center" wrapText="1"/>
    </xf>
    <xf numFmtId="0" fontId="0" fillId="8" borderId="0" xfId="0" applyFont="1" applyFill="1" applyBorder="1" applyAlignment="1">
      <alignment horizontal="center" vertical="center"/>
    </xf>
    <xf numFmtId="0" fontId="0" fillId="8" borderId="0" xfId="0" applyFont="1" applyFill="1" applyBorder="1" applyAlignment="1">
      <alignment horizontal="center" vertical="center" wrapText="1"/>
    </xf>
    <xf numFmtId="202" fontId="0" fillId="0" borderId="0" xfId="30237" applyNumberFormat="1" applyFont="1" applyFill="1" applyBorder="1" applyAlignment="1">
      <alignment horizontal="center" vertical="center" wrapText="1"/>
    </xf>
    <xf numFmtId="0" fontId="0" fillId="0" borderId="0" xfId="30237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0" fillId="0" borderId="0" xfId="0" applyFont="1" applyFill="1">
      <alignment vertical="center"/>
    </xf>
    <xf numFmtId="208" fontId="0" fillId="2" borderId="0" xfId="0" applyNumberFormat="1" applyFont="1" applyFill="1" applyBorder="1" applyAlignment="1">
      <alignment horizontal="left" vertical="center"/>
    </xf>
    <xf numFmtId="197" fontId="0" fillId="2" borderId="0" xfId="0" applyNumberFormat="1" applyFont="1" applyFill="1" applyBorder="1" applyAlignment="1">
      <alignment horizontal="left" vertical="center"/>
    </xf>
    <xf numFmtId="0" fontId="29" fillId="2" borderId="0" xfId="0" applyFont="1" applyFill="1" applyBorder="1" applyAlignment="1">
      <alignment horizontal="left" vertical="center"/>
    </xf>
    <xf numFmtId="195" fontId="29" fillId="2" borderId="0" xfId="0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vertical="center"/>
    </xf>
    <xf numFmtId="213" fontId="0" fillId="2" borderId="0" xfId="0" applyNumberFormat="1" applyFont="1" applyFill="1" applyBorder="1" applyAlignment="1">
      <alignment horizontal="left" vertical="center"/>
    </xf>
    <xf numFmtId="203" fontId="0" fillId="2" borderId="0" xfId="3" applyNumberFormat="1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196" fontId="26" fillId="2" borderId="0" xfId="0" applyNumberFormat="1" applyFont="1" applyFill="1" applyBorder="1" applyAlignment="1">
      <alignment horizontal="left" vertical="center"/>
    </xf>
    <xf numFmtId="208" fontId="26" fillId="2" borderId="0" xfId="0" applyNumberFormat="1" applyFont="1" applyFill="1" applyBorder="1" applyAlignment="1">
      <alignment horizontal="left" vertical="center"/>
    </xf>
    <xf numFmtId="197" fontId="26" fillId="2" borderId="0" xfId="0" applyNumberFormat="1" applyFont="1" applyFill="1" applyBorder="1" applyAlignment="1">
      <alignment horizontal="left" vertical="center"/>
    </xf>
    <xf numFmtId="43" fontId="26" fillId="2" borderId="0" xfId="0" applyNumberFormat="1" applyFont="1" applyFill="1" applyBorder="1" applyAlignment="1">
      <alignment horizontal="left" vertical="center"/>
    </xf>
    <xf numFmtId="202" fontId="26" fillId="2" borderId="0" xfId="0" applyNumberFormat="1" applyFont="1" applyFill="1" applyBorder="1" applyAlignment="1">
      <alignment horizontal="left" vertical="center"/>
    </xf>
    <xf numFmtId="202" fontId="26" fillId="2" borderId="0" xfId="0" applyNumberFormat="1" applyFont="1" applyFill="1" applyBorder="1" applyAlignment="1">
      <alignment vertical="center"/>
    </xf>
    <xf numFmtId="195" fontId="26" fillId="2" borderId="0" xfId="0" applyNumberFormat="1" applyFont="1" applyFill="1" applyBorder="1" applyAlignment="1">
      <alignment horizontal="left" vertical="center"/>
    </xf>
    <xf numFmtId="213" fontId="26" fillId="2" borderId="0" xfId="0" applyNumberFormat="1" applyFont="1" applyFill="1" applyBorder="1" applyAlignment="1">
      <alignment horizontal="left" vertical="center"/>
    </xf>
    <xf numFmtId="203" fontId="26" fillId="2" borderId="0" xfId="3" applyNumberFormat="1" applyFont="1" applyFill="1" applyBorder="1" applyAlignment="1">
      <alignment horizontal="left" vertical="center"/>
    </xf>
    <xf numFmtId="197" fontId="26" fillId="2" borderId="0" xfId="0" applyNumberFormat="1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left" vertical="center" wrapText="1"/>
    </xf>
    <xf numFmtId="196" fontId="25" fillId="2" borderId="0" xfId="0" applyNumberFormat="1" applyFont="1" applyFill="1" applyBorder="1" applyAlignment="1">
      <alignment horizontal="left" vertical="center" wrapText="1"/>
    </xf>
    <xf numFmtId="208" fontId="25" fillId="2" borderId="0" xfId="0" applyNumberFormat="1" applyFont="1" applyFill="1" applyBorder="1" applyAlignment="1">
      <alignment horizontal="left" vertical="center"/>
    </xf>
    <xf numFmtId="197" fontId="25" fillId="2" borderId="0" xfId="0" applyNumberFormat="1" applyFont="1" applyFill="1" applyBorder="1" applyAlignment="1">
      <alignment horizontal="center" vertical="center" wrapText="1"/>
    </xf>
    <xf numFmtId="43" fontId="25" fillId="2" borderId="0" xfId="0" applyNumberFormat="1" applyFont="1" applyFill="1" applyBorder="1" applyAlignment="1">
      <alignment horizontal="center" vertical="center"/>
    </xf>
    <xf numFmtId="194" fontId="27" fillId="2" borderId="0" xfId="0" applyNumberFormat="1" applyFont="1" applyFill="1" applyBorder="1" applyAlignment="1">
      <alignment horizontal="center" vertical="center"/>
    </xf>
    <xf numFmtId="195" fontId="27" fillId="2" borderId="0" xfId="0" applyNumberFormat="1" applyFont="1" applyFill="1" applyBorder="1" applyAlignment="1">
      <alignment horizontal="center" vertical="center"/>
    </xf>
    <xf numFmtId="197" fontId="25" fillId="2" borderId="0" xfId="0" applyNumberFormat="1" applyFont="1" applyFill="1" applyBorder="1" applyAlignment="1">
      <alignment horizontal="left" vertical="center" wrapText="1"/>
    </xf>
    <xf numFmtId="202" fontId="25" fillId="2" borderId="0" xfId="0" applyNumberFormat="1" applyFont="1" applyFill="1" applyBorder="1" applyAlignment="1">
      <alignment horizontal="left" vertical="center"/>
    </xf>
    <xf numFmtId="202" fontId="25" fillId="2" borderId="0" xfId="0" applyNumberFormat="1" applyFont="1" applyFill="1" applyBorder="1" applyAlignment="1">
      <alignment vertical="center"/>
    </xf>
    <xf numFmtId="197" fontId="25" fillId="2" borderId="0" xfId="0" applyNumberFormat="1" applyFont="1" applyFill="1" applyBorder="1" applyAlignment="1">
      <alignment horizontal="center" vertical="center"/>
    </xf>
    <xf numFmtId="197" fontId="25" fillId="2" borderId="0" xfId="0" applyNumberFormat="1" applyFont="1" applyFill="1" applyBorder="1" applyAlignment="1">
      <alignment horizontal="left" vertical="center"/>
    </xf>
    <xf numFmtId="213" fontId="25" fillId="2" borderId="0" xfId="0" applyNumberFormat="1" applyFont="1" applyFill="1" applyBorder="1" applyAlignment="1">
      <alignment horizontal="left" vertical="center"/>
    </xf>
    <xf numFmtId="203" fontId="25" fillId="2" borderId="0" xfId="3" applyNumberFormat="1" applyFont="1" applyFill="1" applyBorder="1" applyAlignment="1">
      <alignment horizontal="center" vertical="center" wrapText="1"/>
    </xf>
    <xf numFmtId="197" fontId="3" fillId="2" borderId="0" xfId="0" applyNumberFormat="1" applyFont="1" applyFill="1" applyBorder="1" applyAlignment="1">
      <alignment horizontal="center" vertical="center" wrapText="1"/>
    </xf>
    <xf numFmtId="196" fontId="25" fillId="2" borderId="0" xfId="0" applyNumberFormat="1" applyFont="1" applyFill="1" applyBorder="1" applyAlignment="1">
      <alignment horizontal="left" vertical="center"/>
    </xf>
    <xf numFmtId="43" fontId="25" fillId="2" borderId="0" xfId="0" applyNumberFormat="1" applyFont="1" applyFill="1" applyBorder="1" applyAlignment="1">
      <alignment horizontal="left" vertical="center"/>
    </xf>
    <xf numFmtId="194" fontId="27" fillId="2" borderId="0" xfId="0" applyNumberFormat="1" applyFont="1" applyFill="1" applyBorder="1" applyAlignment="1">
      <alignment horizontal="left" vertical="center"/>
    </xf>
    <xf numFmtId="195" fontId="27" fillId="2" borderId="0" xfId="0" applyNumberFormat="1" applyFont="1" applyFill="1" applyBorder="1" applyAlignment="1">
      <alignment horizontal="left" vertical="center"/>
    </xf>
    <xf numFmtId="195" fontId="25" fillId="2" borderId="0" xfId="0" applyNumberFormat="1" applyFont="1" applyFill="1" applyBorder="1" applyAlignment="1">
      <alignment horizontal="left" vertical="center"/>
    </xf>
    <xf numFmtId="0" fontId="2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208" fontId="0" fillId="0" borderId="0" xfId="0" applyNumberFormat="1" applyFont="1" applyFill="1" applyBorder="1" applyAlignment="1">
      <alignment horizontal="left" vertical="center"/>
    </xf>
    <xf numFmtId="197" fontId="0" fillId="0" borderId="0" xfId="0" applyNumberFormat="1" applyFont="1" applyFill="1" applyBorder="1" applyAlignment="1">
      <alignment horizontal="left" vertical="center"/>
    </xf>
    <xf numFmtId="43" fontId="0" fillId="0" borderId="0" xfId="0" applyNumberFormat="1" applyFont="1" applyFill="1" applyBorder="1" applyAlignment="1">
      <alignment horizontal="left" vertical="center"/>
    </xf>
    <xf numFmtId="194" fontId="29" fillId="0" borderId="0" xfId="0" applyNumberFormat="1" applyFont="1" applyFill="1" applyBorder="1" applyAlignment="1">
      <alignment horizontal="left" vertical="center"/>
    </xf>
    <xf numFmtId="202" fontId="0" fillId="0" borderId="0" xfId="0" applyNumberFormat="1" applyFont="1" applyFill="1" applyBorder="1" applyAlignment="1">
      <alignment horizontal="left" vertical="center"/>
    </xf>
    <xf numFmtId="195" fontId="0" fillId="0" borderId="0" xfId="0" applyNumberFormat="1" applyFont="1" applyFill="1" applyBorder="1" applyAlignment="1">
      <alignment horizontal="left" vertical="center"/>
    </xf>
    <xf numFmtId="196" fontId="0" fillId="0" borderId="0" xfId="0" applyNumberFormat="1" applyFont="1" applyFill="1" applyBorder="1" applyAlignment="1">
      <alignment horizontal="left" vertical="center"/>
    </xf>
    <xf numFmtId="213" fontId="0" fillId="0" borderId="0" xfId="0" applyNumberFormat="1" applyFont="1" applyFill="1" applyBorder="1" applyAlignment="1">
      <alignment horizontal="left" vertical="center"/>
    </xf>
    <xf numFmtId="203" fontId="0" fillId="0" borderId="0" xfId="3" applyNumberFormat="1" applyFont="1" applyFill="1" applyBorder="1" applyAlignment="1">
      <alignment horizontal="left" vertical="center" wrapText="1"/>
    </xf>
    <xf numFmtId="197" fontId="0" fillId="0" borderId="0" xfId="0" applyNumberFormat="1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14" fontId="0" fillId="2" borderId="0" xfId="0" applyNumberFormat="1" applyFont="1" applyFill="1" applyBorder="1" applyAlignment="1">
      <alignment horizontal="left" vertical="center" wrapText="1"/>
    </xf>
    <xf numFmtId="49" fontId="0" fillId="2" borderId="0" xfId="0" applyNumberFormat="1" applyFont="1" applyFill="1" applyBorder="1" applyAlignment="1" applyProtection="1">
      <alignment horizontal="left" vertical="center" shrinkToFit="1"/>
    </xf>
    <xf numFmtId="49" fontId="29" fillId="2" borderId="0" xfId="0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horizontal="left" vertical="center" wrapText="1"/>
    </xf>
    <xf numFmtId="196" fontId="0" fillId="2" borderId="0" xfId="0" applyNumberFormat="1" applyFont="1" applyFill="1" applyBorder="1" applyAlignment="1">
      <alignment horizontal="left" vertical="center"/>
    </xf>
    <xf numFmtId="194" fontId="0" fillId="2" borderId="0" xfId="0" applyNumberFormat="1" applyFont="1" applyFill="1" applyBorder="1" applyAlignment="1">
      <alignment horizontal="left" vertical="center"/>
    </xf>
    <xf numFmtId="197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horizontal="left" vertical="center"/>
    </xf>
    <xf numFmtId="197" fontId="23" fillId="2" borderId="0" xfId="0" applyNumberFormat="1" applyFont="1" applyFill="1" applyBorder="1" applyAlignment="1">
      <alignment horizontal="center" vertical="center"/>
    </xf>
    <xf numFmtId="4" fontId="23" fillId="2" borderId="0" xfId="0" applyNumberFormat="1" applyFont="1" applyFill="1" applyBorder="1" applyAlignment="1"/>
    <xf numFmtId="199" fontId="0" fillId="2" borderId="0" xfId="0" applyNumberFormat="1" applyFont="1" applyFill="1" applyBorder="1" applyAlignment="1" applyProtection="1">
      <alignment horizontal="left" vertical="center" shrinkToFit="1"/>
    </xf>
    <xf numFmtId="194" fontId="29" fillId="2" borderId="0" xfId="0" applyNumberFormat="1" applyFont="1" applyFill="1" applyBorder="1" applyAlignment="1">
      <alignment horizontal="left" vertical="center"/>
    </xf>
    <xf numFmtId="4" fontId="0" fillId="2" borderId="0" xfId="0" applyNumberFormat="1" applyFont="1" applyFill="1" applyBorder="1" applyAlignment="1"/>
    <xf numFmtId="202" fontId="0" fillId="2" borderId="0" xfId="0" applyNumberFormat="1" applyFont="1" applyFill="1" applyBorder="1" applyAlignment="1">
      <alignment vertical="center" wrapText="1"/>
    </xf>
    <xf numFmtId="195" fontId="0" fillId="2" borderId="0" xfId="0" applyNumberFormat="1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vertical="center"/>
    </xf>
    <xf numFmtId="49" fontId="0" fillId="2" borderId="0" xfId="0" applyNumberFormat="1" applyFont="1" applyFill="1" applyBorder="1" applyAlignment="1">
      <alignment horizontal="left" vertical="center"/>
    </xf>
    <xf numFmtId="4" fontId="23" fillId="2" borderId="0" xfId="0" applyNumberFormat="1" applyFont="1" applyFill="1" applyBorder="1" applyAlignment="1">
      <alignment horizontal="center" vertical="center"/>
    </xf>
    <xf numFmtId="0" fontId="33" fillId="2" borderId="0" xfId="0" applyFont="1" applyFill="1" applyBorder="1" applyAlignment="1">
      <alignment horizontal="left" vertical="center" wrapText="1"/>
    </xf>
    <xf numFmtId="0" fontId="34" fillId="2" borderId="0" xfId="0" applyFont="1" applyFill="1" applyBorder="1" applyAlignment="1">
      <alignment horizontal="left" vertical="center"/>
    </xf>
    <xf numFmtId="0" fontId="23" fillId="2" borderId="0" xfId="0" applyFont="1" applyFill="1" applyBorder="1" applyAlignment="1">
      <alignment horizontal="center" vertical="center"/>
    </xf>
    <xf numFmtId="0" fontId="35" fillId="0" borderId="0" xfId="0" applyFo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208" fontId="0" fillId="2" borderId="0" xfId="1" applyNumberFormat="1" applyFont="1" applyFill="1" applyBorder="1" applyAlignment="1">
      <alignment horizontal="left" vertical="center"/>
    </xf>
    <xf numFmtId="197" fontId="0" fillId="2" borderId="0" xfId="1" applyNumberFormat="1" applyFont="1" applyFill="1" applyBorder="1" applyAlignment="1">
      <alignment horizontal="left" vertical="center"/>
    </xf>
    <xf numFmtId="210" fontId="0" fillId="2" borderId="0" xfId="0" applyNumberFormat="1" applyFont="1" applyFill="1" applyBorder="1" applyAlignment="1">
      <alignment horizontal="left" vertical="center"/>
    </xf>
    <xf numFmtId="206" fontId="0" fillId="2" borderId="0" xfId="1" applyNumberFormat="1" applyFont="1" applyFill="1" applyBorder="1" applyAlignment="1">
      <alignment horizontal="left" vertical="center"/>
    </xf>
    <xf numFmtId="0" fontId="0" fillId="2" borderId="0" xfId="0" applyNumberFormat="1" applyFont="1" applyFill="1" applyBorder="1" applyAlignment="1">
      <alignment horizontal="left" vertical="center" wrapText="1"/>
    </xf>
    <xf numFmtId="211" fontId="0" fillId="2" borderId="0" xfId="0" applyNumberFormat="1" applyFont="1" applyFill="1" applyBorder="1" applyAlignment="1">
      <alignment horizontal="left" vertical="center"/>
    </xf>
    <xf numFmtId="0" fontId="0" fillId="2" borderId="0" xfId="30239" applyNumberFormat="1" applyFont="1" applyFill="1" applyBorder="1" applyAlignment="1">
      <alignment horizontal="left" vertical="center"/>
    </xf>
    <xf numFmtId="195" fontId="0" fillId="2" borderId="0" xfId="0" applyNumberFormat="1" applyFont="1" applyFill="1" applyBorder="1" applyAlignment="1">
      <alignment horizontal="left" vertical="center"/>
    </xf>
    <xf numFmtId="0" fontId="0" fillId="2" borderId="0" xfId="30237" applyNumberFormat="1" applyFont="1" applyFill="1" applyBorder="1" applyAlignment="1">
      <alignment horizontal="left" vertical="center" wrapText="1"/>
    </xf>
    <xf numFmtId="43" fontId="0" fillId="2" borderId="0" xfId="1" applyNumberFormat="1" applyFont="1" applyFill="1" applyBorder="1" applyAlignment="1">
      <alignment horizontal="left" vertical="center"/>
    </xf>
    <xf numFmtId="49" fontId="29" fillId="2" borderId="0" xfId="30237" applyNumberFormat="1" applyFont="1" applyFill="1" applyBorder="1" applyAlignment="1">
      <alignment horizontal="left" vertical="center" wrapText="1"/>
    </xf>
    <xf numFmtId="211" fontId="0" fillId="2" borderId="0" xfId="1" applyNumberFormat="1" applyFont="1" applyFill="1" applyBorder="1" applyAlignment="1">
      <alignment horizontal="left" vertical="center"/>
    </xf>
    <xf numFmtId="195" fontId="29" fillId="2" borderId="0" xfId="30237" applyNumberFormat="1" applyFont="1" applyFill="1" applyBorder="1" applyAlignment="1">
      <alignment horizontal="left" vertical="center" wrapText="1"/>
    </xf>
    <xf numFmtId="49" fontId="0" fillId="2" borderId="0" xfId="30240" applyNumberFormat="1" applyFont="1" applyFill="1" applyBorder="1" applyAlignment="1">
      <alignment horizontal="left" vertical="center"/>
    </xf>
    <xf numFmtId="49" fontId="0" fillId="0" borderId="0" xfId="30237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ont="1" applyFill="1" applyBorder="1" applyAlignment="1" applyProtection="1">
      <alignment horizontal="left" vertical="center" shrinkToFit="1"/>
    </xf>
    <xf numFmtId="43" fontId="0" fillId="0" borderId="0" xfId="1" applyNumberFormat="1" applyFont="1" applyFill="1" applyBorder="1" applyAlignment="1">
      <alignment horizontal="left" vertical="center"/>
    </xf>
    <xf numFmtId="49" fontId="29" fillId="0" borderId="0" xfId="30237" applyNumberFormat="1" applyFont="1" applyFill="1" applyBorder="1" applyAlignment="1">
      <alignment horizontal="left" vertical="center" wrapText="1"/>
    </xf>
    <xf numFmtId="14" fontId="0" fillId="0" borderId="0" xfId="0" applyNumberFormat="1" applyFont="1" applyFill="1" applyBorder="1" applyAlignment="1">
      <alignment horizontal="left" vertical="center"/>
    </xf>
    <xf numFmtId="211" fontId="0" fillId="0" borderId="0" xfId="1" applyNumberFormat="1" applyFont="1" applyFill="1" applyBorder="1" applyAlignment="1">
      <alignment horizontal="left" vertical="center"/>
    </xf>
    <xf numFmtId="4" fontId="0" fillId="0" borderId="0" xfId="0" applyNumberFormat="1" applyFont="1" applyFill="1" applyBorder="1" applyAlignment="1"/>
    <xf numFmtId="0" fontId="22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203" fontId="0" fillId="0" borderId="0" xfId="3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 wrapText="1"/>
    </xf>
    <xf numFmtId="199" fontId="0" fillId="0" borderId="0" xfId="0" applyNumberFormat="1" applyFont="1" applyFill="1" applyBorder="1" applyAlignment="1" applyProtection="1">
      <alignment horizontal="left" vertical="center" shrinkToFit="1"/>
    </xf>
    <xf numFmtId="208" fontId="0" fillId="0" borderId="0" xfId="1" applyNumberFormat="1" applyFont="1" applyFill="1" applyBorder="1" applyAlignment="1">
      <alignment horizontal="left" vertical="center"/>
    </xf>
    <xf numFmtId="197" fontId="0" fillId="0" borderId="0" xfId="1" applyNumberFormat="1" applyFont="1" applyFill="1" applyBorder="1" applyAlignment="1">
      <alignment horizontal="left" vertical="center"/>
    </xf>
    <xf numFmtId="202" fontId="0" fillId="0" borderId="0" xfId="0" applyNumberFormat="1" applyFont="1" applyFill="1" applyBorder="1" applyAlignment="1">
      <alignment horizontal="left" vertical="center" wrapText="1"/>
    </xf>
    <xf numFmtId="203" fontId="3" fillId="0" borderId="0" xfId="3" applyNumberFormat="1" applyFont="1" applyFill="1" applyBorder="1" applyAlignment="1">
      <alignment horizontal="left" vertical="center"/>
    </xf>
    <xf numFmtId="14" fontId="29" fillId="2" borderId="0" xfId="0" applyNumberFormat="1" applyFont="1" applyFill="1" applyBorder="1" applyAlignment="1">
      <alignment horizontal="left" vertical="center"/>
    </xf>
    <xf numFmtId="14" fontId="0" fillId="2" borderId="0" xfId="0" applyNumberFormat="1" applyFont="1" applyFill="1" applyBorder="1" applyAlignment="1">
      <alignment horizontal="left" vertical="center" shrinkToFit="1"/>
    </xf>
    <xf numFmtId="49" fontId="29" fillId="2" borderId="0" xfId="30239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horizontal="left" vertical="center" shrinkToFit="1"/>
    </xf>
    <xf numFmtId="202" fontId="0" fillId="2" borderId="0" xfId="0" applyNumberFormat="1" applyFont="1" applyFill="1" applyBorder="1" applyAlignment="1">
      <alignment vertical="center" wrapText="1" shrinkToFit="1"/>
    </xf>
    <xf numFmtId="202" fontId="0" fillId="2" borderId="0" xfId="0" applyNumberFormat="1" applyFont="1" applyFill="1" applyBorder="1" applyAlignment="1">
      <alignment horizontal="left" vertical="center" wrapText="1" shrinkToFit="1"/>
    </xf>
    <xf numFmtId="49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vertical="center"/>
    </xf>
    <xf numFmtId="49" fontId="0" fillId="2" borderId="0" xfId="0" applyNumberFormat="1" applyFont="1" applyFill="1" applyBorder="1" applyAlignment="1">
      <alignment horizontal="left" vertical="center" shrinkToFit="1"/>
    </xf>
    <xf numFmtId="0" fontId="0" fillId="9" borderId="0" xfId="0" applyFont="1" applyFill="1" applyBorder="1" applyAlignment="1">
      <alignment horizontal="left" vertical="center"/>
    </xf>
    <xf numFmtId="0" fontId="36" fillId="0" borderId="0" xfId="0" applyNumberFormat="1" applyFont="1" applyFill="1" applyBorder="1" applyAlignment="1">
      <alignment horizontal="left" vertical="center" wrapText="1"/>
    </xf>
    <xf numFmtId="199" fontId="0" fillId="7" borderId="0" xfId="0" applyNumberFormat="1" applyFont="1" applyFill="1" applyBorder="1" applyAlignment="1" applyProtection="1">
      <alignment horizontal="left" vertical="center" shrinkToFit="1"/>
    </xf>
    <xf numFmtId="14" fontId="0" fillId="0" borderId="0" xfId="0" applyNumberFormat="1" applyFont="1" applyFill="1" applyBorder="1" applyAlignment="1">
      <alignment horizontal="left" vertical="center" wrapText="1" shrinkToFit="1"/>
    </xf>
    <xf numFmtId="203" fontId="0" fillId="0" borderId="0" xfId="3" applyNumberFormat="1" applyFont="1" applyBorder="1" applyAlignment="1">
      <alignment horizontal="left" vertical="center"/>
    </xf>
    <xf numFmtId="197" fontId="0" fillId="0" borderId="0" xfId="0" applyNumberFormat="1" applyFont="1" applyBorder="1" applyAlignment="1">
      <alignment horizontal="left" vertical="center"/>
    </xf>
    <xf numFmtId="197" fontId="23" fillId="0" borderId="0" xfId="0" applyNumberFormat="1" applyFont="1" applyFill="1" applyBorder="1" applyAlignment="1">
      <alignment horizontal="center" vertical="center"/>
    </xf>
    <xf numFmtId="4" fontId="23" fillId="0" borderId="0" xfId="0" applyNumberFormat="1" applyFont="1" applyFill="1" applyBorder="1" applyAlignment="1"/>
    <xf numFmtId="49" fontId="0" fillId="2" borderId="0" xfId="30239" applyNumberFormat="1" applyFont="1" applyFill="1" applyBorder="1" applyAlignment="1">
      <alignment horizontal="left" vertical="center"/>
    </xf>
    <xf numFmtId="49" fontId="29" fillId="2" borderId="0" xfId="0" applyNumberFormat="1" applyFont="1" applyFill="1" applyBorder="1" applyAlignment="1">
      <alignment horizontal="left" vertical="center" shrinkToFit="1"/>
    </xf>
    <xf numFmtId="14" fontId="0" fillId="2" borderId="0" xfId="0" applyNumberFormat="1" applyFont="1" applyFill="1" applyBorder="1" applyAlignment="1">
      <alignment horizontal="left" vertical="center" wrapText="1" shrinkToFit="1"/>
    </xf>
    <xf numFmtId="0" fontId="0" fillId="2" borderId="0" xfId="0" applyFont="1" applyFill="1" applyBorder="1" applyAlignment="1">
      <alignment horizontal="left" vertical="center" shrinkToFit="1"/>
    </xf>
    <xf numFmtId="206" fontId="0" fillId="2" borderId="0" xfId="0" applyNumberFormat="1" applyFont="1" applyFill="1" applyBorder="1" applyAlignment="1">
      <alignment horizontal="left" vertical="center"/>
    </xf>
    <xf numFmtId="49" fontId="29" fillId="0" borderId="0" xfId="0" applyNumberFormat="1" applyFont="1" applyFill="1" applyBorder="1" applyAlignment="1">
      <alignment horizontal="left" vertical="center"/>
    </xf>
    <xf numFmtId="211" fontId="0" fillId="0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211" fontId="0" fillId="10" borderId="0" xfId="0" applyNumberFormat="1" applyFont="1" applyFill="1" applyBorder="1" applyAlignment="1">
      <alignment horizontal="left" vertical="center" wrapText="1"/>
    </xf>
    <xf numFmtId="203" fontId="0" fillId="10" borderId="0" xfId="3" applyNumberFormat="1" applyFont="1" applyFill="1" applyBorder="1" applyAlignment="1">
      <alignment horizontal="left" vertical="center" wrapText="1"/>
    </xf>
    <xf numFmtId="197" fontId="0" fillId="10" borderId="0" xfId="0" applyNumberFormat="1" applyFont="1" applyFill="1" applyBorder="1" applyAlignment="1">
      <alignment horizontal="left" vertical="center" wrapText="1"/>
    </xf>
    <xf numFmtId="49" fontId="0" fillId="2" borderId="0" xfId="30237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vertical="center" wrapText="1"/>
    </xf>
    <xf numFmtId="198" fontId="0" fillId="2" borderId="0" xfId="3" applyNumberFormat="1" applyFont="1" applyFill="1" applyBorder="1" applyAlignment="1">
      <alignment horizontal="left" vertical="center" wrapText="1"/>
    </xf>
    <xf numFmtId="202" fontId="29" fillId="2" borderId="0" xfId="30237" applyNumberFormat="1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 wrapText="1"/>
    </xf>
    <xf numFmtId="49" fontId="0" fillId="7" borderId="0" xfId="0" applyNumberFormat="1" applyFont="1" applyFill="1" applyBorder="1" applyAlignment="1" applyProtection="1">
      <alignment horizontal="left" vertical="center" shrinkToFit="1"/>
    </xf>
    <xf numFmtId="210" fontId="0" fillId="0" borderId="0" xfId="0" applyNumberFormat="1" applyFont="1" applyBorder="1" applyAlignment="1">
      <alignment horizontal="left" vertical="center"/>
    </xf>
    <xf numFmtId="206" fontId="0" fillId="0" borderId="0" xfId="1" applyNumberFormat="1" applyFont="1" applyFill="1" applyBorder="1" applyAlignment="1">
      <alignment horizontal="left" vertical="center"/>
    </xf>
    <xf numFmtId="197" fontId="0" fillId="0" borderId="0" xfId="0" applyNumberFormat="1" applyFont="1" applyBorder="1" applyAlignment="1">
      <alignment horizontal="center" vertical="center"/>
    </xf>
    <xf numFmtId="0" fontId="0" fillId="2" borderId="0" xfId="30239" applyFont="1" applyFill="1" applyBorder="1" applyAlignment="1">
      <alignment horizontal="left" vertical="center"/>
    </xf>
    <xf numFmtId="208" fontId="0" fillId="2" borderId="0" xfId="30239" applyNumberFormat="1" applyFont="1" applyFill="1" applyBorder="1" applyAlignment="1">
      <alignment horizontal="left" vertical="center"/>
    </xf>
    <xf numFmtId="197" fontId="0" fillId="2" borderId="0" xfId="30239" applyNumberFormat="1" applyFont="1" applyFill="1" applyBorder="1" applyAlignment="1">
      <alignment horizontal="left" vertical="center"/>
    </xf>
    <xf numFmtId="43" fontId="0" fillId="2" borderId="0" xfId="30239" applyNumberFormat="1" applyFont="1" applyFill="1" applyBorder="1" applyAlignment="1">
      <alignment horizontal="left" vertical="center"/>
    </xf>
    <xf numFmtId="211" fontId="0" fillId="2" borderId="0" xfId="30239" applyNumberFormat="1" applyFont="1" applyFill="1" applyBorder="1" applyAlignment="1">
      <alignment horizontal="left" vertical="center"/>
    </xf>
    <xf numFmtId="200" fontId="0" fillId="2" borderId="0" xfId="0" applyNumberFormat="1" applyFont="1" applyFill="1" applyBorder="1" applyAlignment="1">
      <alignment horizontal="left" vertical="center"/>
    </xf>
    <xf numFmtId="196" fontId="0" fillId="2" borderId="0" xfId="0" applyNumberFormat="1" applyFont="1" applyFill="1" applyBorder="1" applyAlignment="1">
      <alignment horizontal="left" vertical="center" shrinkToFit="1"/>
    </xf>
    <xf numFmtId="214" fontId="0" fillId="2" borderId="0" xfId="0" applyNumberFormat="1" applyFont="1" applyFill="1" applyBorder="1" applyAlignment="1">
      <alignment horizontal="left" vertical="center"/>
    </xf>
    <xf numFmtId="10" fontId="0" fillId="2" borderId="0" xfId="3" applyNumberFormat="1" applyFont="1" applyFill="1" applyBorder="1" applyAlignment="1">
      <alignment horizontal="left" vertical="center"/>
    </xf>
    <xf numFmtId="210" fontId="0" fillId="0" borderId="0" xfId="0" applyNumberFormat="1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/>
    </xf>
    <xf numFmtId="49" fontId="22" fillId="2" borderId="0" xfId="30237" applyNumberFormat="1" applyFont="1" applyFill="1" applyBorder="1" applyAlignment="1">
      <alignment horizontal="left" vertical="center" wrapText="1"/>
    </xf>
    <xf numFmtId="202" fontId="29" fillId="2" borderId="0" xfId="30239" applyNumberFormat="1" applyFont="1" applyFill="1" applyBorder="1" applyAlignment="1">
      <alignment horizontal="left" vertical="center"/>
    </xf>
    <xf numFmtId="195" fontId="0" fillId="2" borderId="0" xfId="0" applyNumberFormat="1" applyFont="1" applyFill="1" applyBorder="1" applyAlignment="1">
      <alignment horizontal="left" vertical="center" shrinkToFit="1"/>
    </xf>
    <xf numFmtId="195" fontId="29" fillId="2" borderId="0" xfId="30239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 wrapText="1"/>
    </xf>
    <xf numFmtId="14" fontId="0" fillId="0" borderId="0" xfId="0" applyNumberFormat="1" applyFont="1" applyFill="1" applyBorder="1" applyAlignment="1">
      <alignment horizontal="left" vertical="center" wrapText="1"/>
    </xf>
    <xf numFmtId="197" fontId="0" fillId="2" borderId="0" xfId="30237" applyNumberFormat="1" applyFont="1" applyFill="1" applyBorder="1" applyAlignment="1">
      <alignment horizontal="left" vertical="center" wrapText="1"/>
    </xf>
    <xf numFmtId="196" fontId="3" fillId="3" borderId="0" xfId="0" applyNumberFormat="1" applyFont="1" applyFill="1" applyBorder="1" applyAlignment="1">
      <alignment horizontal="left" vertical="center"/>
    </xf>
    <xf numFmtId="208" fontId="3" fillId="3" borderId="0" xfId="0" applyNumberFormat="1" applyFont="1" applyFill="1" applyBorder="1" applyAlignment="1">
      <alignment horizontal="left" vertical="center"/>
    </xf>
    <xf numFmtId="197" fontId="3" fillId="3" borderId="0" xfId="0" applyNumberFormat="1" applyFont="1" applyFill="1" applyBorder="1" applyAlignment="1">
      <alignment horizontal="left" vertical="center"/>
    </xf>
    <xf numFmtId="196" fontId="27" fillId="3" borderId="0" xfId="0" applyNumberFormat="1" applyFont="1" applyFill="1" applyBorder="1" applyAlignment="1">
      <alignment horizontal="left" vertical="center"/>
    </xf>
    <xf numFmtId="202" fontId="3" fillId="3" borderId="0" xfId="0" applyNumberFormat="1" applyFont="1" applyFill="1" applyBorder="1" applyAlignment="1">
      <alignment horizontal="left" vertical="center"/>
    </xf>
    <xf numFmtId="213" fontId="3" fillId="3" borderId="0" xfId="0" applyNumberFormat="1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203" fontId="0" fillId="2" borderId="0" xfId="0" applyNumberFormat="1" applyFont="1" applyFill="1" applyBorder="1" applyAlignment="1">
      <alignment horizontal="left" vertical="center"/>
    </xf>
    <xf numFmtId="197" fontId="8" fillId="0" borderId="0" xfId="0" applyNumberFormat="1" applyFont="1" applyFill="1" applyBorder="1" applyAlignment="1">
      <alignment horizontal="left" vertical="center"/>
    </xf>
    <xf numFmtId="202" fontId="0" fillId="2" borderId="0" xfId="30237" applyNumberFormat="1" applyFont="1" applyFill="1" applyBorder="1" applyAlignment="1">
      <alignment horizontal="left" vertical="center" wrapText="1"/>
    </xf>
    <xf numFmtId="195" fontId="29" fillId="0" borderId="0" xfId="0" applyNumberFormat="1" applyFont="1" applyFill="1" applyBorder="1" applyAlignment="1">
      <alignment horizontal="left" vertical="center"/>
    </xf>
    <xf numFmtId="203" fontId="0" fillId="0" borderId="0" xfId="0" applyNumberFormat="1" applyFont="1" applyFill="1" applyBorder="1" applyAlignment="1">
      <alignment horizontal="left" vertical="center"/>
    </xf>
    <xf numFmtId="202" fontId="0" fillId="0" borderId="0" xfId="0" applyNumberFormat="1" applyFont="1" applyFill="1" applyBorder="1" applyAlignment="1">
      <alignment vertical="center"/>
    </xf>
    <xf numFmtId="0" fontId="8" fillId="11" borderId="0" xfId="15593" applyFont="1" applyFill="1" applyAlignment="1"/>
    <xf numFmtId="0" fontId="37" fillId="11" borderId="0" xfId="15593" applyFill="1" applyAlignment="1"/>
    <xf numFmtId="0" fontId="37" fillId="12" borderId="2" xfId="15593" applyFill="1" applyBorder="1" applyAlignment="1"/>
    <xf numFmtId="0" fontId="38" fillId="13" borderId="3" xfId="15593" applyFont="1" applyFill="1" applyBorder="1" applyAlignment="1">
      <alignment horizontal="center"/>
    </xf>
    <xf numFmtId="0" fontId="39" fillId="14" borderId="4" xfId="15593" applyFont="1" applyFill="1" applyBorder="1" applyAlignment="1">
      <alignment horizontal="center"/>
    </xf>
    <xf numFmtId="0" fontId="38" fillId="13" borderId="4" xfId="15593" applyFont="1" applyFill="1" applyBorder="1" applyAlignment="1">
      <alignment horizontal="center"/>
    </xf>
    <xf numFmtId="0" fontId="38" fillId="13" borderId="5" xfId="15593" applyFont="1" applyFill="1" applyBorder="1" applyAlignment="1">
      <alignment horizontal="center"/>
    </xf>
    <xf numFmtId="0" fontId="37" fillId="12" borderId="6" xfId="15593" applyFill="1" applyBorder="1" applyAlignment="1"/>
    <xf numFmtId="0" fontId="37" fillId="12" borderId="7" xfId="15593" applyFill="1" applyBorder="1" applyAlignment="1"/>
    <xf numFmtId="0" fontId="3" fillId="0" borderId="0" xfId="0" applyFont="1" applyFill="1" applyBorder="1" applyAlignment="1">
      <alignment horizontal="left" vertical="center"/>
    </xf>
    <xf numFmtId="194" fontId="0" fillId="0" borderId="0" xfId="0" applyNumberFormat="1" applyFont="1" applyFill="1" applyBorder="1" applyAlignment="1">
      <alignment horizontal="left" vertical="center"/>
    </xf>
    <xf numFmtId="10" fontId="0" fillId="0" borderId="0" xfId="0" applyNumberFormat="1" applyFont="1" applyFill="1" applyBorder="1" applyAlignment="1">
      <alignment horizontal="left" vertical="center"/>
    </xf>
    <xf numFmtId="211" fontId="3" fillId="0" borderId="0" xfId="0" applyNumberFormat="1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194" fontId="3" fillId="0" borderId="0" xfId="0" applyNumberFormat="1" applyFont="1" applyFill="1" applyBorder="1" applyAlignment="1">
      <alignment horizontal="left" vertical="center"/>
    </xf>
    <xf numFmtId="10" fontId="3" fillId="0" borderId="0" xfId="3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197" fontId="3" fillId="0" borderId="0" xfId="0" applyNumberFormat="1" applyFont="1" applyFill="1" applyBorder="1" applyAlignment="1">
      <alignment horizontal="left" vertical="center" wrapText="1"/>
    </xf>
    <xf numFmtId="197" fontId="3" fillId="3" borderId="0" xfId="0" applyNumberFormat="1" applyFont="1" applyFill="1" applyBorder="1" applyAlignment="1">
      <alignment horizontal="left" vertical="center" wrapText="1"/>
    </xf>
    <xf numFmtId="197" fontId="3" fillId="3" borderId="0" xfId="0" applyNumberFormat="1" applyFont="1" applyFill="1" applyBorder="1" applyAlignment="1">
      <alignment horizontal="left" vertical="center" wrapText="1" shrinkToFit="1"/>
    </xf>
    <xf numFmtId="197" fontId="3" fillId="4" borderId="0" xfId="0" applyNumberFormat="1" applyFont="1" applyFill="1" applyBorder="1" applyAlignment="1">
      <alignment horizontal="left" vertical="center" wrapText="1"/>
    </xf>
    <xf numFmtId="10" fontId="3" fillId="4" borderId="0" xfId="3" applyNumberFormat="1" applyFont="1" applyFill="1" applyBorder="1" applyAlignment="1">
      <alignment horizontal="left" vertical="center" wrapText="1"/>
    </xf>
    <xf numFmtId="197" fontId="3" fillId="4" borderId="0" xfId="0" applyNumberFormat="1" applyFont="1" applyFill="1" applyBorder="1" applyAlignment="1">
      <alignment horizontal="left" vertical="center" wrapText="1" shrinkToFit="1"/>
    </xf>
    <xf numFmtId="0" fontId="4" fillId="0" borderId="0" xfId="0" applyFont="1" applyFill="1" applyBorder="1" applyAlignment="1">
      <alignment horizontal="left" vertical="center"/>
    </xf>
    <xf numFmtId="0" fontId="33" fillId="2" borderId="0" xfId="0" applyFont="1" applyFill="1" applyBorder="1" applyAlignment="1">
      <alignment horizontal="left" vertical="center"/>
    </xf>
    <xf numFmtId="201" fontId="0" fillId="2" borderId="0" xfId="3" applyNumberFormat="1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194" fontId="4" fillId="2" borderId="0" xfId="0" applyNumberFormat="1" applyFont="1" applyFill="1" applyBorder="1" applyAlignment="1">
      <alignment horizontal="left" vertical="center"/>
    </xf>
    <xf numFmtId="198" fontId="0" fillId="0" borderId="0" xfId="3" applyNumberFormat="1" applyFont="1" applyFill="1" applyBorder="1" applyAlignment="1">
      <alignment horizontal="left" vertical="center"/>
    </xf>
    <xf numFmtId="10" fontId="0" fillId="0" borderId="0" xfId="3" applyNumberFormat="1" applyFont="1" applyFill="1" applyBorder="1" applyAlignment="1">
      <alignment horizontal="left" vertical="center"/>
    </xf>
    <xf numFmtId="43" fontId="3" fillId="3" borderId="0" xfId="3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left" vertical="center" wrapText="1"/>
    </xf>
    <xf numFmtId="0" fontId="40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43" fontId="0" fillId="0" borderId="1" xfId="0" applyNumberFormat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0" fillId="3" borderId="1" xfId="0" applyFill="1" applyBorder="1">
      <alignment vertical="center"/>
    </xf>
    <xf numFmtId="43" fontId="0" fillId="3" borderId="1" xfId="0" applyNumberForma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NumberFormat="1" applyBorder="1">
      <alignment vertical="center"/>
    </xf>
    <xf numFmtId="0" fontId="4" fillId="0" borderId="1" xfId="0" applyNumberFormat="1" applyFont="1" applyBorder="1">
      <alignment vertical="center"/>
    </xf>
    <xf numFmtId="0" fontId="0" fillId="3" borderId="0" xfId="0" applyFill="1">
      <alignment vertical="center"/>
    </xf>
    <xf numFmtId="0" fontId="22" fillId="0" borderId="0" xfId="0" applyFont="1">
      <alignment vertical="center"/>
    </xf>
    <xf numFmtId="0" fontId="29" fillId="0" borderId="0" xfId="0" applyFont="1">
      <alignment vertical="center"/>
    </xf>
    <xf numFmtId="0" fontId="0" fillId="0" borderId="0" xfId="0" applyBorder="1">
      <alignment vertical="center"/>
    </xf>
    <xf numFmtId="0" fontId="8" fillId="0" borderId="0" xfId="0" applyFont="1">
      <alignment vertical="center"/>
    </xf>
    <xf numFmtId="197" fontId="0" fillId="0" borderId="0" xfId="0" applyNumberFormat="1">
      <alignment vertical="center"/>
    </xf>
    <xf numFmtId="0" fontId="41" fillId="0" borderId="0" xfId="0" applyFont="1" applyBorder="1" applyAlignment="1">
      <alignment horizontal="left" vertical="center"/>
    </xf>
    <xf numFmtId="0" fontId="42" fillId="0" borderId="0" xfId="0" applyFont="1" applyBorder="1" applyAlignment="1">
      <alignment horizontal="left" vertical="center"/>
    </xf>
    <xf numFmtId="197" fontId="42" fillId="0" borderId="0" xfId="0" applyNumberFormat="1" applyFont="1" applyBorder="1" applyAlignment="1">
      <alignment horizontal="left" vertical="center"/>
    </xf>
    <xf numFmtId="215" fontId="43" fillId="0" borderId="8" xfId="0" applyNumberFormat="1" applyFont="1" applyFill="1" applyBorder="1" applyAlignment="1">
      <alignment horizontal="center" vertical="center"/>
    </xf>
    <xf numFmtId="215" fontId="43" fillId="0" borderId="9" xfId="0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2" fillId="0" borderId="10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22" fillId="0" borderId="13" xfId="0" applyFont="1" applyBorder="1" applyAlignment="1">
      <alignment horizontal="center" vertical="center"/>
    </xf>
    <xf numFmtId="206" fontId="22" fillId="0" borderId="6" xfId="0" applyNumberFormat="1" applyFont="1" applyBorder="1" applyAlignment="1">
      <alignment horizontal="left" vertical="center" wrapText="1"/>
    </xf>
    <xf numFmtId="0" fontId="44" fillId="0" borderId="10" xfId="0" applyFont="1" applyBorder="1" applyAlignment="1">
      <alignment horizontal="center" vertical="center"/>
    </xf>
    <xf numFmtId="0" fontId="44" fillId="0" borderId="11" xfId="0" applyFont="1" applyBorder="1" applyAlignment="1">
      <alignment horizontal="center" vertical="center"/>
    </xf>
    <xf numFmtId="197" fontId="44" fillId="0" borderId="11" xfId="0" applyNumberFormat="1" applyFont="1" applyBorder="1" applyAlignment="1">
      <alignment horizontal="center" vertical="center"/>
    </xf>
    <xf numFmtId="0" fontId="44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215" fontId="43" fillId="0" borderId="15" xfId="0" applyNumberFormat="1" applyFont="1" applyFill="1" applyBorder="1" applyAlignment="1">
      <alignment horizontal="center" vertical="center"/>
    </xf>
    <xf numFmtId="215" fontId="43" fillId="0" borderId="16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15" borderId="1" xfId="0" applyFont="1" applyFill="1" applyBorder="1" applyAlignment="1">
      <alignment vertical="center" wrapText="1"/>
    </xf>
    <xf numFmtId="206" fontId="22" fillId="15" borderId="1" xfId="0" applyNumberFormat="1" applyFont="1" applyFill="1" applyBorder="1" applyAlignment="1">
      <alignment horizontal="left" vertical="center" wrapText="1"/>
    </xf>
    <xf numFmtId="206" fontId="22" fillId="0" borderId="1" xfId="0" applyNumberFormat="1" applyFont="1" applyBorder="1" applyAlignment="1">
      <alignment horizontal="left" vertical="center" wrapText="1"/>
    </xf>
    <xf numFmtId="206" fontId="22" fillId="0" borderId="16" xfId="0" applyNumberFormat="1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206" fontId="44" fillId="0" borderId="1" xfId="0" applyNumberFormat="1" applyFont="1" applyBorder="1" applyAlignment="1">
      <alignment horizontal="left" vertical="center" wrapText="1"/>
    </xf>
    <xf numFmtId="197" fontId="44" fillId="0" borderId="1" xfId="0" applyNumberFormat="1" applyFont="1" applyBorder="1" applyAlignment="1">
      <alignment horizontal="left" vertical="center" wrapText="1"/>
    </xf>
    <xf numFmtId="204" fontId="44" fillId="0" borderId="6" xfId="0" applyNumberFormat="1" applyFont="1" applyBorder="1" applyAlignment="1">
      <alignment horizontal="left" vertical="center" wrapText="1"/>
    </xf>
    <xf numFmtId="206" fontId="44" fillId="0" borderId="6" xfId="0" applyNumberFormat="1" applyFont="1" applyBorder="1" applyAlignment="1">
      <alignment horizontal="left" vertical="center" wrapText="1"/>
    </xf>
    <xf numFmtId="206" fontId="44" fillId="9" borderId="6" xfId="0" applyNumberFormat="1" applyFont="1" applyFill="1" applyBorder="1" applyAlignment="1">
      <alignment horizontal="left" vertical="center" wrapText="1"/>
    </xf>
    <xf numFmtId="206" fontId="45" fillId="0" borderId="1" xfId="0" applyNumberFormat="1" applyFont="1" applyFill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/>
    </xf>
    <xf numFmtId="0" fontId="22" fillId="0" borderId="1" xfId="0" applyFont="1" applyBorder="1">
      <alignment vertical="center"/>
    </xf>
    <xf numFmtId="0" fontId="22" fillId="0" borderId="1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 wrapText="1"/>
    </xf>
    <xf numFmtId="215" fontId="23" fillId="9" borderId="1" xfId="0" applyNumberFormat="1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15" borderId="1" xfId="0" applyFont="1" applyFill="1" applyBorder="1">
      <alignment vertical="center"/>
    </xf>
    <xf numFmtId="206" fontId="0" fillId="15" borderId="1" xfId="0" applyNumberFormat="1" applyFont="1" applyFill="1" applyBorder="1" applyAlignment="1">
      <alignment horizontal="left" vertical="center"/>
    </xf>
    <xf numFmtId="206" fontId="0" fillId="0" borderId="1" xfId="0" applyNumberFormat="1" applyFont="1" applyBorder="1" applyAlignment="1">
      <alignment horizontal="left" vertical="center"/>
    </xf>
    <xf numFmtId="43" fontId="0" fillId="0" borderId="1" xfId="0" applyNumberFormat="1" applyFont="1" applyBorder="1" applyAlignment="1">
      <alignment horizontal="left" vertical="center"/>
    </xf>
    <xf numFmtId="215" fontId="23" fillId="0" borderId="1" xfId="0" applyNumberFormat="1" applyFont="1" applyFill="1" applyBorder="1" applyAlignment="1">
      <alignment horizontal="left" vertical="center"/>
    </xf>
    <xf numFmtId="204" fontId="0" fillId="0" borderId="1" xfId="0" applyNumberFormat="1" applyFont="1" applyBorder="1" applyAlignment="1">
      <alignment horizontal="left" vertical="center"/>
    </xf>
    <xf numFmtId="43" fontId="0" fillId="9" borderId="1" xfId="0" applyNumberFormat="1" applyFont="1" applyFill="1" applyBorder="1" applyAlignment="1">
      <alignment horizontal="left" vertical="center"/>
    </xf>
    <xf numFmtId="215" fontId="0" fillId="0" borderId="1" xfId="0" applyNumberFormat="1" applyFont="1" applyBorder="1" applyAlignment="1">
      <alignment horizontal="left" vertical="center"/>
    </xf>
    <xf numFmtId="43" fontId="0" fillId="0" borderId="1" xfId="0" applyNumberFormat="1" applyFont="1" applyBorder="1" applyAlignment="1">
      <alignment horizontal="left" vertical="center" wrapText="1"/>
    </xf>
    <xf numFmtId="216" fontId="0" fillId="0" borderId="1" xfId="0" applyNumberFormat="1" applyFont="1" applyBorder="1">
      <alignment vertical="center"/>
    </xf>
    <xf numFmtId="0" fontId="0" fillId="0" borderId="17" xfId="0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215" fontId="23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0" fillId="0" borderId="19" xfId="0" applyFont="1" applyFill="1" applyBorder="1">
      <alignment vertical="center"/>
    </xf>
    <xf numFmtId="4" fontId="8" fillId="0" borderId="0" xfId="0" applyNumberFormat="1" applyFont="1" applyFill="1" applyBorder="1" applyAlignment="1">
      <alignment vertical="center" wrapText="1"/>
    </xf>
    <xf numFmtId="9" fontId="8" fillId="0" borderId="0" xfId="0" applyNumberFormat="1" applyFont="1" applyFill="1" applyBorder="1" applyAlignment="1">
      <alignment horizontal="center" vertical="center"/>
    </xf>
    <xf numFmtId="197" fontId="8" fillId="0" borderId="0" xfId="0" applyNumberFormat="1" applyFont="1" applyFill="1" applyBorder="1" applyAlignment="1">
      <alignment horizontal="center" vertical="center"/>
    </xf>
    <xf numFmtId="9" fontId="8" fillId="0" borderId="0" xfId="0" applyNumberFormat="1" applyFont="1" applyFill="1" applyBorder="1" applyAlignment="1">
      <alignment vertical="center"/>
    </xf>
    <xf numFmtId="197" fontId="8" fillId="0" borderId="0" xfId="0" applyNumberFormat="1" applyFont="1" applyFill="1" applyBorder="1" applyAlignment="1">
      <alignment vertical="center"/>
    </xf>
    <xf numFmtId="215" fontId="23" fillId="0" borderId="1" xfId="0" applyNumberFormat="1" applyFont="1" applyFill="1" applyBorder="1" applyAlignment="1">
      <alignment horizontal="left" vertical="center" wrapText="1"/>
    </xf>
    <xf numFmtId="0" fontId="46" fillId="0" borderId="0" xfId="0" applyFont="1" applyFill="1" applyBorder="1" applyAlignment="1">
      <alignment vertical="center"/>
    </xf>
    <xf numFmtId="0" fontId="46" fillId="0" borderId="0" xfId="0" applyFont="1" applyFill="1" applyBorder="1" applyAlignment="1">
      <alignment horizontal="center" vertical="center"/>
    </xf>
    <xf numFmtId="43" fontId="14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 wrapText="1"/>
    </xf>
    <xf numFmtId="43" fontId="8" fillId="0" borderId="0" xfId="0" applyNumberFormat="1" applyFont="1" applyFill="1" applyBorder="1" applyAlignment="1">
      <alignment vertical="center"/>
    </xf>
    <xf numFmtId="43" fontId="16" fillId="0" borderId="0" xfId="0" applyNumberFormat="1" applyFont="1" applyFill="1" applyBorder="1" applyAlignment="1">
      <alignment vertical="center"/>
    </xf>
    <xf numFmtId="43" fontId="1" fillId="0" borderId="0" xfId="0" applyNumberFormat="1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horizontal="center" vertical="center"/>
    </xf>
    <xf numFmtId="43" fontId="47" fillId="0" borderId="0" xfId="0" applyNumberFormat="1" applyFont="1" applyFill="1" applyBorder="1" applyAlignment="1">
      <alignment vertical="center" wrapText="1"/>
    </xf>
    <xf numFmtId="0" fontId="0" fillId="0" borderId="13" xfId="0" applyFont="1" applyBorder="1" applyAlignment="1">
      <alignment horizontal="center" vertical="center" wrapText="1"/>
    </xf>
    <xf numFmtId="215" fontId="23" fillId="9" borderId="6" xfId="0" applyNumberFormat="1" applyFont="1" applyFill="1" applyBorder="1" applyAlignment="1">
      <alignment vertical="center" wrapText="1"/>
    </xf>
    <xf numFmtId="0" fontId="0" fillId="0" borderId="6" xfId="0" applyFont="1" applyBorder="1">
      <alignment vertical="center"/>
    </xf>
    <xf numFmtId="0" fontId="0" fillId="15" borderId="6" xfId="0" applyFont="1" applyFill="1" applyBorder="1">
      <alignment vertical="center"/>
    </xf>
    <xf numFmtId="206" fontId="0" fillId="15" borderId="6" xfId="0" applyNumberFormat="1" applyFont="1" applyFill="1" applyBorder="1" applyAlignment="1">
      <alignment horizontal="left" vertical="center"/>
    </xf>
    <xf numFmtId="206" fontId="0" fillId="0" borderId="6" xfId="0" applyNumberFormat="1" applyFont="1" applyBorder="1" applyAlignment="1">
      <alignment horizontal="left" vertical="center"/>
    </xf>
    <xf numFmtId="43" fontId="0" fillId="0" borderId="6" xfId="0" applyNumberFormat="1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197" fontId="0" fillId="0" borderId="6" xfId="0" applyNumberFormat="1" applyFont="1" applyBorder="1" applyAlignment="1">
      <alignment horizontal="left" vertical="center"/>
    </xf>
    <xf numFmtId="204" fontId="0" fillId="0" borderId="6" xfId="0" applyNumberFormat="1" applyFont="1" applyBorder="1" applyAlignment="1">
      <alignment horizontal="left" vertical="center"/>
    </xf>
    <xf numFmtId="43" fontId="0" fillId="9" borderId="6" xfId="0" applyNumberFormat="1" applyFont="1" applyFill="1" applyBorder="1" applyAlignment="1">
      <alignment horizontal="left" vertical="center"/>
    </xf>
    <xf numFmtId="215" fontId="0" fillId="0" borderId="6" xfId="0" applyNumberFormat="1" applyFont="1" applyBorder="1" applyAlignment="1">
      <alignment horizontal="left" vertical="center"/>
    </xf>
    <xf numFmtId="43" fontId="0" fillId="0" borderId="6" xfId="0" applyNumberFormat="1" applyFont="1" applyBorder="1" applyAlignment="1">
      <alignment horizontal="left" vertical="center" wrapText="1"/>
    </xf>
    <xf numFmtId="216" fontId="0" fillId="0" borderId="6" xfId="0" applyNumberFormat="1" applyFont="1" applyBorder="1">
      <alignment vertical="center"/>
    </xf>
    <xf numFmtId="0" fontId="0" fillId="0" borderId="20" xfId="0" applyFont="1" applyFill="1" applyBorder="1">
      <alignment vertical="center"/>
    </xf>
    <xf numFmtId="0" fontId="16" fillId="0" borderId="0" xfId="0" applyFont="1" applyFill="1" applyBorder="1" applyAlignment="1">
      <alignment vertical="center"/>
    </xf>
    <xf numFmtId="43" fontId="16" fillId="0" borderId="0" xfId="0" applyNumberFormat="1" applyFont="1" applyFill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7" xfId="0" applyFont="1" applyBorder="1">
      <alignment vertical="center"/>
    </xf>
    <xf numFmtId="0" fontId="3" fillId="15" borderId="7" xfId="0" applyFont="1" applyFill="1" applyBorder="1">
      <alignment vertical="center"/>
    </xf>
    <xf numFmtId="196" fontId="3" fillId="15" borderId="7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left" vertical="center"/>
    </xf>
    <xf numFmtId="43" fontId="3" fillId="0" borderId="7" xfId="0" applyNumberFormat="1" applyFont="1" applyBorder="1" applyAlignment="1">
      <alignment horizontal="left" vertical="center"/>
    </xf>
    <xf numFmtId="215" fontId="3" fillId="0" borderId="7" xfId="0" applyNumberFormat="1" applyFont="1" applyBorder="1" applyAlignment="1">
      <alignment horizontal="left" vertical="center"/>
    </xf>
    <xf numFmtId="206" fontId="3" fillId="0" borderId="7" xfId="0" applyNumberFormat="1" applyFont="1" applyBorder="1" applyAlignment="1">
      <alignment horizontal="left" vertical="center"/>
    </xf>
    <xf numFmtId="43" fontId="3" fillId="9" borderId="7" xfId="0" applyNumberFormat="1" applyFont="1" applyFill="1" applyBorder="1" applyAlignment="1">
      <alignment horizontal="left" vertical="center"/>
    </xf>
    <xf numFmtId="43" fontId="0" fillId="0" borderId="7" xfId="0" applyNumberFormat="1" applyFont="1" applyBorder="1" applyAlignment="1">
      <alignment horizontal="left" vertical="center"/>
    </xf>
    <xf numFmtId="217" fontId="3" fillId="0" borderId="7" xfId="0" applyNumberFormat="1" applyFont="1" applyBorder="1">
      <alignment vertical="center"/>
    </xf>
    <xf numFmtId="0" fontId="3" fillId="0" borderId="22" xfId="0" applyFont="1" applyFill="1" applyBorder="1">
      <alignment vertical="center"/>
    </xf>
    <xf numFmtId="0" fontId="27" fillId="0" borderId="0" xfId="0" applyFont="1" applyBorder="1">
      <alignment vertical="center"/>
    </xf>
    <xf numFmtId="0" fontId="30" fillId="0" borderId="0" xfId="0" applyFont="1" applyBorder="1">
      <alignment vertical="center"/>
    </xf>
    <xf numFmtId="197" fontId="27" fillId="0" borderId="0" xfId="0" applyNumberFormat="1" applyFont="1" applyBorder="1">
      <alignment vertical="center"/>
    </xf>
    <xf numFmtId="0" fontId="27" fillId="0" borderId="0" xfId="0" applyFont="1" applyFill="1" applyBorder="1">
      <alignment vertical="center"/>
    </xf>
    <xf numFmtId="0" fontId="30" fillId="0" borderId="0" xfId="0" applyFont="1" applyFill="1" applyBorder="1" applyAlignment="1">
      <alignment horizontal="left" vertical="center"/>
    </xf>
    <xf numFmtId="197" fontId="48" fillId="0" borderId="0" xfId="0" applyNumberFormat="1" applyFont="1">
      <alignment vertical="center"/>
    </xf>
    <xf numFmtId="0" fontId="27" fillId="0" borderId="0" xfId="0" applyFont="1" applyFill="1" applyBorder="1" applyAlignment="1">
      <alignment horizontal="left" vertical="center"/>
    </xf>
    <xf numFmtId="206" fontId="27" fillId="0" borderId="0" xfId="0" applyNumberFormat="1" applyFont="1" applyFill="1" applyBorder="1" applyAlignment="1">
      <alignment horizontal="left" vertical="center"/>
    </xf>
    <xf numFmtId="206" fontId="27" fillId="0" borderId="0" xfId="0" applyNumberFormat="1" applyFont="1" applyBorder="1" applyAlignment="1">
      <alignment horizontal="left" vertical="center"/>
    </xf>
    <xf numFmtId="215" fontId="27" fillId="0" borderId="0" xfId="0" applyNumberFormat="1" applyFont="1" applyBorder="1" applyAlignment="1">
      <alignment horizontal="left" vertical="center"/>
    </xf>
    <xf numFmtId="4" fontId="49" fillId="0" borderId="0" xfId="0" applyNumberFormat="1" applyFont="1">
      <alignment vertical="center"/>
    </xf>
    <xf numFmtId="31" fontId="29" fillId="0" borderId="0" xfId="0" applyNumberFormat="1" applyFont="1">
      <alignment vertical="center"/>
    </xf>
    <xf numFmtId="0" fontId="50" fillId="0" borderId="0" xfId="0" applyFont="1">
      <alignment vertical="center"/>
    </xf>
    <xf numFmtId="206" fontId="27" fillId="0" borderId="0" xfId="0" applyNumberFormat="1" applyFont="1" applyFill="1" applyAlignment="1">
      <alignment horizontal="left" vertical="center"/>
    </xf>
    <xf numFmtId="206" fontId="29" fillId="0" borderId="0" xfId="0" applyNumberFormat="1" applyFont="1" applyBorder="1" applyAlignment="1">
      <alignment horizontal="left" vertical="center"/>
    </xf>
    <xf numFmtId="217" fontId="27" fillId="0" borderId="0" xfId="0" applyNumberFormat="1" applyFont="1" applyBorder="1">
      <alignment vertical="center"/>
    </xf>
    <xf numFmtId="0" fontId="29" fillId="0" borderId="0" xfId="0" applyFont="1" applyFill="1" applyBorder="1" applyAlignment="1">
      <alignment vertical="center"/>
    </xf>
    <xf numFmtId="0" fontId="33" fillId="0" borderId="0" xfId="0" applyFont="1" applyAlignment="1">
      <alignment horizontal="left" vertical="center" wrapText="1"/>
    </xf>
    <xf numFmtId="197" fontId="27" fillId="0" borderId="0" xfId="0" applyNumberFormat="1" applyFont="1" applyBorder="1" applyAlignment="1">
      <alignment horizontal="center" vertical="center" wrapText="1"/>
    </xf>
    <xf numFmtId="43" fontId="51" fillId="0" borderId="0" xfId="0" applyNumberFormat="1" applyFont="1" applyAlignment="1">
      <alignment horizontal="left" vertical="center"/>
    </xf>
    <xf numFmtId="206" fontId="27" fillId="0" borderId="0" xfId="0" applyNumberFormat="1" applyFont="1" applyAlignment="1">
      <alignment horizontal="left" vertical="center"/>
    </xf>
    <xf numFmtId="0" fontId="52" fillId="0" borderId="0" xfId="0" applyFont="1" applyFill="1" applyBorder="1">
      <alignment vertical="center"/>
    </xf>
    <xf numFmtId="196" fontId="30" fillId="0" borderId="0" xfId="0" applyNumberFormat="1" applyFont="1" applyFill="1" applyBorder="1">
      <alignment vertical="center"/>
    </xf>
    <xf numFmtId="197" fontId="27" fillId="0" borderId="0" xfId="0" applyNumberFormat="1" applyFont="1" applyBorder="1" applyAlignment="1">
      <alignment horizontal="left" vertical="center"/>
    </xf>
    <xf numFmtId="206" fontId="27" fillId="0" borderId="0" xfId="0" applyNumberFormat="1" applyFont="1" applyFill="1" applyBorder="1" applyAlignment="1">
      <alignment horizontal="right" vertical="center"/>
    </xf>
    <xf numFmtId="43" fontId="8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/>
    </xf>
    <xf numFmtId="4" fontId="52" fillId="0" borderId="0" xfId="0" applyNumberFormat="1" applyFont="1" applyFill="1" applyBorder="1">
      <alignment vertical="center"/>
    </xf>
    <xf numFmtId="197" fontId="30" fillId="0" borderId="0" xfId="0" applyNumberFormat="1" applyFont="1" applyFill="1" applyAlignment="1">
      <alignment horizontal="right" vertical="center"/>
    </xf>
    <xf numFmtId="197" fontId="27" fillId="0" borderId="0" xfId="0" applyNumberFormat="1" applyFont="1" applyFill="1" applyBorder="1">
      <alignment vertical="center"/>
    </xf>
    <xf numFmtId="4" fontId="27" fillId="0" borderId="0" xfId="0" applyNumberFormat="1" applyFont="1" applyFill="1" applyBorder="1">
      <alignment vertical="center"/>
    </xf>
    <xf numFmtId="196" fontId="30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>
      <alignment vertical="center"/>
    </xf>
    <xf numFmtId="0" fontId="29" fillId="0" borderId="10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197" fontId="30" fillId="0" borderId="0" xfId="0" applyNumberFormat="1" applyFont="1" applyBorder="1" applyAlignment="1">
      <alignment horizontal="left" vertical="center"/>
    </xf>
    <xf numFmtId="197" fontId="27" fillId="0" borderId="0" xfId="0" applyNumberFormat="1" applyFont="1" applyAlignment="1">
      <alignment horizontal="center" vertical="center" wrapText="1"/>
    </xf>
    <xf numFmtId="206" fontId="30" fillId="0" borderId="0" xfId="0" applyNumberFormat="1" applyFont="1" applyFill="1" applyBorder="1" applyAlignment="1">
      <alignment horizontal="left" vertical="center" wrapText="1"/>
    </xf>
    <xf numFmtId="176" fontId="27" fillId="0" borderId="0" xfId="2" applyFont="1" applyBorder="1" applyAlignment="1">
      <alignment horizontal="left" vertical="center" wrapText="1"/>
    </xf>
    <xf numFmtId="0" fontId="31" fillId="0" borderId="0" xfId="0" applyFont="1" applyAlignment="1">
      <alignment vertical="center" wrapText="1"/>
    </xf>
    <xf numFmtId="206" fontId="30" fillId="0" borderId="0" xfId="0" applyNumberFormat="1" applyFont="1" applyFill="1" applyBorder="1" applyAlignment="1">
      <alignment horizontal="left" vertical="center"/>
    </xf>
    <xf numFmtId="0" fontId="53" fillId="0" borderId="0" xfId="0" applyFont="1" applyFill="1" applyBorder="1" applyAlignment="1">
      <alignment vertical="center" wrapText="1"/>
    </xf>
    <xf numFmtId="0" fontId="29" fillId="0" borderId="0" xfId="0" applyNumberFormat="1" applyFont="1" applyFill="1" applyBorder="1" applyAlignment="1">
      <alignment vertical="center"/>
    </xf>
    <xf numFmtId="0" fontId="27" fillId="0" borderId="0" xfId="0" applyFont="1">
      <alignment vertical="center"/>
    </xf>
    <xf numFmtId="0" fontId="30" fillId="0" borderId="0" xfId="0" applyFont="1">
      <alignment vertical="center"/>
    </xf>
    <xf numFmtId="197" fontId="27" fillId="0" borderId="0" xfId="0" applyNumberFormat="1" applyFont="1" applyFill="1">
      <alignment vertical="center"/>
    </xf>
    <xf numFmtId="0" fontId="27" fillId="0" borderId="0" xfId="0" applyFont="1" applyFill="1">
      <alignment vertical="center"/>
    </xf>
    <xf numFmtId="197" fontId="30" fillId="0" borderId="1" xfId="0" applyNumberFormat="1" applyFont="1" applyFill="1" applyBorder="1" applyAlignment="1">
      <alignment horizontal="right" vertical="center"/>
    </xf>
    <xf numFmtId="0" fontId="31" fillId="0" borderId="10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 vertical="center" wrapText="1"/>
    </xf>
    <xf numFmtId="197" fontId="27" fillId="0" borderId="0" xfId="0" applyNumberFormat="1" applyFont="1" applyAlignment="1">
      <alignment horizontal="left" vertical="center"/>
    </xf>
    <xf numFmtId="217" fontId="27" fillId="0" borderId="0" xfId="0" applyNumberFormat="1" applyFont="1">
      <alignment vertical="center"/>
    </xf>
    <xf numFmtId="49" fontId="16" fillId="0" borderId="0" xfId="0" applyNumberFormat="1" applyFont="1" applyFill="1" applyBorder="1" applyAlignment="1">
      <alignment vertical="center"/>
    </xf>
    <xf numFmtId="211" fontId="16" fillId="0" borderId="0" xfId="0" applyNumberFormat="1" applyFont="1" applyFill="1" applyBorder="1" applyAlignment="1">
      <alignment vertical="center"/>
    </xf>
    <xf numFmtId="0" fontId="29" fillId="0" borderId="0" xfId="0" applyFont="1" applyFill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27" fillId="0" borderId="1" xfId="0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196" fontId="30" fillId="0" borderId="0" xfId="0" applyNumberFormat="1" applyFont="1" applyFill="1">
      <alignment vertical="center"/>
    </xf>
    <xf numFmtId="0" fontId="27" fillId="0" borderId="0" xfId="0" applyFont="1" applyFill="1" applyAlignment="1">
      <alignment horizontal="left" vertical="center"/>
    </xf>
    <xf numFmtId="176" fontId="3" fillId="0" borderId="0" xfId="2" applyFont="1" applyAlignment="1">
      <alignment vertical="center" wrapText="1"/>
    </xf>
    <xf numFmtId="176" fontId="3" fillId="0" borderId="0" xfId="2" applyFont="1" applyAlignment="1">
      <alignment horizontal="right" vertical="center" wrapText="1"/>
    </xf>
    <xf numFmtId="206" fontId="7" fillId="0" borderId="0" xfId="2" applyNumberFormat="1" applyFont="1" applyAlignment="1">
      <alignment vertical="center" wrapText="1"/>
    </xf>
    <xf numFmtId="176" fontId="8" fillId="0" borderId="0" xfId="2" applyFont="1" applyFill="1" applyAlignment="1">
      <alignment vertical="center" wrapText="1"/>
    </xf>
    <xf numFmtId="176" fontId="8" fillId="0" borderId="0" xfId="2" applyFont="1" applyAlignment="1">
      <alignment vertical="center" wrapText="1"/>
    </xf>
    <xf numFmtId="176" fontId="27" fillId="0" borderId="0" xfId="2" applyFont="1" applyAlignment="1">
      <alignment vertical="center" wrapText="1"/>
    </xf>
    <xf numFmtId="196" fontId="44" fillId="0" borderId="0" xfId="2" applyNumberFormat="1" applyFont="1" applyBorder="1" applyAlignment="1">
      <alignment vertical="center" wrapText="1"/>
    </xf>
    <xf numFmtId="196" fontId="7" fillId="0" borderId="0" xfId="2" applyNumberFormat="1" applyFont="1" applyBorder="1" applyAlignment="1">
      <alignment vertical="center" wrapText="1"/>
    </xf>
    <xf numFmtId="176" fontId="3" fillId="0" borderId="0" xfId="2" applyFont="1" applyBorder="1" applyAlignment="1">
      <alignment vertical="center" wrapText="1"/>
    </xf>
    <xf numFmtId="197" fontId="33" fillId="0" borderId="0" xfId="0" applyNumberFormat="1" applyFont="1" applyAlignment="1">
      <alignment horizontal="left" vertical="center"/>
    </xf>
    <xf numFmtId="196" fontId="0" fillId="0" borderId="0" xfId="0" applyNumberFormat="1">
      <alignment vertical="center"/>
    </xf>
    <xf numFmtId="196" fontId="0" fillId="0" borderId="0" xfId="2" applyNumberFormat="1" applyFont="1" applyBorder="1" applyAlignment="1">
      <alignment vertical="center" wrapText="1"/>
    </xf>
    <xf numFmtId="196" fontId="27" fillId="0" borderId="0" xfId="2" applyNumberFormat="1" applyFont="1" applyBorder="1" applyAlignment="1">
      <alignment vertical="center" wrapText="1"/>
    </xf>
    <xf numFmtId="0" fontId="54" fillId="0" borderId="0" xfId="0" applyFont="1">
      <alignment vertical="center"/>
    </xf>
    <xf numFmtId="196" fontId="3" fillId="0" borderId="0" xfId="2" applyNumberFormat="1" applyFont="1" applyBorder="1" applyAlignment="1">
      <alignment vertical="center" wrapText="1"/>
    </xf>
    <xf numFmtId="176" fontId="51" fillId="0" borderId="0" xfId="2" applyFont="1" applyAlignment="1">
      <alignment vertical="center" wrapText="1"/>
    </xf>
    <xf numFmtId="196" fontId="33" fillId="0" borderId="0" xfId="2" applyNumberFormat="1" applyFont="1" applyAlignment="1">
      <alignment vertical="center" wrapText="1"/>
    </xf>
    <xf numFmtId="0" fontId="55" fillId="0" borderId="1" xfId="0" applyFont="1" applyFill="1" applyBorder="1" applyAlignment="1">
      <alignment horizontal="center" vertical="center"/>
    </xf>
    <xf numFmtId="196" fontId="3" fillId="0" borderId="0" xfId="2" applyNumberFormat="1" applyFont="1" applyFill="1" applyBorder="1" applyAlignment="1">
      <alignment vertical="center" wrapText="1"/>
    </xf>
    <xf numFmtId="204" fontId="0" fillId="0" borderId="0" xfId="0" applyNumberFormat="1" applyFill="1" applyBorder="1" applyAlignment="1">
      <alignment horizontal="left" vertical="center"/>
    </xf>
    <xf numFmtId="0" fontId="33" fillId="0" borderId="0" xfId="0" applyNumberFormat="1" applyFont="1" applyFill="1" applyBorder="1" applyAlignment="1">
      <alignment horizontal="left" vertical="center"/>
    </xf>
    <xf numFmtId="49" fontId="33" fillId="0" borderId="0" xfId="0" applyNumberFormat="1" applyFont="1" applyFill="1" applyBorder="1">
      <alignment vertical="center"/>
    </xf>
    <xf numFmtId="0" fontId="31" fillId="0" borderId="0" xfId="0" applyNumberFormat="1" applyFont="1" applyFill="1" applyBorder="1">
      <alignment vertical="center"/>
    </xf>
    <xf numFmtId="0" fontId="56" fillId="0" borderId="1" xfId="0" applyFont="1" applyFill="1" applyBorder="1" applyAlignment="1">
      <alignment horizontal="center" vertical="center"/>
    </xf>
    <xf numFmtId="0" fontId="56" fillId="8" borderId="1" xfId="0" applyFont="1" applyFill="1" applyBorder="1" applyAlignment="1">
      <alignment horizontal="center" vertical="center" wrapText="1"/>
    </xf>
    <xf numFmtId="0" fontId="56" fillId="8" borderId="1" xfId="0" applyFont="1" applyFill="1" applyBorder="1" applyAlignment="1">
      <alignment horizontal="center" vertical="center"/>
    </xf>
    <xf numFmtId="0" fontId="57" fillId="8" borderId="1" xfId="0" applyFont="1" applyFill="1" applyBorder="1" applyAlignment="1">
      <alignment horizontal="center" vertical="center" wrapText="1"/>
    </xf>
    <xf numFmtId="0" fontId="56" fillId="16" borderId="1" xfId="0" applyFont="1" applyFill="1" applyBorder="1" applyAlignment="1">
      <alignment horizontal="center" vertical="center" wrapText="1"/>
    </xf>
    <xf numFmtId="0" fontId="56" fillId="16" borderId="1" xfId="0" applyFont="1" applyFill="1" applyBorder="1" applyAlignment="1">
      <alignment vertical="center" wrapText="1"/>
    </xf>
    <xf numFmtId="0" fontId="56" fillId="0" borderId="1" xfId="0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vertical="center"/>
    </xf>
    <xf numFmtId="197" fontId="51" fillId="0" borderId="1" xfId="0" applyNumberFormat="1" applyFont="1" applyFill="1" applyBorder="1" applyAlignment="1">
      <alignment horizontal="left" vertical="center"/>
    </xf>
    <xf numFmtId="0" fontId="33" fillId="0" borderId="0" xfId="0" applyNumberFormat="1" applyFont="1" applyFill="1" applyBorder="1">
      <alignment vertical="center"/>
    </xf>
    <xf numFmtId="0" fontId="22" fillId="0" borderId="0" xfId="0" applyFont="1" applyFill="1" applyBorder="1" applyAlignment="1">
      <alignment vertical="center" wrapText="1"/>
    </xf>
    <xf numFmtId="195" fontId="16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/>
    </xf>
    <xf numFmtId="43" fontId="56" fillId="0" borderId="1" xfId="0" applyNumberFormat="1" applyFont="1" applyFill="1" applyBorder="1" applyAlignment="1">
      <alignment horizontal="center" vertical="center"/>
    </xf>
    <xf numFmtId="43" fontId="56" fillId="0" borderId="10" xfId="0" applyNumberFormat="1" applyFont="1" applyFill="1" applyBorder="1" applyAlignment="1">
      <alignment horizontal="center" vertical="center"/>
    </xf>
    <xf numFmtId="43" fontId="56" fillId="0" borderId="12" xfId="0" applyNumberFormat="1" applyFont="1" applyFill="1" applyBorder="1" applyAlignment="1">
      <alignment horizontal="center" vertical="center"/>
    </xf>
    <xf numFmtId="43" fontId="58" fillId="0" borderId="1" xfId="0" applyNumberFormat="1" applyFont="1" applyFill="1" applyBorder="1" applyAlignment="1">
      <alignment vertical="center"/>
    </xf>
    <xf numFmtId="43" fontId="56" fillId="0" borderId="1" xfId="0" applyNumberFormat="1" applyFont="1" applyFill="1" applyBorder="1" applyAlignment="1">
      <alignment vertical="center"/>
    </xf>
    <xf numFmtId="43" fontId="7" fillId="0" borderId="1" xfId="0" applyNumberFormat="1" applyFont="1" applyFill="1" applyBorder="1" applyAlignment="1">
      <alignment horizontal="left" vertical="center"/>
    </xf>
    <xf numFmtId="206" fontId="8" fillId="0" borderId="0" xfId="0" applyNumberFormat="1" applyFont="1" applyFill="1" applyBorder="1" applyAlignment="1">
      <alignment vertical="center"/>
    </xf>
    <xf numFmtId="206" fontId="0" fillId="0" borderId="0" xfId="0" applyNumberFormat="1" applyFill="1" applyBorder="1" applyAlignment="1">
      <alignment horizontal="left" vertical="center"/>
    </xf>
    <xf numFmtId="4" fontId="33" fillId="0" borderId="0" xfId="0" applyNumberFormat="1" applyFont="1" applyFill="1" applyBorder="1" applyAlignment="1">
      <alignment horizontal="left" vertical="center"/>
    </xf>
    <xf numFmtId="43" fontId="3" fillId="0" borderId="1" xfId="0" applyNumberFormat="1" applyFont="1" applyFill="1" applyBorder="1" applyAlignment="1">
      <alignment horizontal="left" vertical="center"/>
    </xf>
    <xf numFmtId="196" fontId="59" fillId="0" borderId="0" xfId="30239" applyNumberFormat="1" applyFont="1" applyFill="1" applyBorder="1" applyAlignment="1">
      <alignment vertical="center"/>
    </xf>
    <xf numFmtId="0" fontId="22" fillId="0" borderId="0" xfId="0" applyNumberFormat="1" applyFont="1" applyFill="1" applyBorder="1" applyAlignment="1">
      <alignment horizontal="left" vertical="center"/>
    </xf>
    <xf numFmtId="196" fontId="56" fillId="0" borderId="1" xfId="0" applyNumberFormat="1" applyFont="1" applyFill="1" applyBorder="1" applyAlignment="1">
      <alignment horizontal="center" vertical="center"/>
    </xf>
    <xf numFmtId="43" fontId="60" fillId="0" borderId="1" xfId="0" applyNumberFormat="1" applyFont="1" applyFill="1" applyBorder="1" applyAlignment="1">
      <alignment horizontal="center" vertical="center"/>
    </xf>
    <xf numFmtId="43" fontId="3" fillId="0" borderId="1" xfId="0" applyNumberFormat="1" applyFont="1" applyBorder="1">
      <alignment vertical="center"/>
    </xf>
    <xf numFmtId="206" fontId="61" fillId="0" borderId="0" xfId="0" applyNumberFormat="1" applyFont="1" applyFill="1" applyBorder="1" applyAlignment="1">
      <alignment vertical="center"/>
    </xf>
    <xf numFmtId="43" fontId="62" fillId="0" borderId="1" xfId="0" applyNumberFormat="1" applyFont="1" applyBorder="1">
      <alignment vertical="center"/>
    </xf>
    <xf numFmtId="206" fontId="59" fillId="0" borderId="0" xfId="0" applyNumberFormat="1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horizontal="left" vertical="center"/>
    </xf>
    <xf numFmtId="43" fontId="3" fillId="0" borderId="1" xfId="0" applyNumberFormat="1" applyFont="1" applyBorder="1" applyAlignment="1">
      <alignment horizontal="center" vertical="center"/>
    </xf>
    <xf numFmtId="43" fontId="56" fillId="0" borderId="1" xfId="0" applyNumberFormat="1" applyFont="1" applyFill="1" applyBorder="1" applyAlignment="1">
      <alignment horizontal="left" vertical="center"/>
    </xf>
    <xf numFmtId="206" fontId="0" fillId="0" borderId="0" xfId="0" applyNumberFormat="1" applyFont="1" applyFill="1" applyBorder="1" applyAlignment="1">
      <alignment vertical="center"/>
    </xf>
    <xf numFmtId="206" fontId="63" fillId="0" borderId="0" xfId="0" applyNumberFormat="1" applyFont="1" applyFill="1" applyBorder="1" applyAlignment="1">
      <alignment vertical="center"/>
    </xf>
    <xf numFmtId="14" fontId="16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 applyProtection="1">
      <alignment horizontal="left" vertical="center" shrinkToFit="1"/>
    </xf>
    <xf numFmtId="199" fontId="16" fillId="0" borderId="0" xfId="0" applyNumberFormat="1" applyFont="1" applyFill="1" applyBorder="1" applyAlignment="1" applyProtection="1">
      <alignment horizontal="left" vertical="center" shrinkToFit="1"/>
    </xf>
    <xf numFmtId="49" fontId="64" fillId="0" borderId="0" xfId="0" applyNumberFormat="1" applyFont="1" applyFill="1" applyBorder="1" applyAlignment="1" applyProtection="1">
      <alignment vertical="center" shrinkToFit="1"/>
    </xf>
    <xf numFmtId="0" fontId="65" fillId="0" borderId="0" xfId="0" applyNumberFormat="1" applyFont="1" applyFill="1" applyBorder="1" applyAlignment="1" applyProtection="1">
      <alignment vertical="center" shrinkToFit="1"/>
    </xf>
    <xf numFmtId="0" fontId="66" fillId="0" borderId="0" xfId="0" applyFont="1" applyFill="1" applyBorder="1" applyAlignment="1">
      <alignment vertical="center" wrapText="1"/>
    </xf>
    <xf numFmtId="208" fontId="16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14" fontId="16" fillId="0" borderId="0" xfId="0" applyNumberFormat="1" applyFont="1" applyFill="1" applyBorder="1" applyAlignment="1">
      <alignment horizontal="center" vertical="center" wrapText="1"/>
    </xf>
    <xf numFmtId="199" fontId="16" fillId="0" borderId="0" xfId="0" applyNumberFormat="1" applyFont="1" applyFill="1" applyBorder="1" applyAlignment="1" applyProtection="1">
      <alignment horizontal="center" vertical="center" shrinkToFit="1"/>
    </xf>
    <xf numFmtId="49" fontId="65" fillId="0" borderId="0" xfId="0" applyNumberFormat="1" applyFont="1" applyFill="1" applyBorder="1" applyAlignment="1" applyProtection="1">
      <alignment vertical="center" shrinkToFit="1"/>
    </xf>
    <xf numFmtId="196" fontId="65" fillId="0" borderId="0" xfId="0" applyNumberFormat="1" applyFont="1" applyFill="1" applyBorder="1" applyAlignment="1" applyProtection="1">
      <alignment vertical="center" shrinkToFit="1"/>
    </xf>
    <xf numFmtId="49" fontId="16" fillId="0" borderId="0" xfId="0" applyNumberFormat="1" applyFont="1" applyFill="1" applyBorder="1" applyAlignment="1" applyProtection="1">
      <alignment horizontal="center" vertical="center" shrinkToFit="1"/>
    </xf>
    <xf numFmtId="218" fontId="56" fillId="0" borderId="1" xfId="0" applyNumberFormat="1" applyFont="1" applyFill="1" applyBorder="1" applyAlignment="1">
      <alignment horizontal="center" vertical="center"/>
    </xf>
    <xf numFmtId="218" fontId="60" fillId="0" borderId="1" xfId="0" applyNumberFormat="1" applyFont="1" applyFill="1" applyBorder="1" applyAlignment="1">
      <alignment horizontal="center" vertical="center"/>
    </xf>
    <xf numFmtId="218" fontId="67" fillId="0" borderId="1" xfId="0" applyNumberFormat="1" applyFont="1" applyFill="1" applyBorder="1" applyAlignment="1">
      <alignment vertical="center"/>
    </xf>
    <xf numFmtId="43" fontId="67" fillId="0" borderId="1" xfId="0" applyNumberFormat="1" applyFont="1" applyFill="1" applyBorder="1" applyAlignment="1">
      <alignment horizontal="center" vertical="center"/>
    </xf>
    <xf numFmtId="43" fontId="67" fillId="0" borderId="1" xfId="0" applyNumberFormat="1" applyFont="1" applyFill="1" applyBorder="1" applyAlignment="1">
      <alignment vertical="center"/>
    </xf>
    <xf numFmtId="43" fontId="67" fillId="0" borderId="10" xfId="0" applyNumberFormat="1" applyFont="1" applyFill="1" applyBorder="1" applyAlignment="1">
      <alignment horizontal="center" vertical="center"/>
    </xf>
    <xf numFmtId="43" fontId="67" fillId="0" borderId="12" xfId="0" applyNumberFormat="1" applyFont="1" applyFill="1" applyBorder="1" applyAlignment="1">
      <alignment horizontal="center" vertical="center"/>
    </xf>
    <xf numFmtId="43" fontId="60" fillId="0" borderId="1" xfId="0" applyNumberFormat="1" applyFont="1" applyFill="1" applyBorder="1" applyAlignment="1">
      <alignment vertical="center"/>
    </xf>
    <xf numFmtId="0" fontId="67" fillId="0" borderId="1" xfId="0" applyFont="1" applyFill="1" applyBorder="1" applyAlignment="1">
      <alignment horizontal="center" vertical="center" wrapText="1"/>
    </xf>
    <xf numFmtId="218" fontId="57" fillId="0" borderId="1" xfId="0" applyNumberFormat="1" applyFont="1" applyFill="1" applyBorder="1" applyAlignment="1">
      <alignment horizontal="left" vertical="center" wrapText="1"/>
    </xf>
    <xf numFmtId="43" fontId="3" fillId="0" borderId="1" xfId="0" applyNumberFormat="1" applyFont="1" applyFill="1" applyBorder="1">
      <alignment vertical="center"/>
    </xf>
    <xf numFmtId="43" fontId="3" fillId="0" borderId="1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43" fontId="67" fillId="0" borderId="10" xfId="0" applyNumberFormat="1" applyFont="1" applyFill="1" applyBorder="1" applyAlignment="1">
      <alignment vertical="center"/>
    </xf>
    <xf numFmtId="43" fontId="67" fillId="0" borderId="12" xfId="0" applyNumberFormat="1" applyFont="1" applyFill="1" applyBorder="1" applyAlignment="1">
      <alignment vertical="center"/>
    </xf>
    <xf numFmtId="43" fontId="67" fillId="0" borderId="11" xfId="0" applyNumberFormat="1" applyFont="1" applyFill="1" applyBorder="1" applyAlignment="1">
      <alignment horizontal="center" vertical="center"/>
    </xf>
    <xf numFmtId="196" fontId="67" fillId="0" borderId="10" xfId="0" applyNumberFormat="1" applyFont="1" applyFill="1" applyBorder="1" applyAlignment="1">
      <alignment horizontal="center" vertical="center"/>
    </xf>
    <xf numFmtId="196" fontId="67" fillId="0" borderId="11" xfId="0" applyNumberFormat="1" applyFont="1" applyFill="1" applyBorder="1" applyAlignment="1">
      <alignment horizontal="center" vertical="center"/>
    </xf>
    <xf numFmtId="196" fontId="67" fillId="0" borderId="12" xfId="0" applyNumberFormat="1" applyFont="1" applyFill="1" applyBorder="1" applyAlignment="1">
      <alignment horizontal="center" vertical="center"/>
    </xf>
    <xf numFmtId="0" fontId="68" fillId="3" borderId="10" xfId="0" applyFont="1" applyFill="1" applyBorder="1" applyAlignment="1">
      <alignment horizontal="center" vertical="center"/>
    </xf>
    <xf numFmtId="0" fontId="68" fillId="3" borderId="11" xfId="0" applyFont="1" applyFill="1" applyBorder="1" applyAlignment="1">
      <alignment horizontal="center" vertical="center"/>
    </xf>
    <xf numFmtId="0" fontId="68" fillId="3" borderId="12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199" fontId="8" fillId="0" borderId="0" xfId="0" applyNumberFormat="1" applyFont="1" applyFill="1" applyBorder="1" applyAlignment="1" applyProtection="1">
      <alignment vertical="center" shrinkToFit="1"/>
    </xf>
    <xf numFmtId="0" fontId="67" fillId="0" borderId="1" xfId="0" applyFont="1" applyFill="1" applyBorder="1" applyAlignment="1">
      <alignment horizontal="left" vertical="center" wrapText="1"/>
    </xf>
    <xf numFmtId="199" fontId="9" fillId="0" borderId="0" xfId="0" applyNumberFormat="1" applyFont="1" applyFill="1" applyBorder="1" applyAlignment="1" applyProtection="1">
      <alignment vertical="center" shrinkToFit="1"/>
    </xf>
    <xf numFmtId="0" fontId="16" fillId="0" borderId="0" xfId="0" applyNumberFormat="1" applyFont="1" applyFill="1" applyBorder="1" applyAlignment="1">
      <alignment vertical="center"/>
    </xf>
    <xf numFmtId="49" fontId="16" fillId="0" borderId="0" xfId="30239" applyNumberFormat="1" applyFont="1" applyFill="1" applyBorder="1" applyAlignment="1">
      <alignment vertical="center"/>
    </xf>
    <xf numFmtId="0" fontId="69" fillId="0" borderId="0" xfId="0" applyFont="1" applyFill="1" applyBorder="1" applyAlignment="1">
      <alignment horizontal="left" vertical="center" wrapText="1"/>
    </xf>
    <xf numFmtId="0" fontId="69" fillId="0" borderId="0" xfId="0" applyFont="1" applyFill="1" applyAlignment="1">
      <alignment vertical="center" wrapText="1"/>
    </xf>
    <xf numFmtId="0" fontId="69" fillId="0" borderId="0" xfId="0" applyFont="1" applyFill="1" applyBorder="1" applyAlignment="1">
      <alignment vertical="center" wrapText="1"/>
    </xf>
    <xf numFmtId="208" fontId="16" fillId="0" borderId="0" xfId="1" applyNumberFormat="1" applyFont="1" applyFill="1" applyBorder="1" applyAlignment="1">
      <alignment vertical="center"/>
    </xf>
    <xf numFmtId="0" fontId="0" fillId="0" borderId="0" xfId="0" applyFill="1" applyBorder="1">
      <alignment vertical="center"/>
    </xf>
    <xf numFmtId="196" fontId="0" fillId="0" borderId="0" xfId="0" applyNumberFormat="1" applyFill="1" applyBorder="1">
      <alignment vertical="center"/>
    </xf>
    <xf numFmtId="0" fontId="70" fillId="0" borderId="0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vertical="center" wrapText="1"/>
    </xf>
    <xf numFmtId="43" fontId="70" fillId="0" borderId="0" xfId="0" applyNumberFormat="1" applyFont="1" applyFill="1" applyBorder="1" applyAlignment="1">
      <alignment vertical="center"/>
    </xf>
    <xf numFmtId="4" fontId="69" fillId="0" borderId="0" xfId="0" applyNumberFormat="1" applyFont="1" applyFill="1" applyBorder="1" applyAlignment="1">
      <alignment horizontal="left" vertical="center" wrapText="1"/>
    </xf>
    <xf numFmtId="4" fontId="0" fillId="0" borderId="0" xfId="0" applyNumberFormat="1" applyFill="1" applyBorder="1">
      <alignment vertical="center"/>
    </xf>
    <xf numFmtId="0" fontId="70" fillId="0" borderId="0" xfId="0" applyFont="1" applyFill="1" applyBorder="1" applyAlignment="1">
      <alignment horizontal="left" vertical="center" shrinkToFit="1"/>
    </xf>
    <xf numFmtId="0" fontId="70" fillId="0" borderId="0" xfId="0" applyFont="1" applyFill="1" applyBorder="1" applyAlignment="1">
      <alignment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97" fontId="71" fillId="0" borderId="0" xfId="0" applyNumberFormat="1" applyFont="1" applyFill="1" applyBorder="1" applyAlignment="1">
      <alignment vertical="center" wrapText="1"/>
    </xf>
    <xf numFmtId="0" fontId="7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197" fontId="9" fillId="0" borderId="0" xfId="0" applyNumberFormat="1" applyFont="1" applyFill="1" applyBorder="1" applyAlignment="1">
      <alignment vertical="center"/>
    </xf>
    <xf numFmtId="14" fontId="0" fillId="0" borderId="1" xfId="0" applyNumberFormat="1" applyFont="1" applyFill="1" applyBorder="1" applyAlignment="1">
      <alignment horizontal="center" vertical="center"/>
    </xf>
    <xf numFmtId="49" fontId="0" fillId="0" borderId="1" xfId="30237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shrinkToFit="1"/>
    </xf>
    <xf numFmtId="43" fontId="0" fillId="0" borderId="1" xfId="0" applyNumberFormat="1" applyFont="1" applyFill="1" applyBorder="1" applyAlignment="1">
      <alignment horizontal="center" vertical="center"/>
    </xf>
    <xf numFmtId="43" fontId="0" fillId="0" borderId="1" xfId="1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/>
    </xf>
    <xf numFmtId="197" fontId="8" fillId="8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195" fontId="0" fillId="0" borderId="1" xfId="0" applyNumberFormat="1" applyFont="1" applyFill="1" applyBorder="1" applyAlignment="1">
      <alignment horizontal="center" vertical="center"/>
    </xf>
    <xf numFmtId="199" fontId="23" fillId="0" borderId="1" xfId="0" applyNumberFormat="1" applyFont="1" applyFill="1" applyBorder="1" applyAlignment="1" applyProtection="1">
      <alignment horizontal="center" vertical="center" shrinkToFit="1"/>
    </xf>
    <xf numFmtId="0" fontId="23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197" fontId="8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/>
    </xf>
    <xf numFmtId="49" fontId="23" fillId="0" borderId="1" xfId="0" applyNumberFormat="1" applyFont="1" applyFill="1" applyBorder="1" applyAlignment="1" applyProtection="1">
      <alignment horizontal="center" vertical="center" shrinkToFit="1"/>
    </xf>
    <xf numFmtId="0" fontId="73" fillId="0" borderId="0" xfId="0" applyFont="1" applyFill="1" applyAlignment="1">
      <alignment vertical="center"/>
    </xf>
    <xf numFmtId="4" fontId="73" fillId="0" borderId="0" xfId="0" applyNumberFormat="1" applyFont="1" applyFill="1" applyAlignment="1"/>
    <xf numFmtId="0" fontId="29" fillId="0" borderId="1" xfId="0" applyFont="1" applyFill="1" applyBorder="1" applyAlignment="1">
      <alignment vertical="center" wrapText="1"/>
    </xf>
    <xf numFmtId="199" fontId="20" fillId="0" borderId="1" xfId="0" applyNumberFormat="1" applyFont="1" applyFill="1" applyBorder="1" applyAlignment="1" applyProtection="1">
      <alignment horizontal="center" vertical="center" shrinkToFit="1"/>
    </xf>
    <xf numFmtId="43" fontId="20" fillId="0" borderId="1" xfId="0" applyNumberFormat="1" applyFont="1" applyFill="1" applyBorder="1" applyAlignment="1" applyProtection="1">
      <alignment horizontal="center" vertical="center"/>
    </xf>
    <xf numFmtId="14" fontId="16" fillId="0" borderId="0" xfId="0" applyNumberFormat="1" applyFont="1" applyFill="1" applyBorder="1" applyAlignment="1">
      <alignment horizontal="center" vertical="center"/>
    </xf>
    <xf numFmtId="49" fontId="16" fillId="0" borderId="0" xfId="30237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 wrapText="1"/>
    </xf>
    <xf numFmtId="43" fontId="16" fillId="0" borderId="0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197" fontId="9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4" fontId="8" fillId="0" borderId="0" xfId="0" applyNumberFormat="1" applyFont="1" applyFill="1" applyBorder="1" applyAlignment="1">
      <alignment vertical="center"/>
    </xf>
    <xf numFmtId="49" fontId="20" fillId="0" borderId="1" xfId="0" applyNumberFormat="1" applyFont="1" applyFill="1" applyBorder="1" applyAlignment="1" applyProtection="1">
      <alignment horizontal="center" vertical="center" shrinkToFit="1"/>
    </xf>
    <xf numFmtId="0" fontId="0" fillId="0" borderId="1" xfId="0" applyFont="1" applyFill="1" applyBorder="1" applyAlignment="1">
      <alignment horizontal="center" vertical="center" wrapText="1"/>
    </xf>
    <xf numFmtId="14" fontId="17" fillId="0" borderId="0" xfId="0" applyNumberFormat="1" applyFont="1" applyFill="1" applyBorder="1" applyAlignment="1">
      <alignment horizontal="center" vertical="center"/>
    </xf>
    <xf numFmtId="49" fontId="74" fillId="0" borderId="0" xfId="0" applyNumberFormat="1" applyFont="1" applyFill="1" applyBorder="1" applyAlignment="1" applyProtection="1">
      <alignment horizontal="center" vertical="center" shrinkToFit="1"/>
    </xf>
    <xf numFmtId="0" fontId="74" fillId="0" borderId="0" xfId="0" applyFont="1" applyFill="1" applyBorder="1" applyAlignment="1" applyProtection="1">
      <alignment horizontal="center" vertical="center"/>
    </xf>
    <xf numFmtId="49" fontId="16" fillId="0" borderId="0" xfId="0" applyNumberFormat="1" applyFont="1" applyFill="1" applyBorder="1" applyAlignment="1">
      <alignment vertical="center" shrinkToFit="1"/>
    </xf>
    <xf numFmtId="0" fontId="17" fillId="0" borderId="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199" fontId="74" fillId="0" borderId="0" xfId="0" applyNumberFormat="1" applyFont="1" applyFill="1" applyBorder="1" applyAlignment="1" applyProtection="1">
      <alignment horizontal="center" vertical="center" shrinkToFit="1"/>
    </xf>
    <xf numFmtId="0" fontId="19" fillId="0" borderId="0" xfId="0" applyFont="1" applyFill="1" applyBorder="1" applyAlignment="1">
      <alignment vertical="center"/>
    </xf>
    <xf numFmtId="4" fontId="8" fillId="0" borderId="0" xfId="0" applyNumberFormat="1" applyFont="1">
      <alignment vertical="center"/>
    </xf>
    <xf numFmtId="213" fontId="8" fillId="0" borderId="0" xfId="0" applyNumberFormat="1" applyFont="1">
      <alignment vertical="center"/>
    </xf>
    <xf numFmtId="219" fontId="8" fillId="0" borderId="0" xfId="0" applyNumberFormat="1" applyFo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vertical="center"/>
    </xf>
    <xf numFmtId="197" fontId="8" fillId="0" borderId="24" xfId="0" applyNumberFormat="1" applyFont="1" applyFill="1" applyBorder="1" applyAlignment="1">
      <alignment vertical="center"/>
    </xf>
    <xf numFmtId="43" fontId="20" fillId="0" borderId="1" xfId="0" applyNumberFormat="1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43" fontId="8" fillId="0" borderId="26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 applyProtection="1">
      <alignment vertical="center" shrinkToFit="1"/>
    </xf>
    <xf numFmtId="199" fontId="16" fillId="0" borderId="0" xfId="0" applyNumberFormat="1" applyFont="1" applyFill="1" applyBorder="1" applyAlignment="1" applyProtection="1">
      <alignment vertical="center" shrinkToFit="1"/>
    </xf>
    <xf numFmtId="43" fontId="21" fillId="0" borderId="1" xfId="0" applyNumberFormat="1" applyFont="1" applyFill="1" applyBorder="1" applyAlignment="1" applyProtection="1">
      <alignment horizontal="center" vertical="center" wrapText="1"/>
    </xf>
    <xf numFmtId="14" fontId="22" fillId="0" borderId="0" xfId="0" applyNumberFormat="1" applyFont="1" applyFill="1" applyBorder="1">
      <alignment vertical="center"/>
    </xf>
    <xf numFmtId="0" fontId="22" fillId="0" borderId="0" xfId="0" applyFont="1" applyFill="1" applyBorder="1">
      <alignment vertical="center"/>
    </xf>
    <xf numFmtId="206" fontId="34" fillId="0" borderId="0" xfId="0" applyNumberFormat="1" applyFont="1" applyFill="1" applyBorder="1" applyAlignment="1">
      <alignment horizontal="center" vertical="center"/>
    </xf>
    <xf numFmtId="43" fontId="22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>
      <alignment vertical="center"/>
    </xf>
    <xf numFmtId="197" fontId="8" fillId="0" borderId="1" xfId="0" applyNumberFormat="1" applyFont="1" applyFill="1" applyBorder="1" applyAlignment="1">
      <alignment horizontal="center" vertical="center"/>
    </xf>
    <xf numFmtId="14" fontId="16" fillId="0" borderId="1" xfId="0" applyNumberFormat="1" applyFont="1" applyFill="1" applyBorder="1" applyAlignment="1">
      <alignment horizontal="center" vertical="center" wrapText="1"/>
    </xf>
    <xf numFmtId="197" fontId="8" fillId="0" borderId="0" xfId="0" applyNumberFormat="1" applyFont="1">
      <alignment vertical="center"/>
    </xf>
    <xf numFmtId="0" fontId="8" fillId="0" borderId="0" xfId="0" applyFont="1" applyFill="1" applyBorder="1">
      <alignment vertical="center"/>
    </xf>
    <xf numFmtId="0" fontId="22" fillId="0" borderId="1" xfId="0" applyFont="1" applyFill="1" applyBorder="1" applyAlignment="1">
      <alignment horizontal="left" vertical="center" wrapText="1"/>
    </xf>
    <xf numFmtId="43" fontId="22" fillId="0" borderId="1" xfId="0" applyNumberFormat="1" applyFont="1" applyFill="1" applyBorder="1" applyAlignment="1">
      <alignment horizontal="left" vertical="center"/>
    </xf>
    <xf numFmtId="9" fontId="22" fillId="0" borderId="1" xfId="3" applyNumberFormat="1" applyFont="1" applyBorder="1" applyAlignment="1">
      <alignment horizontal="left" vertical="center"/>
    </xf>
    <xf numFmtId="197" fontId="22" fillId="0" borderId="1" xfId="0" applyNumberFormat="1" applyFont="1" applyFill="1" applyBorder="1" applyAlignment="1">
      <alignment horizontal="left" vertical="center"/>
    </xf>
    <xf numFmtId="0" fontId="22" fillId="0" borderId="1" xfId="0" applyFont="1" applyFill="1" applyBorder="1">
      <alignment vertical="center"/>
    </xf>
    <xf numFmtId="49" fontId="16" fillId="0" borderId="0" xfId="30237" applyNumberFormat="1" applyFont="1" applyFill="1" applyBorder="1" applyAlignment="1">
      <alignment vertical="center" wrapText="1"/>
    </xf>
    <xf numFmtId="0" fontId="75" fillId="0" borderId="0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3" fontId="8" fillId="0" borderId="1" xfId="0" applyNumberFormat="1" applyFont="1" applyFill="1" applyBorder="1" applyAlignment="1">
      <alignment horizontal="left" vertical="center"/>
    </xf>
    <xf numFmtId="9" fontId="8" fillId="0" borderId="1" xfId="3" applyNumberFormat="1" applyFont="1" applyBorder="1" applyAlignment="1">
      <alignment horizontal="left" vertical="center"/>
    </xf>
    <xf numFmtId="197" fontId="8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>
      <alignment vertical="center"/>
    </xf>
    <xf numFmtId="197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10" fontId="8" fillId="0" borderId="1" xfId="0" applyNumberFormat="1" applyFont="1" applyBorder="1">
      <alignment vertical="center"/>
    </xf>
    <xf numFmtId="197" fontId="16" fillId="0" borderId="0" xfId="1" applyNumberFormat="1" applyFont="1" applyFill="1" applyBorder="1" applyAlignment="1">
      <alignment vertical="center"/>
    </xf>
    <xf numFmtId="197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96" fontId="16" fillId="0" borderId="0" xfId="0" applyNumberFormat="1" applyFont="1" applyFill="1" applyBorder="1" applyAlignment="1">
      <alignment vertical="center"/>
    </xf>
    <xf numFmtId="197" fontId="16" fillId="0" borderId="0" xfId="1" applyNumberFormat="1" applyFont="1" applyFill="1" applyBorder="1" applyAlignment="1">
      <alignment horizontal="center" vertical="center"/>
    </xf>
    <xf numFmtId="0" fontId="76" fillId="0" borderId="0" xfId="0" applyFont="1" applyFill="1" applyBorder="1" applyAlignment="1">
      <alignment vertical="center" wrapText="1"/>
    </xf>
    <xf numFmtId="49" fontId="77" fillId="0" borderId="0" xfId="0" applyNumberFormat="1" applyFont="1" applyFill="1" applyBorder="1" applyAlignment="1" applyProtection="1">
      <alignment vertical="center" shrinkToFit="1"/>
    </xf>
    <xf numFmtId="0" fontId="77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>
      <alignment vertical="center"/>
    </xf>
    <xf numFmtId="199" fontId="77" fillId="0" borderId="0" xfId="0" applyNumberFormat="1" applyFont="1" applyFill="1" applyBorder="1" applyAlignment="1" applyProtection="1">
      <alignment vertical="center" shrinkToFit="1"/>
    </xf>
    <xf numFmtId="0" fontId="3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>
      <alignment vertical="center"/>
    </xf>
    <xf numFmtId="43" fontId="22" fillId="0" borderId="0" xfId="0" applyNumberFormat="1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3" fontId="3" fillId="8" borderId="1" xfId="0" applyNumberFormat="1" applyFont="1" applyFill="1" applyBorder="1" applyAlignment="1">
      <alignment horizontal="center" vertical="center" wrapText="1"/>
    </xf>
    <xf numFmtId="43" fontId="3" fillId="10" borderId="1" xfId="0" applyNumberFormat="1" applyFont="1" applyFill="1" applyBorder="1" applyAlignment="1">
      <alignment horizontal="center" vertical="center" wrapText="1"/>
    </xf>
    <xf numFmtId="43" fontId="3" fillId="0" borderId="1" xfId="0" applyNumberFormat="1" applyFont="1" applyBorder="1" applyAlignment="1">
      <alignment horizontal="center" vertical="center" wrapText="1"/>
    </xf>
    <xf numFmtId="43" fontId="3" fillId="17" borderId="1" xfId="0" applyNumberFormat="1" applyFont="1" applyFill="1" applyBorder="1" applyAlignment="1">
      <alignment horizontal="center" vertical="center" wrapText="1"/>
    </xf>
    <xf numFmtId="43" fontId="3" fillId="18" borderId="1" xfId="0" applyNumberFormat="1" applyFont="1" applyFill="1" applyBorder="1" applyAlignment="1">
      <alignment horizontal="center" vertical="center" wrapText="1"/>
    </xf>
    <xf numFmtId="43" fontId="44" fillId="0" borderId="1" xfId="0" applyNumberFormat="1" applyFont="1" applyBorder="1" applyAlignment="1">
      <alignment horizontal="center" vertical="center"/>
    </xf>
    <xf numFmtId="43" fontId="22" fillId="8" borderId="1" xfId="0" applyNumberFormat="1" applyFont="1" applyFill="1" applyBorder="1" applyAlignment="1">
      <alignment horizontal="center" vertical="center"/>
    </xf>
    <xf numFmtId="43" fontId="22" fillId="0" borderId="1" xfId="0" applyNumberFormat="1" applyFont="1" applyBorder="1" applyAlignment="1">
      <alignment horizontal="center" vertical="center"/>
    </xf>
    <xf numFmtId="43" fontId="22" fillId="10" borderId="1" xfId="0" applyNumberFormat="1" applyFont="1" applyFill="1" applyBorder="1" applyAlignment="1">
      <alignment horizontal="center" vertical="center"/>
    </xf>
    <xf numFmtId="43" fontId="22" fillId="0" borderId="1" xfId="0" applyNumberFormat="1" applyFont="1" applyBorder="1">
      <alignment vertical="center"/>
    </xf>
    <xf numFmtId="43" fontId="22" fillId="8" borderId="1" xfId="0" applyNumberFormat="1" applyFont="1" applyFill="1" applyBorder="1">
      <alignment vertical="center"/>
    </xf>
    <xf numFmtId="43" fontId="22" fillId="10" borderId="1" xfId="0" applyNumberFormat="1" applyFont="1" applyFill="1" applyBorder="1">
      <alignment vertical="center"/>
    </xf>
    <xf numFmtId="43" fontId="22" fillId="0" borderId="1" xfId="0" applyNumberFormat="1" applyFont="1" applyFill="1" applyBorder="1">
      <alignment vertical="center"/>
    </xf>
    <xf numFmtId="0" fontId="71" fillId="0" borderId="0" xfId="0" applyFont="1" applyBorder="1">
      <alignment vertical="center"/>
    </xf>
    <xf numFmtId="0" fontId="78" fillId="0" borderId="0" xfId="6" applyFont="1" applyBorder="1">
      <alignment vertical="center"/>
    </xf>
    <xf numFmtId="196" fontId="22" fillId="0" borderId="0" xfId="0" applyNumberFormat="1" applyFont="1" applyBorder="1">
      <alignment vertical="center"/>
    </xf>
    <xf numFmtId="213" fontId="22" fillId="0" borderId="0" xfId="0" applyNumberFormat="1" applyFont="1" applyBorder="1">
      <alignment vertical="center"/>
    </xf>
    <xf numFmtId="43" fontId="22" fillId="3" borderId="1" xfId="0" applyNumberFormat="1" applyFont="1" applyFill="1" applyBorder="1">
      <alignment vertical="center"/>
    </xf>
    <xf numFmtId="43" fontId="22" fillId="0" borderId="1" xfId="0" applyNumberFormat="1" applyFont="1" applyBorder="1" applyAlignment="1">
      <alignment vertical="center" wrapText="1"/>
    </xf>
    <xf numFmtId="43" fontId="44" fillId="0" borderId="1" xfId="0" applyNumberFormat="1" applyFont="1" applyBorder="1">
      <alignment vertical="center"/>
    </xf>
    <xf numFmtId="43" fontId="44" fillId="3" borderId="1" xfId="0" applyNumberFormat="1" applyFont="1" applyFill="1" applyBorder="1">
      <alignment vertical="center"/>
    </xf>
    <xf numFmtId="4" fontId="22" fillId="0" borderId="0" xfId="0" applyNumberFormat="1" applyFont="1" applyBorder="1">
      <alignment vertical="center"/>
    </xf>
    <xf numFmtId="197" fontId="22" fillId="0" borderId="0" xfId="0" applyNumberFormat="1" applyFont="1" applyBorder="1">
      <alignment vertical="center"/>
    </xf>
    <xf numFmtId="197" fontId="22" fillId="0" borderId="0" xfId="0" applyNumberFormat="1" applyFont="1" applyFill="1" applyBorder="1">
      <alignment vertical="center"/>
    </xf>
    <xf numFmtId="3" fontId="79" fillId="0" borderId="0" xfId="0" applyNumberFormat="1" applyFont="1">
      <alignment vertical="center"/>
    </xf>
    <xf numFmtId="43" fontId="44" fillId="0" borderId="0" xfId="0" applyNumberFormat="1" applyFont="1" applyBorder="1" applyAlignment="1">
      <alignment horizontal="center" vertical="center"/>
    </xf>
    <xf numFmtId="43" fontId="3" fillId="0" borderId="0" xfId="0" applyNumberFormat="1" applyFont="1" applyBorder="1" applyAlignment="1">
      <alignment horizontal="center" vertical="center" wrapText="1"/>
    </xf>
    <xf numFmtId="43" fontId="22" fillId="0" borderId="0" xfId="0" applyNumberFormat="1" applyFont="1" applyBorder="1" applyAlignment="1">
      <alignment horizontal="center" vertical="center"/>
    </xf>
    <xf numFmtId="43" fontId="22" fillId="0" borderId="0" xfId="0" applyNumberFormat="1" applyFont="1" applyFill="1" applyBorder="1">
      <alignment vertical="center"/>
    </xf>
    <xf numFmtId="0" fontId="0" fillId="0" borderId="1" xfId="0" applyFont="1" applyFill="1" applyBorder="1" applyAlignment="1" quotePrefix="1">
      <alignment horizontal="center" vertical="center"/>
    </xf>
    <xf numFmtId="0" fontId="0" fillId="2" borderId="0" xfId="0" applyFont="1" applyFill="1" applyBorder="1" applyAlignment="1" quotePrefix="1">
      <alignment horizontal="left" vertical="center"/>
    </xf>
    <xf numFmtId="49" fontId="0" fillId="2" borderId="0" xfId="0" applyNumberFormat="1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horizontal="left" vertical="center" wrapText="1"/>
    </xf>
    <xf numFmtId="0" fontId="0" fillId="2" borderId="0" xfId="0" applyNumberFormat="1" applyFont="1" applyFill="1" applyBorder="1" applyAlignment="1" quotePrefix="1">
      <alignment horizontal="left" vertical="center"/>
    </xf>
    <xf numFmtId="0" fontId="0" fillId="2" borderId="0" xfId="0" applyFont="1" applyFill="1" applyBorder="1" applyAlignment="1" quotePrefix="1">
      <alignment horizontal="left" vertical="center" wrapText="1"/>
    </xf>
    <xf numFmtId="0" fontId="35" fillId="0" borderId="0" xfId="0" applyFont="1" quotePrefix="1">
      <alignment vertical="center"/>
    </xf>
    <xf numFmtId="0" fontId="0" fillId="0" borderId="0" xfId="0" applyNumberFormat="1" applyFont="1" applyFill="1" applyBorder="1" applyAlignment="1" quotePrefix="1">
      <alignment horizontal="left" vertical="center" wrapText="1"/>
    </xf>
    <xf numFmtId="0" fontId="0" fillId="2" borderId="0" xfId="0" applyNumberFormat="1" applyFont="1" applyFill="1" applyBorder="1" applyAlignment="1" quotePrefix="1">
      <alignment vertical="center"/>
    </xf>
    <xf numFmtId="0" fontId="29" fillId="2" borderId="0" xfId="0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vertical="center" wrapText="1"/>
    </xf>
    <xf numFmtId="0" fontId="0" fillId="2" borderId="0" xfId="0" applyFont="1" applyFill="1" applyBorder="1" applyAlignment="1" quotePrefix="1">
      <alignment horizontal="center" vertical="center"/>
    </xf>
    <xf numFmtId="0" fontId="0" fillId="2" borderId="0" xfId="0" applyNumberFormat="1" applyFont="1" applyFill="1" applyBorder="1" applyAlignment="1" quotePrefix="1">
      <alignment horizontal="center" vertical="center"/>
    </xf>
    <xf numFmtId="0" fontId="0" fillId="2" borderId="0" xfId="0" applyNumberFormat="1" applyFont="1" applyFill="1" applyBorder="1" applyAlignment="1" quotePrefix="1">
      <alignment horizontal="center" vertical="center" wrapText="1"/>
    </xf>
    <xf numFmtId="0" fontId="0" fillId="2" borderId="0" xfId="0" applyFont="1" applyFill="1" applyBorder="1" applyAlignment="1" quotePrefix="1">
      <alignment horizontal="center" vertical="center" wrapText="1"/>
    </xf>
    <xf numFmtId="49" fontId="0" fillId="2" borderId="0" xfId="30237" applyNumberFormat="1" applyFont="1" applyFill="1" applyBorder="1" applyAlignment="1" quotePrefix="1">
      <alignment horizontal="center" vertical="center" wrapText="1"/>
    </xf>
    <xf numFmtId="0" fontId="0" fillId="2" borderId="0" xfId="0" applyFont="1" applyFill="1" applyBorder="1" quotePrefix="1">
      <alignment vertical="center"/>
    </xf>
    <xf numFmtId="43" fontId="0" fillId="2" borderId="0" xfId="0" applyNumberFormat="1" applyFont="1" applyFill="1" applyBorder="1" quotePrefix="1">
      <alignment vertical="center"/>
    </xf>
    <xf numFmtId="0" fontId="8" fillId="0" borderId="0" xfId="0" applyFont="1" applyFill="1" applyBorder="1" applyAlignment="1" quotePrefix="1">
      <alignment horizontal="left" vertical="center"/>
    </xf>
    <xf numFmtId="49" fontId="8" fillId="0" borderId="0" xfId="0" applyNumberFormat="1" applyFont="1" applyFill="1" applyBorder="1" applyAlignment="1" quotePrefix="1">
      <alignment horizontal="left" vertical="center"/>
    </xf>
  </cellXfs>
  <cellStyles count="3493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3 2 3 3" xfId="49"/>
    <cellStyle name="计算 2 8 11" xfId="50"/>
    <cellStyle name="标题1 8 2 2" xfId="51"/>
    <cellStyle name="Accent6 - 20% 17" xfId="52"/>
    <cellStyle name="Accent6 - 20% 22" xfId="53"/>
    <cellStyle name="标题 5 3 10" xfId="54"/>
    <cellStyle name="20% - 强调文字颜色 6 2 12" xfId="55"/>
    <cellStyle name="输出 3 2 3 3" xfId="56"/>
    <cellStyle name="输出 3 2 8 6" xfId="57"/>
    <cellStyle name="PSHeading 4 2 12" xfId="58"/>
    <cellStyle name="20% - 强调文字颜色 6 3 15" xfId="59"/>
    <cellStyle name="常规 136 2 4 2 2" xfId="60"/>
    <cellStyle name="常规 141 2 4 2 2" xfId="61"/>
    <cellStyle name="计算 2 9 14" xfId="62"/>
    <cellStyle name="20% - 强调文字颜色 2 3 6" xfId="63"/>
    <cellStyle name="部门 4" xfId="64"/>
    <cellStyle name="Input [yellow] 2 11 2 3 3" xfId="65"/>
    <cellStyle name="_ET_STYLE_NoName_00__Book1_1 2 2 2" xfId="66"/>
    <cellStyle name="Input [yellow] 2 3 2 9" xfId="67"/>
    <cellStyle name="常规 79 3 10" xfId="68"/>
    <cellStyle name="常规 84 3 10" xfId="69"/>
    <cellStyle name="60% - 强调文字颜色 3 4 13" xfId="70"/>
    <cellStyle name="Input [yellow] 4 2 2 13" xfId="71"/>
    <cellStyle name="Normal - Style1 17" xfId="72"/>
    <cellStyle name="Input [yellow] 16 5" xfId="73"/>
    <cellStyle name="origAmountCrD 10 14" xfId="74"/>
    <cellStyle name="常规 101 3 3 2" xfId="75"/>
    <cellStyle name="40% - 强调文字颜色 6 2 3 13" xfId="76"/>
    <cellStyle name="常规 56 12" xfId="77"/>
    <cellStyle name="常规 61 12" xfId="78"/>
    <cellStyle name="Accent5 25" xfId="79"/>
    <cellStyle name="Accent5 30" xfId="80"/>
    <cellStyle name="20% - 强调文字颜色 1 2 3 3 2 2" xfId="81"/>
    <cellStyle name="Accent2 - 40%" xfId="82"/>
    <cellStyle name="常规 47 2 5" xfId="83"/>
    <cellStyle name="常规 52 2 5" xfId="84"/>
    <cellStyle name="Input [yellow] 9 9" xfId="85"/>
    <cellStyle name="标题 2 2 21" xfId="86"/>
    <cellStyle name="标题 2 2 16" xfId="87"/>
    <cellStyle name="注释 2 5 14" xfId="88"/>
    <cellStyle name="PSDate 2 3" xfId="89"/>
    <cellStyle name="40% - 强调文字颜色 3 3 3 2" xfId="90"/>
    <cellStyle name="注释 2 3 2 5" xfId="91"/>
    <cellStyle name="Input [yellow] 2 6 2" xfId="92"/>
    <cellStyle name="Accent3 - 40% 2 2 3" xfId="93"/>
    <cellStyle name="输出 3 2 8 13" xfId="94"/>
    <cellStyle name="Accent2 3 12" xfId="95"/>
    <cellStyle name="20% - 强调文字颜色 2 3 13" xfId="96"/>
    <cellStyle name="常规 129 2 17" xfId="97"/>
    <cellStyle name="常规 134 2 17" xfId="98"/>
    <cellStyle name="商品名称 8 13" xfId="99"/>
    <cellStyle name="Accent4 11 3 2 3" xfId="100"/>
    <cellStyle name="常规 119 2 2 9" xfId="101"/>
    <cellStyle name="常规 124 2 2 9" xfId="102"/>
    <cellStyle name="origAmountCrD 11 13" xfId="103"/>
    <cellStyle name="Accent4 2 4" xfId="104"/>
    <cellStyle name="60% - 强调文字颜色 6 2 3 8" xfId="105"/>
    <cellStyle name="60% - 强调文字颜色 5 3 2 18" xfId="106"/>
    <cellStyle name="Accent4 - 20% 2 2 11" xfId="107"/>
    <cellStyle name="输出 3 6 11" xfId="108"/>
    <cellStyle name="origAmountDrD 2 3 13" xfId="109"/>
    <cellStyle name="常规 35 8" xfId="110"/>
    <cellStyle name="常规 40 8" xfId="111"/>
    <cellStyle name="origAmountDrD 6 2 2 3" xfId="112"/>
    <cellStyle name="Accent3 13 12" xfId="113"/>
    <cellStyle name="输出 3 2 8 2 8" xfId="114"/>
    <cellStyle name="origAmountCrD 5 2 2 5" xfId="115"/>
    <cellStyle name="输入 2 3 3 2 2" xfId="116"/>
    <cellStyle name="Accent2 3 2 3" xfId="117"/>
    <cellStyle name="Input [yellow] 4" xfId="118"/>
    <cellStyle name="60% - 强调文字颜色 1 4 11" xfId="119"/>
    <cellStyle name="20% - 强调文字颜色 2 3 2 8" xfId="120"/>
    <cellStyle name="Accent4 - 40% 2 2 4" xfId="121"/>
    <cellStyle name="20% - 强调文字颜色 2 2 3 8" xfId="122"/>
    <cellStyle name="计算 3 3 3 12" xfId="123"/>
    <cellStyle name="Accent1 2 16" xfId="124"/>
    <cellStyle name="标题 3 3 2 5" xfId="125"/>
    <cellStyle name="Input [yellow] 4 4 2 2" xfId="126"/>
    <cellStyle name="60% - 强调文字颜色 5 4 2" xfId="127"/>
    <cellStyle name="Accent6 - 60% 3 18" xfId="128"/>
    <cellStyle name="输出 2 2 7 2 2" xfId="129"/>
    <cellStyle name="输出 2 2 3 8" xfId="130"/>
    <cellStyle name="20% - 强调文字颜色 1 2 17" xfId="131"/>
    <cellStyle name="20% - 强调文字颜色 1 2 22" xfId="132"/>
    <cellStyle name="Input [yellow] 2 11 2 14" xfId="133"/>
    <cellStyle name="_ET_STYLE_NoName_00__Sheet3" xfId="134"/>
    <cellStyle name="常规 58 2 2 10" xfId="135"/>
    <cellStyle name="常规 63 2 2 10" xfId="136"/>
    <cellStyle name="20% - 强调文字颜色 4 2 3 8" xfId="137"/>
    <cellStyle name="origAmountCrD 13 13" xfId="138"/>
    <cellStyle name="Input [yellow] 3 2 3 11" xfId="139"/>
    <cellStyle name="60% - 强调文字颜色 2 3" xfId="140"/>
    <cellStyle name="商品名称 8 12" xfId="141"/>
    <cellStyle name="Accent4 11 3 2 2" xfId="142"/>
    <cellStyle name="常规 119 2 2 8" xfId="143"/>
    <cellStyle name="常规 124 2 2 8" xfId="144"/>
    <cellStyle name="origAmountCrD 11 12" xfId="145"/>
    <cellStyle name="Accent4 2 3" xfId="146"/>
    <cellStyle name="60% - 强调文字颜色 6 2 3 7" xfId="147"/>
    <cellStyle name="60% - 强调文字颜色 5 3 2 17" xfId="148"/>
    <cellStyle name="Accent5 2 19" xfId="149"/>
    <cellStyle name="常规 31 21" xfId="150"/>
    <cellStyle name="常规 31 16" xfId="151"/>
    <cellStyle name="常规 26 21" xfId="152"/>
    <cellStyle name="常规 26 16" xfId="153"/>
    <cellStyle name="输出 2 3 2 2 5" xfId="154"/>
    <cellStyle name="Accent1 11 6" xfId="155"/>
    <cellStyle name="20% - 强调文字颜色 2 2 2 17" xfId="156"/>
    <cellStyle name="注释 2 2 2 2 10" xfId="157"/>
    <cellStyle name="40% - 强调文字颜色 3 3 15" xfId="158"/>
    <cellStyle name="计算 3 3 4 10" xfId="159"/>
    <cellStyle name="Accent1 3 14" xfId="160"/>
    <cellStyle name="origAmountDrD 5 2 14" xfId="161"/>
    <cellStyle name="Accent1 - 20% 2 15" xfId="162"/>
    <cellStyle name="origAmountCrD 3 2 2 11" xfId="163"/>
    <cellStyle name="输出 2 2 8 6" xfId="164"/>
    <cellStyle name="20% - 强调文字颜色 1 3 15" xfId="165"/>
    <cellStyle name="60% - 强调文字颜色 4 3 12" xfId="166"/>
    <cellStyle name="汇总 3 5 10" xfId="167"/>
    <cellStyle name="0,0_x000d_&#10;NA_x000d_&#10; 2 15" xfId="168"/>
    <cellStyle name="20% - 强调文字颜色 6 3 2 7" xfId="169"/>
    <cellStyle name="常规 49 19" xfId="170"/>
    <cellStyle name="常规 54 19" xfId="171"/>
    <cellStyle name="Accent1 - 60% 2 2 17" xfId="172"/>
    <cellStyle name="Input [yellow] 3 11 2 2 7" xfId="173"/>
    <cellStyle name="Accent5 2 16" xfId="174"/>
    <cellStyle name="常规 31 13" xfId="175"/>
    <cellStyle name="常规 26 13" xfId="176"/>
    <cellStyle name="常规 8 2 3 3" xfId="177"/>
    <cellStyle name="PSHeading 11 7" xfId="178"/>
    <cellStyle name="输出 2 3 2 2 2" xfId="179"/>
    <cellStyle name="Accent1 11 3" xfId="180"/>
    <cellStyle name="20% - 强调文字颜色 5 2 22" xfId="181"/>
    <cellStyle name="20% - 强调文字颜色 5 2 17" xfId="182"/>
    <cellStyle name="Input [yellow] 3 11 2 2 8" xfId="183"/>
    <cellStyle name="Accent5 2 17" xfId="184"/>
    <cellStyle name="常规 31 14" xfId="185"/>
    <cellStyle name="常规 26 14" xfId="186"/>
    <cellStyle name="PSHeading 11 8" xfId="187"/>
    <cellStyle name="输出 2 3 2 2 3" xfId="188"/>
    <cellStyle name="Accent1 11 4" xfId="189"/>
    <cellStyle name="20% - 强调文字颜色 5 2 23" xfId="190"/>
    <cellStyle name="20% - 强调文字颜色 5 2 18" xfId="191"/>
    <cellStyle name="汇总 3 5 8" xfId="192"/>
    <cellStyle name="Input [yellow] 9 2 16" xfId="193"/>
    <cellStyle name="0,0_x000d_&#10;NA_x000d_&#10; 2 9" xfId="194"/>
    <cellStyle name="商品名称 8 11" xfId="195"/>
    <cellStyle name="常规 119 2 2 7" xfId="196"/>
    <cellStyle name="常规 124 2 2 7" xfId="197"/>
    <cellStyle name="origAmountCrD 11 11" xfId="198"/>
    <cellStyle name="Accent4 2 2" xfId="199"/>
    <cellStyle name="60% - 强调文字颜色 6 2 3 6" xfId="200"/>
    <cellStyle name="60% - 强调文字颜色 5 3 2 16" xfId="201"/>
    <cellStyle name="Linked Cells 4" xfId="202"/>
    <cellStyle name="Accent1 - 20% 2 9" xfId="203"/>
    <cellStyle name="Accent3 - 40% 2 5" xfId="204"/>
    <cellStyle name="计算 2 4 17" xfId="205"/>
    <cellStyle name="20% - 强调文字颜色 1 3 9" xfId="206"/>
    <cellStyle name="Input [yellow] 3 11 2 2 9" xfId="207"/>
    <cellStyle name="Accent5 2 18" xfId="208"/>
    <cellStyle name="常规 31 20" xfId="209"/>
    <cellStyle name="常规 31 15" xfId="210"/>
    <cellStyle name="常规 26 20" xfId="211"/>
    <cellStyle name="常规 26 15" xfId="212"/>
    <cellStyle name="PSHeading 11 9" xfId="213"/>
    <cellStyle name="输出 2 3 2 2 4" xfId="214"/>
    <cellStyle name="Accent1 11 5" xfId="215"/>
    <cellStyle name="20% - 强调文字颜色 5 2 19" xfId="216"/>
    <cellStyle name="商品名称 8 14" xfId="217"/>
    <cellStyle name="origAmountCrD 11 14" xfId="218"/>
    <cellStyle name="Accent4 2 5" xfId="219"/>
    <cellStyle name="60% - 强调文字颜色 6 2 3 9" xfId="220"/>
    <cellStyle name="常规 178 14" xfId="221"/>
    <cellStyle name="40% - 强调文字颜色 3 4 7" xfId="222"/>
    <cellStyle name="20% - 强调文字颜色 2 4 2" xfId="223"/>
    <cellStyle name="20% - 强调文字颜色 4 4 17" xfId="224"/>
    <cellStyle name="_8月宁夏三电报表 16" xfId="225"/>
    <cellStyle name="常规 88 3 11" xfId="226"/>
    <cellStyle name="常规 93 3 11" xfId="227"/>
    <cellStyle name="Accent1 - 20% 2 2 11" xfId="228"/>
    <cellStyle name="输出 2 9 10" xfId="229"/>
    <cellStyle name="20% - 强调文字颜色 1 3 2 11" xfId="230"/>
    <cellStyle name="常规 116 3 10" xfId="231"/>
    <cellStyle name="常规 121 3 10" xfId="232"/>
    <cellStyle name="输出 3 2 9 11" xfId="233"/>
    <cellStyle name="40% - 强调文字颜色 4 2" xfId="234"/>
    <cellStyle name="Accent2 4 10" xfId="235"/>
    <cellStyle name="Accent3 7 9" xfId="236"/>
    <cellStyle name="Linked Cells 2 2 3" xfId="237"/>
    <cellStyle name="20% - 强调文字颜色 2 4 11" xfId="238"/>
    <cellStyle name="差 2 2 7" xfId="239"/>
    <cellStyle name="6mal 2 3" xfId="240"/>
    <cellStyle name="Accent3 22" xfId="241"/>
    <cellStyle name="Accent3 17" xfId="242"/>
    <cellStyle name="origAmountDrD 7 12" xfId="243"/>
    <cellStyle name="Accent4 - 40% 2 2 18" xfId="244"/>
    <cellStyle name="汇总 3 6 2" xfId="245"/>
    <cellStyle name="常规 156 2 16" xfId="246"/>
    <cellStyle name="常规 161 2 16" xfId="247"/>
    <cellStyle name="0,0_x000d_&#10;NA_x000d_&#10; 3 3" xfId="248"/>
    <cellStyle name="输入 3 3 4 16" xfId="249"/>
    <cellStyle name="常规 89 4" xfId="250"/>
    <cellStyle name="常规 94 4" xfId="251"/>
    <cellStyle name="Accent1 - 20% 3 3" xfId="252"/>
    <cellStyle name="常规 168 15" xfId="253"/>
    <cellStyle name="常规 168 20" xfId="254"/>
    <cellStyle name="常规 173 15" xfId="255"/>
    <cellStyle name="40% - 强调文字颜色 2 4 8" xfId="256"/>
    <cellStyle name="Input [yellow] 12 2 13" xfId="257"/>
    <cellStyle name="注释 3 4 2 6" xfId="258"/>
    <cellStyle name="输出 3 10 8" xfId="259"/>
    <cellStyle name="强调文字颜色 2 2 2 3 3" xfId="260"/>
    <cellStyle name="20% - 强调文字颜色 1 4 3" xfId="261"/>
    <cellStyle name="Header2 2 9 10" xfId="262"/>
    <cellStyle name="60% - 强调文字颜色 1 4 3 2" xfId="263"/>
    <cellStyle name="20% - 强调文字颜色 2 3 2 12" xfId="264"/>
    <cellStyle name="常规 79 3 13" xfId="265"/>
    <cellStyle name="常规 84 3 13" xfId="266"/>
    <cellStyle name="好_Book1 3 3 2 3" xfId="267"/>
    <cellStyle name="Input [yellow] 4 2 2 16" xfId="268"/>
    <cellStyle name="60% - 强调文字颜色 3 4 16" xfId="269"/>
    <cellStyle name="60% - 强调文字颜色 3 2 2 16" xfId="270"/>
    <cellStyle name="Input [yellow] 3 3 2 3" xfId="271"/>
    <cellStyle name="标题 2 2 2 6" xfId="272"/>
    <cellStyle name="_ET_STYLE_NoName_00__Book1_1 2 7" xfId="273"/>
    <cellStyle name="常规 96 2 6" xfId="274"/>
    <cellStyle name="40% - 强调文字颜色 4 2 3 3" xfId="275"/>
    <cellStyle name="常规 136 3 2" xfId="276"/>
    <cellStyle name="常规 141 3 2" xfId="277"/>
    <cellStyle name="计算 3 4 13" xfId="278"/>
    <cellStyle name="20% - 强调文字颜色 6 3 5" xfId="279"/>
    <cellStyle name="20% - 强调文字颜色 6 2 2 13" xfId="280"/>
    <cellStyle name="_ET_STYLE_NoName_00__Sheet3 2 3" xfId="281"/>
    <cellStyle name="Grey 7" xfId="282"/>
    <cellStyle name="常规 96 7" xfId="283"/>
    <cellStyle name="计算 2 8 2 11" xfId="284"/>
    <cellStyle name="Accent3 - 40% 5 2" xfId="285"/>
    <cellStyle name="Input [yellow] 2 7" xfId="286"/>
    <cellStyle name="Accent1 - 40% 2 4 2" xfId="287"/>
    <cellStyle name="20% - 强调文字颜色 1 2 5 2 2" xfId="288"/>
    <cellStyle name="20% - 强调文字颜色 2 3 2 3 2 2" xfId="289"/>
    <cellStyle name="20% - 强调文字颜色 2 3 2 11" xfId="290"/>
    <cellStyle name="常规 79 3 12" xfId="291"/>
    <cellStyle name="常规 84 3 12" xfId="292"/>
    <cellStyle name="好_Book1 3 3 2 2" xfId="293"/>
    <cellStyle name="Input [yellow] 4 2 2 15" xfId="294"/>
    <cellStyle name="60% - 强调文字颜色 3 4 15" xfId="295"/>
    <cellStyle name="60% - 强调文字颜色 3 2 2 15" xfId="296"/>
    <cellStyle name="Input [yellow] 3 3 2 2" xfId="297"/>
    <cellStyle name="标题 2 2 2 5" xfId="298"/>
    <cellStyle name="_ET_STYLE_NoName_00__Book1_1 2 6" xfId="299"/>
    <cellStyle name="常规 96 2 5" xfId="300"/>
    <cellStyle name="40% - 强调文字颜色 4 2 3 2" xfId="301"/>
    <cellStyle name="origAmountDrD 2 4 9" xfId="302"/>
    <cellStyle name="Input [yellow] 4 2 2 11" xfId="303"/>
    <cellStyle name="60% - 强调文字颜色 3 4 11" xfId="304"/>
    <cellStyle name="Input [yellow] 3 8 12" xfId="305"/>
    <cellStyle name="Accent3 - 60% 2 2 3 2" xfId="306"/>
    <cellStyle name="计算 3 5 2 11" xfId="307"/>
    <cellStyle name="常规 47 2 3" xfId="308"/>
    <cellStyle name="常规 52 2 3" xfId="309"/>
    <cellStyle name="Input [yellow] 4 2 2 12" xfId="310"/>
    <cellStyle name="60% - 强调文字颜色 3 4 12" xfId="311"/>
    <cellStyle name="Input [yellow] 3 8 13" xfId="312"/>
    <cellStyle name="Accent3 - 60% 2 2 3 3" xfId="313"/>
    <cellStyle name="计算 3 5 2 12" xfId="314"/>
    <cellStyle name="常规 47 2 4" xfId="315"/>
    <cellStyle name="常规 52 2 4" xfId="316"/>
    <cellStyle name="60% - 强调文字颜色 3 2 2 17" xfId="317"/>
    <cellStyle name="Input [yellow] 3 3 2 4" xfId="318"/>
    <cellStyle name="常规 92 2 2 10" xfId="319"/>
    <cellStyle name="常规 87 2 2 10" xfId="320"/>
    <cellStyle name="标题 2 2 2 7" xfId="321"/>
    <cellStyle name="_ET_STYLE_NoName_00__Book1_1 2 8" xfId="322"/>
    <cellStyle name="常规 96 2 7" xfId="323"/>
    <cellStyle name="40% - 强调文字颜色 4 2 3 4" xfId="324"/>
    <cellStyle name="60% - 强调文字颜色 3 2 2 18" xfId="325"/>
    <cellStyle name="Input [yellow] 3 3 2 5" xfId="326"/>
    <cellStyle name="常规 92 2 2 11" xfId="327"/>
    <cellStyle name="常规 87 2 2 11" xfId="328"/>
    <cellStyle name="标题 2 2 2 8" xfId="329"/>
    <cellStyle name="_ET_STYLE_NoName_00__Book1_1 2 9" xfId="330"/>
    <cellStyle name="常规 96 2 8" xfId="331"/>
    <cellStyle name="20% - 强调文字颜色 2 3 2 10" xfId="332"/>
    <cellStyle name="常规 79 3 11" xfId="333"/>
    <cellStyle name="常规 84 3 11" xfId="334"/>
    <cellStyle name="Input [yellow] 4 2 2 14" xfId="335"/>
    <cellStyle name="60% - 强调文字颜色 3 4 14" xfId="336"/>
    <cellStyle name="常规 47 2 6" xfId="337"/>
    <cellStyle name="常规 52 2 6" xfId="338"/>
    <cellStyle name="输出 2 2 8 3 2" xfId="339"/>
    <cellStyle name="常规 96 2 9" xfId="340"/>
    <cellStyle name="常规 47 2 7" xfId="341"/>
    <cellStyle name="常规 52 2 7" xfId="342"/>
    <cellStyle name="商品名称 8 15" xfId="343"/>
    <cellStyle name="origAmountCrD 11 15" xfId="344"/>
    <cellStyle name="常规 29 2 10" xfId="345"/>
    <cellStyle name="常规 34 2 10" xfId="346"/>
    <cellStyle name="Accent4 2 6" xfId="347"/>
    <cellStyle name="输出 2 2 8 3 3" xfId="348"/>
    <cellStyle name="sstot 2 2 2" xfId="349"/>
    <cellStyle name="常规 47 2 8" xfId="350"/>
    <cellStyle name="常规 52 2 8" xfId="351"/>
    <cellStyle name="注释 2 5 17" xfId="352"/>
    <cellStyle name="标题 2 2 19" xfId="353"/>
    <cellStyle name="标题 2 3 2 12" xfId="354"/>
    <cellStyle name="20% - 强调文字颜色 5 4 3 2 2" xfId="355"/>
    <cellStyle name="Accent6 8 10" xfId="356"/>
    <cellStyle name="输入 3 2 7 2 12" xfId="357"/>
    <cellStyle name="40% - 强调文字颜色 4 3 7" xfId="358"/>
    <cellStyle name="Accent3 - 20% 2 2 8" xfId="359"/>
    <cellStyle name="常规 75 3 11" xfId="360"/>
    <cellStyle name="常规 80 3 11" xfId="361"/>
    <cellStyle name="20% - 强调文字颜色 3 3 2" xfId="362"/>
    <cellStyle name="Accent1 12 3 2 2" xfId="363"/>
    <cellStyle name="常规 118 5 2" xfId="364"/>
    <cellStyle name="常规 123 5 2" xfId="365"/>
    <cellStyle name="_弱电系统设备配置报价清单" xfId="366"/>
    <cellStyle name="商品名称 8 16" xfId="367"/>
    <cellStyle name="origAmountCrD 11 16" xfId="368"/>
    <cellStyle name="常规 29 2 11" xfId="369"/>
    <cellStyle name="常规 34 2 11" xfId="370"/>
    <cellStyle name="Accent4 2 7" xfId="371"/>
    <cellStyle name="Accent4 4" xfId="372"/>
    <cellStyle name="Input [yellow] 28" xfId="373"/>
    <cellStyle name="Input [yellow] 33" xfId="374"/>
    <cellStyle name="Accent3 - 60% 2 12" xfId="375"/>
    <cellStyle name="Accent2 3 2 18" xfId="376"/>
    <cellStyle name="_8月宁夏三电报表" xfId="377"/>
    <cellStyle name="常规 68 3 9" xfId="378"/>
    <cellStyle name="常规 73 3 9" xfId="379"/>
    <cellStyle name="20% - 强调文字颜色 2 2 9" xfId="380"/>
    <cellStyle name="60% - 强调文字颜色 6 3 2 6" xfId="381"/>
    <cellStyle name="注释 2 2 10 12" xfId="382"/>
    <cellStyle name="输入 2 7 10" xfId="383"/>
    <cellStyle name="_8月宁夏三电报表 2 11" xfId="384"/>
    <cellStyle name="常规 88 3 10" xfId="385"/>
    <cellStyle name="常规 93 3 10" xfId="386"/>
    <cellStyle name="Accent1 - 20% 2 2 10" xfId="387"/>
    <cellStyle name="20% - 强调文字颜色 1 3 2 10" xfId="388"/>
    <cellStyle name="20% - 强调文字颜色 4 4 16" xfId="389"/>
    <cellStyle name="_8月宁夏三电报表 15" xfId="390"/>
    <cellStyle name="20% - 强调文字颜色 4 4 15" xfId="391"/>
    <cellStyle name="_8月宁夏三电报表 14" xfId="392"/>
    <cellStyle name="20% - 强调文字颜色 4 4 12" xfId="393"/>
    <cellStyle name="origAmountDrD 11 7" xfId="394"/>
    <cellStyle name="_8月宁夏三电报表 11" xfId="395"/>
    <cellStyle name="20% - 强调文字颜色 4 4 13" xfId="396"/>
    <cellStyle name="origAmountDrD 11 8" xfId="397"/>
    <cellStyle name="_8月宁夏三电报表 12" xfId="398"/>
    <cellStyle name="20% - 强调文字颜色 4 4 14" xfId="399"/>
    <cellStyle name="origAmountDrD 11 9" xfId="400"/>
    <cellStyle name="_8月宁夏三电报表 13" xfId="401"/>
    <cellStyle name="Input [yellow] 3 2 14" xfId="402"/>
    <cellStyle name="Input [yellow] 3 3 4" xfId="403"/>
    <cellStyle name="_20100326高清市院遂宁检察院1080P配置清单26日改" xfId="404"/>
    <cellStyle name="Accent2 15 3" xfId="405"/>
    <cellStyle name="20% - 强调文字颜色 2 2 8" xfId="406"/>
    <cellStyle name="60% - 强调文字颜色 6 3 2 5" xfId="407"/>
    <cellStyle name="注释 2 2 10 11" xfId="408"/>
    <cellStyle name="_8月宁夏三电报表 2 10" xfId="409"/>
    <cellStyle name="20% - 强调文字颜色 6 2 2 14" xfId="410"/>
    <cellStyle name="_ET_STYLE_NoName_00__Sheet3 2 4" xfId="411"/>
    <cellStyle name="origAmountDrD 2 3 3 2 3" xfId="412"/>
    <cellStyle name="_8月宁夏三电报表 2" xfId="413"/>
    <cellStyle name="Header2 2 4 2" xfId="414"/>
    <cellStyle name="60% - 强调文字颜色 6 3 2 7" xfId="415"/>
    <cellStyle name="注释 2 2 10 13" xfId="416"/>
    <cellStyle name="输入 2 7 11" xfId="417"/>
    <cellStyle name="_8月宁夏三电报表 2 12" xfId="418"/>
    <cellStyle name="Header2 2 4 3" xfId="419"/>
    <cellStyle name="origAmountDrD 5 2 2 2 2" xfId="420"/>
    <cellStyle name="60% - 强调文字颜色 6 3 2 8" xfId="421"/>
    <cellStyle name="注释 2 2 10 14" xfId="422"/>
    <cellStyle name="输入 2 7 12" xfId="423"/>
    <cellStyle name="_8月宁夏三电报表 2 13" xfId="424"/>
    <cellStyle name="常规 178 15" xfId="425"/>
    <cellStyle name="40% - 强调文字颜色 3 4 8" xfId="426"/>
    <cellStyle name="20% - 强调文字颜色 2 4 3" xfId="427"/>
    <cellStyle name="Accent2 - 20% 2 2 2" xfId="428"/>
    <cellStyle name="输出 2 7 2 11" xfId="429"/>
    <cellStyle name="常规 46 3 9" xfId="430"/>
    <cellStyle name="常规 51 3 9" xfId="431"/>
    <cellStyle name="Header2 10 2" xfId="432"/>
    <cellStyle name="20% - 强调文字颜色 4 4 18" xfId="433"/>
    <cellStyle name="_8月宁夏三电报表 17" xfId="434"/>
    <cellStyle name="常规 88 3 12" xfId="435"/>
    <cellStyle name="常规 93 3 12" xfId="436"/>
    <cellStyle name="Accent1 - 20% 2 2 12" xfId="437"/>
    <cellStyle name="输出 2 9 11" xfId="438"/>
    <cellStyle name="20% - 强调文字颜色 1 3 2 12" xfId="439"/>
    <cellStyle name="Input [yellow] 13 17" xfId="440"/>
    <cellStyle name="_20100326高清市院遂宁检察院1080P配置清单26日改 2" xfId="441"/>
    <cellStyle name="40% - 强调文字颜色 6 2 14" xfId="442"/>
    <cellStyle name="货币 3 9" xfId="443"/>
    <cellStyle name="_弱电系统设备配置报价清单 2 5" xfId="444"/>
    <cellStyle name="60% - 强调文字颜色 3 3 2 12" xfId="445"/>
    <cellStyle name="常规 100 2 10" xfId="446"/>
    <cellStyle name="_弱电系统设备配置报价清单 2 14" xfId="447"/>
    <cellStyle name="汇总 2 3 3 5" xfId="448"/>
    <cellStyle name="Accent3 3 4 3" xfId="449"/>
    <cellStyle name="20% - 强调文字颜色 4 4 11" xfId="450"/>
    <cellStyle name="origAmountDrD 11 6" xfId="451"/>
    <cellStyle name="_8月宁夏三电报表 10" xfId="452"/>
    <cellStyle name="Accent1 5 10" xfId="453"/>
    <cellStyle name="Accent5 11 13" xfId="454"/>
    <cellStyle name="Header2 2 4 4" xfId="455"/>
    <cellStyle name="60% - 强调文字颜色 6 3 2 9" xfId="456"/>
    <cellStyle name="输入 2 7 13" xfId="457"/>
    <cellStyle name="_8月宁夏三电报表 2 14" xfId="458"/>
    <cellStyle name="Accent1 5 11" xfId="459"/>
    <cellStyle name="Accent5 11 14" xfId="460"/>
    <cellStyle name="输入 2 7 14" xfId="461"/>
    <cellStyle name="输入 3 2 7 2" xfId="462"/>
    <cellStyle name="_8月宁夏三电报表 2 15" xfId="463"/>
    <cellStyle name="Accent1 5 12" xfId="464"/>
    <cellStyle name="Accent5 11 15" xfId="465"/>
    <cellStyle name="Accent5 - 60%" xfId="466"/>
    <cellStyle name="输入 2 7 15" xfId="467"/>
    <cellStyle name="输入 2 7 20" xfId="468"/>
    <cellStyle name="输入 3 2 7 3" xfId="469"/>
    <cellStyle name="_8月宁夏三电报表 2 16" xfId="470"/>
    <cellStyle name="Accent1 5 13" xfId="471"/>
    <cellStyle name="Accent5 11 16" xfId="472"/>
    <cellStyle name="输入 2 7 16" xfId="473"/>
    <cellStyle name="输入 2 7 21" xfId="474"/>
    <cellStyle name="输入 3 2 7 4" xfId="475"/>
    <cellStyle name="_8月宁夏三电报表 2 17" xfId="476"/>
    <cellStyle name="20% - 强调文字颜色 1 2 2 4" xfId="477"/>
    <cellStyle name="20% - 强调文字颜色 5 3 9" xfId="478"/>
    <cellStyle name="_8月宁夏三电报表 2 2" xfId="479"/>
    <cellStyle name="注释 2 2 10 2 7" xfId="480"/>
    <cellStyle name="_8月宁夏三电报表 2 2 2" xfId="481"/>
    <cellStyle name="origAmountDrD 10 3 2 2" xfId="482"/>
    <cellStyle name="20% - 强调文字颜色 1 2 2 5" xfId="483"/>
    <cellStyle name="_8月宁夏三电报表 2 3" xfId="484"/>
    <cellStyle name="Accent1 - 60% 14" xfId="485"/>
    <cellStyle name="常规 99 3 16" xfId="486"/>
    <cellStyle name="输出 3 2 9 3 2" xfId="487"/>
    <cellStyle name="origAmountCrD 2 4 4" xfId="488"/>
    <cellStyle name="Input [yellow] 8 2 11" xfId="489"/>
    <cellStyle name="表标题 10" xfId="490"/>
    <cellStyle name="计算 2 10 9" xfId="491"/>
    <cellStyle name="Accent3 7 17" xfId="492"/>
    <cellStyle name="20% - 强调文字颜色 2 4 3 2" xfId="493"/>
    <cellStyle name="origAmountDrD 10 3 2 3" xfId="494"/>
    <cellStyle name="20% - 强调文字颜色 1 2 2 6" xfId="495"/>
    <cellStyle name="_8月宁夏三电报表 2 4" xfId="496"/>
    <cellStyle name="Accent1 - 60% 20" xfId="497"/>
    <cellStyle name="Accent1 - 60% 15" xfId="498"/>
    <cellStyle name="常规 99 3 17" xfId="499"/>
    <cellStyle name="输出 3 2 9 3 3" xfId="500"/>
    <cellStyle name="origAmountCrD 2 4 5" xfId="501"/>
    <cellStyle name="Input [yellow] 8 2 12" xfId="502"/>
    <cellStyle name="表标题 11" xfId="503"/>
    <cellStyle name="Accent3 7 18" xfId="504"/>
    <cellStyle name="20% - 强调文字颜色 2 4 3 3" xfId="505"/>
    <cellStyle name="Accent1 2 2 2" xfId="506"/>
    <cellStyle name="20% - 强调文字颜色 1 2 2 7" xfId="507"/>
    <cellStyle name="_8月宁夏三电报表 2 5" xfId="508"/>
    <cellStyle name="好_Book1 2 2 11" xfId="509"/>
    <cellStyle name="Header2 2 14" xfId="510"/>
    <cellStyle name="40% - 强调文字颜色 4 3 2 2" xfId="511"/>
    <cellStyle name="Accent3 - 20% 2 2 3 2" xfId="512"/>
    <cellStyle name="_8月宁夏三电报表 2 6" xfId="513"/>
    <cellStyle name="Accent1 2 2 3" xfId="514"/>
    <cellStyle name="输入 2 2 2 2 2" xfId="515"/>
    <cellStyle name="20% - 强调文字颜色 1 2 2 8" xfId="516"/>
    <cellStyle name="_8月宁夏三电报表 2 7" xfId="517"/>
    <cellStyle name="Accent3 - 20% 2 2 3 3" xfId="518"/>
    <cellStyle name="40% - 强调文字颜色 4 3 2 3" xfId="519"/>
    <cellStyle name="Header2 2 20" xfId="520"/>
    <cellStyle name="Header2 2 15" xfId="521"/>
    <cellStyle name="好_Book1 2 2 12" xfId="522"/>
    <cellStyle name="20% - 强调文字颜色 1 2 2 9" xfId="523"/>
    <cellStyle name="输入 2 2 2 2 3" xfId="524"/>
    <cellStyle name="Accent1 2 2 4" xfId="525"/>
    <cellStyle name="_8月宁夏三电报表 2 8" xfId="526"/>
    <cellStyle name="40% - 强调文字颜色 4 3 2 4" xfId="527"/>
    <cellStyle name="Header2 2 21" xfId="528"/>
    <cellStyle name="Header2 2 16" xfId="529"/>
    <cellStyle name="好_Book1 2 2 13" xfId="530"/>
    <cellStyle name="_8月宁夏三电报表 2 9" xfId="531"/>
    <cellStyle name="40% - 强调文字颜色 4 3 2 5" xfId="532"/>
    <cellStyle name="Header2 2 22" xfId="533"/>
    <cellStyle name="Header2 2 17" xfId="534"/>
    <cellStyle name="好_Book1 2 2 14" xfId="535"/>
    <cellStyle name="_8月宁夏三电报表 3" xfId="536"/>
    <cellStyle name="百分比 2 2 10" xfId="537"/>
    <cellStyle name="常规 141 3 4" xfId="538"/>
    <cellStyle name="常规 136 3 4" xfId="539"/>
    <cellStyle name="货币 2 3 4 2 2" xfId="540"/>
    <cellStyle name="0,0_x000d_&#10;NA_x000d_&#10; 2 2 2" xfId="541"/>
    <cellStyle name="20% - 强调文字颜色 6 3 7" xfId="542"/>
    <cellStyle name="计算 3 4 15" xfId="543"/>
    <cellStyle name="20% - 强调文字颜色 1 3 2 2" xfId="544"/>
    <cellStyle name="_ET_STYLE_NoName_00__Sheet3 2 5" xfId="545"/>
    <cellStyle name="20% - 强调文字颜色 6 2 2 15" xfId="546"/>
    <cellStyle name="Accent1 - 20% 2 2 2" xfId="547"/>
    <cellStyle name="常规 93 3 2" xfId="548"/>
    <cellStyle name="常规 88 3 2" xfId="549"/>
    <cellStyle name="Accent6 - 20% 3 15" xfId="550"/>
    <cellStyle name="_8月宁夏三电报表 3 2" xfId="551"/>
    <cellStyle name="Percent [2] 2 15" xfId="552"/>
    <cellStyle name="20% - 强调文字颜色 5 4 9" xfId="553"/>
    <cellStyle name="20% - 强调文字颜色 1 2 3 4" xfId="554"/>
    <cellStyle name="20% - 强调文字颜色 1 4 10" xfId="555"/>
    <cellStyle name="常规 72 2 2 3 3" xfId="556"/>
    <cellStyle name="常规 67 2 2 3 3" xfId="557"/>
    <cellStyle name="Accent1 - 20% 3 10" xfId="558"/>
    <cellStyle name="常规 94 20" xfId="559"/>
    <cellStyle name="常规 94 15" xfId="560"/>
    <cellStyle name="常规 89 20" xfId="561"/>
    <cellStyle name="常规 89 15" xfId="562"/>
    <cellStyle name="Accent6 - 60% 7" xfId="563"/>
    <cellStyle name="Accent5 10 12" xfId="564"/>
    <cellStyle name="Accent1 12 9" xfId="565"/>
    <cellStyle name="PSHeading 4 13" xfId="566"/>
    <cellStyle name="_8月宁夏三电报表 3 3" xfId="567"/>
    <cellStyle name="Percent [2] 2 16" xfId="568"/>
    <cellStyle name="常规 97 2 2" xfId="569"/>
    <cellStyle name="20% - 强调文字颜色 1 2 3 5" xfId="570"/>
    <cellStyle name="20% - 强调文字颜色 1 4 11" xfId="571"/>
    <cellStyle name="Accent1 - 20% 3 11" xfId="572"/>
    <cellStyle name="常规 94 21" xfId="573"/>
    <cellStyle name="常规 94 16" xfId="574"/>
    <cellStyle name="常规 89 21" xfId="575"/>
    <cellStyle name="常规 89 16" xfId="576"/>
    <cellStyle name="Accent6 - 60% 8" xfId="577"/>
    <cellStyle name="Accent5 10 13" xfId="578"/>
    <cellStyle name="Accent1 4 10" xfId="579"/>
    <cellStyle name="PSHeading 4 14" xfId="580"/>
    <cellStyle name="_8月宁夏三电报表 4" xfId="581"/>
    <cellStyle name="百分比 2 2 11" xfId="582"/>
    <cellStyle name="常规 141 3 5" xfId="583"/>
    <cellStyle name="常规 136 3 5" xfId="584"/>
    <cellStyle name="货币 2 3 4 2 3" xfId="585"/>
    <cellStyle name="0,0_x000d_&#10;NA_x000d_&#10; 2 2 3" xfId="586"/>
    <cellStyle name="20% - 强调文字颜色 6 3 8" xfId="587"/>
    <cellStyle name="计算 3 4 16" xfId="588"/>
    <cellStyle name="20% - 强调文字颜色 1 3 2 3" xfId="589"/>
    <cellStyle name="输入 3 2 12 2 4" xfId="590"/>
    <cellStyle name="Input [yellow] 2 2 2" xfId="591"/>
    <cellStyle name="_ET_STYLE_NoName_00__Sheet3 2 6" xfId="592"/>
    <cellStyle name="20% - 强调文字颜色 6 2 2 16" xfId="593"/>
    <cellStyle name="Accent1 - 20% 2 2 3" xfId="594"/>
    <cellStyle name="常规 93 3 3" xfId="595"/>
    <cellStyle name="常规 88 3 3" xfId="596"/>
    <cellStyle name="Accent6 - 20% 3 16" xfId="597"/>
    <cellStyle name="_8月宁夏三电报表 5" xfId="598"/>
    <cellStyle name="百分比 2 2 12" xfId="599"/>
    <cellStyle name="Accent3 - 60% 2" xfId="600"/>
    <cellStyle name="Input [yellow] 3 5 12" xfId="601"/>
    <cellStyle name="Accent4 4 5" xfId="602"/>
    <cellStyle name="20% - 强调文字颜色 1 3 2 4" xfId="603"/>
    <cellStyle name="输入 3 2 12 2 5" xfId="604"/>
    <cellStyle name="Input [yellow] 2 2 3" xfId="605"/>
    <cellStyle name="_ET_STYLE_NoName_00__Sheet3 2 7" xfId="606"/>
    <cellStyle name="20% - 强调文字颜色 6 2 2 17" xfId="607"/>
    <cellStyle name="Accent1 - 20% 2 2 4" xfId="608"/>
    <cellStyle name="常规 93 3 4" xfId="609"/>
    <cellStyle name="常规 88 3 4" xfId="610"/>
    <cellStyle name="Accent6 - 20% 3 17" xfId="611"/>
    <cellStyle name="_8月宁夏三电报表 6" xfId="612"/>
    <cellStyle name="百分比 2 2 13" xfId="613"/>
    <cellStyle name="origAmountCrD 6 2 15" xfId="614"/>
    <cellStyle name="Accent1 - 60% 3 2" xfId="615"/>
    <cellStyle name="汇总 2 3 10" xfId="616"/>
    <cellStyle name="Accent3 - 60% 3" xfId="617"/>
    <cellStyle name="Input [yellow] 3 5 13" xfId="618"/>
    <cellStyle name="Accent4 4 6" xfId="619"/>
    <cellStyle name="20% - 强调文字颜色 1 3 2 5" xfId="620"/>
    <cellStyle name="输入 3 2 12 2 6" xfId="621"/>
    <cellStyle name="Input [yellow] 2 2 4" xfId="622"/>
    <cellStyle name="_ET_STYLE_NoName_00__Sheet3 2 8" xfId="623"/>
    <cellStyle name="20% - 强调文字颜色 6 2 2 18" xfId="624"/>
    <cellStyle name="Accent1 - 20% 2 2 5" xfId="625"/>
    <cellStyle name="常规 93 3 5" xfId="626"/>
    <cellStyle name="常规 88 3 5" xfId="627"/>
    <cellStyle name="origAmountCrD 4 2 2 2" xfId="628"/>
    <cellStyle name="Accent6 - 20% 3 18" xfId="629"/>
    <cellStyle name="常规 88 3 6" xfId="630"/>
    <cellStyle name="Accent2 13 10" xfId="631"/>
    <cellStyle name="常规 93 3 6" xfId="632"/>
    <cellStyle name="Accent1 - 20% 2 2 6" xfId="633"/>
    <cellStyle name="origAmountCrD 4 2 2 3" xfId="634"/>
    <cellStyle name="输入 2 3 5 2 10" xfId="635"/>
    <cellStyle name="20% - 强调文字颜色 1 3 2 6" xfId="636"/>
    <cellStyle name="输入 3 2 12 2 7" xfId="637"/>
    <cellStyle name="Input [yellow] 2 2 5" xfId="638"/>
    <cellStyle name="_ET_STYLE_NoName_00__Sheet3 2 9" xfId="639"/>
    <cellStyle name="origAmountCrD 2 2 2 10" xfId="640"/>
    <cellStyle name="Accent3 - 60% 4" xfId="641"/>
    <cellStyle name="Input [yellow] 3 5 14" xfId="642"/>
    <cellStyle name="Input [yellow] 2 8 2 3 2" xfId="643"/>
    <cellStyle name="Accent4 4 7" xfId="644"/>
    <cellStyle name="汇总 2 3 11" xfId="645"/>
    <cellStyle name="Accent1 - 60% 3 3" xfId="646"/>
    <cellStyle name="origAmountCrD 6 2 16" xfId="647"/>
    <cellStyle name="百分比 2 2 14" xfId="648"/>
    <cellStyle name="_8月宁夏三电报表 7" xfId="649"/>
    <cellStyle name="Accent2 13 11" xfId="650"/>
    <cellStyle name="常规 88 3 7" xfId="651"/>
    <cellStyle name="常规 93 3 7" xfId="652"/>
    <cellStyle name="Accent1 - 20% 2 2 7" xfId="653"/>
    <cellStyle name="origAmountDrD 5 2 2 2" xfId="654"/>
    <cellStyle name="origAmountCrD 4 2 2 4" xfId="655"/>
    <cellStyle name="输入 2 3 5 2 11" xfId="656"/>
    <cellStyle name="Accent1 3 2 2" xfId="657"/>
    <cellStyle name="20% - 强调文字颜色 1 3 2 7" xfId="658"/>
    <cellStyle name="输入 3 2 12 2 8" xfId="659"/>
    <cellStyle name="Input [yellow] 2 2 6" xfId="660"/>
    <cellStyle name="origAmountCrD 2 2 2 11" xfId="661"/>
    <cellStyle name="Accent3 - 60% 5" xfId="662"/>
    <cellStyle name="Input [yellow] 3 5 15" xfId="663"/>
    <cellStyle name="Input [yellow] 2 8 2 3 3" xfId="664"/>
    <cellStyle name="Accent4 4 8" xfId="665"/>
    <cellStyle name="汇总 2 3 12" xfId="666"/>
    <cellStyle name="Accent1 - 60% 3 4" xfId="667"/>
    <cellStyle name="origAmountCrD 6 2 17" xfId="668"/>
    <cellStyle name="百分比 2 2 15" xfId="669"/>
    <cellStyle name="Input [yellow] 2 3 2 2 10" xfId="670"/>
    <cellStyle name="_8月宁夏三电报表 8" xfId="671"/>
    <cellStyle name="Accent2 13 12" xfId="672"/>
    <cellStyle name="常规 88 3 8" xfId="673"/>
    <cellStyle name="常规 93 3 8" xfId="674"/>
    <cellStyle name="Accent1 - 20% 2 2 8" xfId="675"/>
    <cellStyle name="origAmountDrD 5 2 2 3" xfId="676"/>
    <cellStyle name="Accent1 3 2 3" xfId="677"/>
    <cellStyle name="输入 2 2 3 2 2" xfId="678"/>
    <cellStyle name="origAmountCrD 4 2 2 5" xfId="679"/>
    <cellStyle name="输入 2 3 5 2 12" xfId="680"/>
    <cellStyle name="20% - 强调文字颜色 1 3 2 8" xfId="681"/>
    <cellStyle name="输入 3 2 12 2 9" xfId="682"/>
    <cellStyle name="Input [yellow] 2 2 7" xfId="683"/>
    <cellStyle name="origAmountCrD 2 2 2 12" xfId="684"/>
    <cellStyle name="Accent3 - 60% 6" xfId="685"/>
    <cellStyle name="Input [yellow] 3 5 16" xfId="686"/>
    <cellStyle name="Accent4 4 9" xfId="687"/>
    <cellStyle name="汇总 2 3 13" xfId="688"/>
    <cellStyle name="Accent1 - 60% 3 5" xfId="689"/>
    <cellStyle name="常规 59 2 2 3 2" xfId="690"/>
    <cellStyle name="常规 64 2 2 3 2" xfId="691"/>
    <cellStyle name="百分比 2 2 16" xfId="692"/>
    <cellStyle name="Input [yellow] 2 3 2 2 11" xfId="693"/>
    <cellStyle name="_8月宁夏三电报表 9" xfId="694"/>
    <cellStyle name="Accent4 - 40% 2 2 3" xfId="695"/>
    <cellStyle name="20% - 强调文字颜色 2 2 3 7" xfId="696"/>
    <cellStyle name="输出 2 2 3 7" xfId="697"/>
    <cellStyle name="20% - 强调文字颜色 1 2 16" xfId="698"/>
    <cellStyle name="20% - 强调文字颜色 1 2 21" xfId="699"/>
    <cellStyle name="Accent2 - 40% 2 2 18" xfId="700"/>
    <cellStyle name="Accent6 - 60% 3 17" xfId="701"/>
    <cellStyle name="计算 3 3 3 11" xfId="702"/>
    <cellStyle name="Accent1 2 15" xfId="703"/>
    <cellStyle name="_Book1" xfId="704"/>
    <cellStyle name="Input [yellow] 3 4 2 11" xfId="705"/>
    <cellStyle name="40% - 强调文字颜色 6 2 20" xfId="706"/>
    <cellStyle name="40% - 强调文字颜色 6 2 15" xfId="707"/>
    <cellStyle name="_弱电系统设备配置报价清单 2 6" xfId="708"/>
    <cellStyle name="PSHeading 10 10" xfId="709"/>
    <cellStyle name="60% - 强调文字颜色 3 3 2 13" xfId="710"/>
    <cellStyle name="常规 100 2 11" xfId="711"/>
    <cellStyle name="_弱电系统设备配置报价清单 2 15" xfId="712"/>
    <cellStyle name="_Book1 2" xfId="713"/>
    <cellStyle name="40% - 强调文字颜色 4 3 9" xfId="714"/>
    <cellStyle name="Accent6 8 12" xfId="715"/>
    <cellStyle name="20% - 强调文字颜色 4 2 2 2" xfId="716"/>
    <cellStyle name="Accent5 - 20% 2 2 17" xfId="717"/>
    <cellStyle name="常规 38 2 15" xfId="718"/>
    <cellStyle name="常规 43 2 15" xfId="719"/>
    <cellStyle name="常规 146 2 2 3 2 3" xfId="720"/>
    <cellStyle name="常规 151 2 2 3 2 3" xfId="721"/>
    <cellStyle name="_Book1_1" xfId="722"/>
    <cellStyle name="_ET_STYLE_NoName_00__Sheet3 2 14" xfId="723"/>
    <cellStyle name="好_Book1 2 2 5" xfId="724"/>
    <cellStyle name="常规 7 2 3 2 3" xfId="725"/>
    <cellStyle name="Accent3 - 20% 8" xfId="726"/>
    <cellStyle name="常规 14 3 18" xfId="727"/>
    <cellStyle name="Accent4 12 4" xfId="728"/>
    <cellStyle name="_Book1_1 2" xfId="729"/>
    <cellStyle name="20% - 强调文字颜色 4 2 2 3" xfId="730"/>
    <cellStyle name="Accent5 - 20% 2 2 18" xfId="731"/>
    <cellStyle name="常规 38 2 16" xfId="732"/>
    <cellStyle name="常规 43 2 16" xfId="733"/>
    <cellStyle name="_Book1_2" xfId="734"/>
    <cellStyle name="Accent3 - 60% 14" xfId="735"/>
    <cellStyle name="Accent4 13 4" xfId="736"/>
    <cellStyle name="_Book1_2 2" xfId="737"/>
    <cellStyle name="20% - 强调文字颜色 4 2 2 3 2" xfId="738"/>
    <cellStyle name="Accent4 - 60% 3 6" xfId="739"/>
    <cellStyle name="常规 34 4" xfId="740"/>
    <cellStyle name="常规 29 4" xfId="741"/>
    <cellStyle name="origAmountDrT" xfId="742"/>
    <cellStyle name="_ET_STYLE_NoName_00_" xfId="743"/>
    <cellStyle name="PSSpacer 6" xfId="744"/>
    <cellStyle name="20% - 强调文字颜色 3 2 3 11" xfId="745"/>
    <cellStyle name="输入 2 3 4 8" xfId="746"/>
    <cellStyle name="20% - 强调文字颜色 2 2 2 15" xfId="747"/>
    <cellStyle name="PSHeading 2 8" xfId="748"/>
    <cellStyle name="_ET_STYLE_NoName_00_ 2" xfId="749"/>
    <cellStyle name="常规 138 2 4 3" xfId="750"/>
    <cellStyle name="常规 143 2 4 3" xfId="751"/>
    <cellStyle name="Accent6 8 9" xfId="752"/>
    <cellStyle name="常规 38 3 12" xfId="753"/>
    <cellStyle name="常规 43 3 12" xfId="754"/>
    <cellStyle name="Input [yellow] 3 6 2 15" xfId="755"/>
    <cellStyle name="Accent1 - 20% 3 3 2 2" xfId="756"/>
    <cellStyle name="注释 3 3 2 2 9" xfId="757"/>
    <cellStyle name="20% - 强调文字颜色 1 4 3 2 2" xfId="758"/>
    <cellStyle name="输入 2 2 7 6" xfId="759"/>
    <cellStyle name="60% - 强调文字颜色 6 2 22" xfId="760"/>
    <cellStyle name="60% - 强调文字颜色 6 2 17" xfId="761"/>
    <cellStyle name="_ET_STYLE_NoName_00__8月宁夏三电报表" xfId="762"/>
    <cellStyle name="Input [yellow] 8 2 2 12" xfId="763"/>
    <cellStyle name="_ET_STYLE_NoName_00__8月宁夏三电报表 2" xfId="764"/>
    <cellStyle name="编号 4 15" xfId="765"/>
    <cellStyle name="origAmountDrD 12 14" xfId="766"/>
    <cellStyle name="40% - 强调文字颜色 4 2 2 16" xfId="767"/>
    <cellStyle name="_ET_STYLE_NoName_00__Book1" xfId="768"/>
    <cellStyle name="Accent6 - 60% 13" xfId="769"/>
    <cellStyle name="输入 2 2 13 4" xfId="770"/>
    <cellStyle name="Accent1 - 20% 3 3 3" xfId="771"/>
    <cellStyle name="20% - 强调文字颜色 1 4 3 3" xfId="772"/>
    <cellStyle name="Input [yellow] 3 3 2" xfId="773"/>
    <cellStyle name="Input [yellow] 3 2 12" xfId="774"/>
    <cellStyle name="Accent3 9 15" xfId="775"/>
    <cellStyle name="_ET_STYLE_NoName_00__Book1 2" xfId="776"/>
    <cellStyle name="Accent1 - 40% 2 2 5" xfId="777"/>
    <cellStyle name="20% - 强调文字颜色 2 2 3 11" xfId="778"/>
    <cellStyle name="Accent4 - 20% 2 11" xfId="779"/>
    <cellStyle name="Header2 3 5 16" xfId="780"/>
    <cellStyle name="常规 56 3 3 2 3" xfId="781"/>
    <cellStyle name="常规 61 3 3 2 3" xfId="782"/>
    <cellStyle name="Accent2 11 8" xfId="783"/>
    <cellStyle name="Accent3 6 7" xfId="784"/>
    <cellStyle name="常规 30 2 2 3 2 2" xfId="785"/>
    <cellStyle name="常规 25 2 2 3 2 2" xfId="786"/>
    <cellStyle name="_ET_STYLE_NoName_00__Book1_1" xfId="787"/>
    <cellStyle name="输出 3 2 9 18" xfId="788"/>
    <cellStyle name="Accent2 4 17" xfId="789"/>
    <cellStyle name="_ET_STYLE_NoName_00__Book1_1 2" xfId="790"/>
    <cellStyle name="常规 105 6" xfId="791"/>
    <cellStyle name="常规 110 6" xfId="792"/>
    <cellStyle name="Input [yellow] 3 13 2 12" xfId="793"/>
    <cellStyle name="20% - 强调文字颜色 2 4 18" xfId="794"/>
    <cellStyle name="常规 138 5 2 2" xfId="795"/>
    <cellStyle name="常规 143 5 2 2" xfId="796"/>
    <cellStyle name="40% - 强调文字颜色 6 3 2 3 2 2" xfId="797"/>
    <cellStyle name="标题 1 2 12" xfId="798"/>
    <cellStyle name="_ET_STYLE_NoName_00__Book1_1 2 10" xfId="799"/>
    <cellStyle name="常规 138 5 2 3" xfId="800"/>
    <cellStyle name="常规 143 5 2 3" xfId="801"/>
    <cellStyle name="40% - 强调文字颜色 6 3 2 3 2 3" xfId="802"/>
    <cellStyle name="标题 1 2 13" xfId="803"/>
    <cellStyle name="_ET_STYLE_NoName_00__Book1_1 2 11" xfId="804"/>
    <cellStyle name="常规 14 3 3 2 2" xfId="805"/>
    <cellStyle name="_ET_STYLE_NoName_00__Book1_1 2 12" xfId="806"/>
    <cellStyle name="常规 14 3 3 2 3" xfId="807"/>
    <cellStyle name="_ET_STYLE_NoName_00__Book1_1 2 13" xfId="808"/>
    <cellStyle name="_ET_STYLE_NoName_00__Book1_1 2 14" xfId="809"/>
    <cellStyle name="_ET_STYLE_NoName_00__Book1_1 2 15" xfId="810"/>
    <cellStyle name="常规 69 3 3 2" xfId="811"/>
    <cellStyle name="常规 74 3 3 2" xfId="812"/>
    <cellStyle name="_ET_STYLE_NoName_00__Book1_1 2 16" xfId="813"/>
    <cellStyle name="60% - 强调文字颜色 4 2 2 3 2 2" xfId="814"/>
    <cellStyle name="常规 37 2 8" xfId="815"/>
    <cellStyle name="常规 42 2 8" xfId="816"/>
    <cellStyle name="编号 11 2 3" xfId="817"/>
    <cellStyle name="40% - 强调文字颜色 6 4 3 2 2" xfId="818"/>
    <cellStyle name="常规 69 3 3 3" xfId="819"/>
    <cellStyle name="常规 74 3 3 3" xfId="820"/>
    <cellStyle name="_ET_STYLE_NoName_00__Book1_1 2 17" xfId="821"/>
    <cellStyle name="计算 3 3 4 17" xfId="822"/>
    <cellStyle name="60% - 强调文字颜色 3 2 2 11" xfId="823"/>
    <cellStyle name="Accent5 - 40% 2 4 3" xfId="824"/>
    <cellStyle name="_ET_STYLE_NoName_00__Book1_1 2 2" xfId="825"/>
    <cellStyle name="60% - 强调文字颜色 3 2 2 12" xfId="826"/>
    <cellStyle name="_ET_STYLE_NoName_00__Book1_1 2 3" xfId="827"/>
    <cellStyle name="60% - 强调文字颜色 3 2 2 13" xfId="828"/>
    <cellStyle name="_ET_STYLE_NoName_00__Book1_1 2 4" xfId="829"/>
    <cellStyle name="60% - 强调文字颜色 3 2 2 14" xfId="830"/>
    <cellStyle name="_ET_STYLE_NoName_00__Book1_1 2 5" xfId="831"/>
    <cellStyle name="常规 58 2 5" xfId="832"/>
    <cellStyle name="常规 63 2 5" xfId="833"/>
    <cellStyle name="Accent4 6 17" xfId="834"/>
    <cellStyle name="_ET_STYLE_NoName_00__Sheet3 2" xfId="835"/>
    <cellStyle name="输入 2 3 4 7" xfId="836"/>
    <cellStyle name="20% - 强调文字颜色 2 2 2 14" xfId="837"/>
    <cellStyle name="Accent1 3 2 3 2" xfId="838"/>
    <cellStyle name="Header2 2 5 3" xfId="839"/>
    <cellStyle name="40% - 强调文字颜色 4 3 2 18" xfId="840"/>
    <cellStyle name="_ET_STYLE_NoName_00__Sheet3 2 10" xfId="841"/>
    <cellStyle name="Accent1 3 2 3 3" xfId="842"/>
    <cellStyle name="Header2 2 5 4" xfId="843"/>
    <cellStyle name="_ET_STYLE_NoName_00__Sheet3 2 11" xfId="844"/>
    <cellStyle name="_ET_STYLE_NoName_00__Sheet3 2 12" xfId="845"/>
    <cellStyle name="_ET_STYLE_NoName_00__Sheet3 2 13" xfId="846"/>
    <cellStyle name="Accent2 - 40% 2 4 2" xfId="847"/>
    <cellStyle name="_ET_STYLE_NoName_00__Sheet3 2 15" xfId="848"/>
    <cellStyle name="Accent5 10 2" xfId="849"/>
    <cellStyle name="输入 3 2 8 5" xfId="850"/>
    <cellStyle name="Accent2 - 40% 2 4 3" xfId="851"/>
    <cellStyle name="Accent5 10 3" xfId="852"/>
    <cellStyle name="Accent4 - 20% 5 2 2" xfId="853"/>
    <cellStyle name="输入 3 2 8 6" xfId="854"/>
    <cellStyle name="_ET_STYLE_NoName_00__Sheet3 2 16" xfId="855"/>
    <cellStyle name="Accent5 10 4" xfId="856"/>
    <cellStyle name="Accent4 - 20% 5 2 3" xfId="857"/>
    <cellStyle name="输入 3 2 8 7" xfId="858"/>
    <cellStyle name="_ET_STYLE_NoName_00__Sheet3 2 17" xfId="859"/>
    <cellStyle name="20% - 强调文字颜色 6 2 2 12" xfId="860"/>
    <cellStyle name="_ET_STYLE_NoName_00__Sheet3 2 2" xfId="861"/>
    <cellStyle name="汇总 3 2 8 5" xfId="862"/>
    <cellStyle name="_ET_STYLE_NoName_00__Sheet3 2 2 2" xfId="863"/>
    <cellStyle name="汇总 2 2 13 9" xfId="864"/>
    <cellStyle name="Accent3 12 7" xfId="865"/>
    <cellStyle name="常规 118 5 2 2" xfId="866"/>
    <cellStyle name="常规 123 5 2 2" xfId="867"/>
    <cellStyle name="_弱电系统设备配置报价清单 2" xfId="868"/>
    <cellStyle name="常规 69 2 2 3 2" xfId="869"/>
    <cellStyle name="常规 74 2 2 3 2" xfId="870"/>
    <cellStyle name="Accent2 11 3 3" xfId="871"/>
    <cellStyle name="Input [yellow] 3 3 2 2 11" xfId="872"/>
    <cellStyle name="Accent2 3 18" xfId="873"/>
    <cellStyle name="_弱电系统设备配置报价清单 2 10" xfId="874"/>
    <cellStyle name="标题 2 2 4 2" xfId="875"/>
    <cellStyle name="Input [yellow] 9 17" xfId="876"/>
    <cellStyle name="Input [yellow] 13 14" xfId="877"/>
    <cellStyle name="40% - 强调文字颜色 6 2 11" xfId="878"/>
    <cellStyle name="货币 3 6" xfId="879"/>
    <cellStyle name="_弱电系统设备配置报价清单 2 2" xfId="880"/>
    <cellStyle name="Accent2 3 19" xfId="881"/>
    <cellStyle name="_弱电系统设备配置报价清单 2 11" xfId="882"/>
    <cellStyle name="Input [yellow] 9 18" xfId="883"/>
    <cellStyle name="Input [yellow] 13 15" xfId="884"/>
    <cellStyle name="40% - 强调文字颜色 6 2 12" xfId="885"/>
    <cellStyle name="货币 3 7" xfId="886"/>
    <cellStyle name="_弱电系统设备配置报价清单 2 3" xfId="887"/>
    <cellStyle name="60% - 强调文字颜色 3 3 2 10" xfId="888"/>
    <cellStyle name="_弱电系统设备配置报价清单 2 12" xfId="889"/>
    <cellStyle name="Input [yellow] 9 19" xfId="890"/>
    <cellStyle name="Input [yellow] 13 16" xfId="891"/>
    <cellStyle name="40% - 强调文字颜色 6 2 13" xfId="892"/>
    <cellStyle name="货币 3 8" xfId="893"/>
    <cellStyle name="_弱电系统设备配置报价清单 2 4" xfId="894"/>
    <cellStyle name="60% - 强调文字颜色 3 3 2 11" xfId="895"/>
    <cellStyle name="_弱电系统设备配置报价清单 2 13" xfId="896"/>
    <cellStyle name="PSHeading 10 6" xfId="897"/>
    <cellStyle name="Accent1 10 2" xfId="898"/>
    <cellStyle name="40% - 强调文字颜色 6 2 21" xfId="899"/>
    <cellStyle name="40% - 强调文字颜色 6 2 16" xfId="900"/>
    <cellStyle name="_弱电系统设备配置报价清单 2 7" xfId="901"/>
    <cellStyle name="PSHeading 10 11" xfId="902"/>
    <cellStyle name="60% - 强调文字颜色 3 3 2 14" xfId="903"/>
    <cellStyle name="常规 100 2 12" xfId="904"/>
    <cellStyle name="sstot 3 2" xfId="905"/>
    <cellStyle name="_弱电系统设备配置报价清单 2 16" xfId="906"/>
    <cellStyle name="PSHeading 10 7" xfId="907"/>
    <cellStyle name="Accent1 10 3" xfId="908"/>
    <cellStyle name="40% - 强调文字颜色 6 2 22" xfId="909"/>
    <cellStyle name="40% - 强调文字颜色 6 2 17" xfId="910"/>
    <cellStyle name="_弱电系统设备配置报价清单 2 8" xfId="911"/>
    <cellStyle name="PSHeading 10 12" xfId="912"/>
    <cellStyle name="60% - 强调文字颜色 3 3 2 15" xfId="913"/>
    <cellStyle name="常规 100 2 13" xfId="914"/>
    <cellStyle name="_弱电系统设备配置报价清单 2 17" xfId="915"/>
    <cellStyle name="Input [yellow] 3 8 2 2" xfId="916"/>
    <cellStyle name="计算 2 2 4 2 9" xfId="917"/>
    <cellStyle name="60% - 强调文字颜色 2 2 6" xfId="918"/>
    <cellStyle name="_弱电系统设备配置报价清单 2 2 2" xfId="919"/>
    <cellStyle name="计算 2 2 12 10" xfId="920"/>
    <cellStyle name="60% - 强调文字颜色 2 2 7" xfId="921"/>
    <cellStyle name="计算 3 2 2 2 12" xfId="922"/>
    <cellStyle name="40% - 强调文字颜色 1 2 2" xfId="923"/>
    <cellStyle name="_弱电系统设备配置报价清单 2 2 3" xfId="924"/>
    <cellStyle name="PSHeading 10 8" xfId="925"/>
    <cellStyle name="Accent1 10 4" xfId="926"/>
    <cellStyle name="40% - 强调文字颜色 6 2 23" xfId="927"/>
    <cellStyle name="40% - 强调文字颜色 6 2 18" xfId="928"/>
    <cellStyle name="_弱电系统设备配置报价清单 2 9" xfId="929"/>
    <cellStyle name="Accent4 9" xfId="930"/>
    <cellStyle name="计算 3 2 3 3 2 2" xfId="931"/>
    <cellStyle name="Accent3 - 60% 2 17" xfId="932"/>
    <cellStyle name="PSHeading 8 17" xfId="933"/>
    <cellStyle name="Accent1 8 13" xfId="934"/>
    <cellStyle name="20% - 强调文字颜色 3 2 2 3" xfId="935"/>
    <cellStyle name="20% - 强调文字颜色 4 2 2 11" xfId="936"/>
    <cellStyle name="常规 102 3 9" xfId="937"/>
    <cellStyle name="Input [yellow] 4 2 2 2 10" xfId="938"/>
    <cellStyle name="0,0_x000d_&#10;NA_x000d_&#10;" xfId="939"/>
    <cellStyle name="商品名称 4 8" xfId="940"/>
    <cellStyle name="20% - 强调文字颜色 1 2 2 3 3" xfId="941"/>
    <cellStyle name="0,0_x000d_&#10;NA_x000d_&#10; 10" xfId="942"/>
    <cellStyle name="0,0_x000d_&#10;NA_x000d_&#10; 11" xfId="943"/>
    <cellStyle name="0,0_x000d_&#10;NA_x000d_&#10; 12" xfId="944"/>
    <cellStyle name="汇总 2 2 6 2 10" xfId="945"/>
    <cellStyle name="0,0_x000d_&#10;NA_x000d_&#10; 13" xfId="946"/>
    <cellStyle name="汇总 2 2 6 2 11" xfId="947"/>
    <cellStyle name="0,0_x000d_&#10;NA_x000d_&#10; 14" xfId="948"/>
    <cellStyle name="常规 18 5 3" xfId="949"/>
    <cellStyle name="常规 23 5 3" xfId="950"/>
    <cellStyle name="6mal 10" xfId="951"/>
    <cellStyle name="汇总 2 2 6 2 12" xfId="952"/>
    <cellStyle name="0,0_x000d_&#10;NA_x000d_&#10; 15" xfId="953"/>
    <cellStyle name="6mal 11" xfId="954"/>
    <cellStyle name="计算 2 2 3 2 5" xfId="955"/>
    <cellStyle name="60% - 强调文字颜色 1 2 2" xfId="956"/>
    <cellStyle name="0,0_x000d_&#10;NA_x000d_&#10; 16" xfId="957"/>
    <cellStyle name="6mal 12" xfId="958"/>
    <cellStyle name="计算 2 2 3 2 6" xfId="959"/>
    <cellStyle name="60% - 强调文字颜色 1 2 3" xfId="960"/>
    <cellStyle name="0,0_x000d_&#10;NA_x000d_&#10; 17" xfId="961"/>
    <cellStyle name="6mal 13" xfId="962"/>
    <cellStyle name="计算 2 2 3 2 7" xfId="963"/>
    <cellStyle name="60% - 强调文字颜色 1 2 4" xfId="964"/>
    <cellStyle name="0,0_x000d_&#10;NA_x000d_&#10; 18" xfId="965"/>
    <cellStyle name="20% - 强调文字颜色 3 2 2 3 2" xfId="966"/>
    <cellStyle name="计算 3 5 2 7" xfId="967"/>
    <cellStyle name="Accent1 2 4" xfId="968"/>
    <cellStyle name="20% - 强调文字颜色 3 2 2 18" xfId="969"/>
    <cellStyle name="计算 3 5 14" xfId="970"/>
    <cellStyle name="Accent1 - 20% 2" xfId="971"/>
    <cellStyle name="Accent3 - 60% 2 2 3 2 3" xfId="972"/>
    <cellStyle name="强调文字颜色 2 2 2 2" xfId="973"/>
    <cellStyle name="常规 137 3 12" xfId="974"/>
    <cellStyle name="常规 142 3 12" xfId="975"/>
    <cellStyle name="20% - 强调文字颜色 1 3" xfId="976"/>
    <cellStyle name="0,0_x000d_&#10;NA_x000d_&#10; 2" xfId="977"/>
    <cellStyle name="货币 2 3 4" xfId="978"/>
    <cellStyle name="origAmountCrD 7 4" xfId="979"/>
    <cellStyle name="汇总 3 2 6 5" xfId="980"/>
    <cellStyle name="常规 88 15" xfId="981"/>
    <cellStyle name="常规 88 20" xfId="982"/>
    <cellStyle name="常规 93 15" xfId="983"/>
    <cellStyle name="常规 93 20" xfId="984"/>
    <cellStyle name="Accent1 - 20% 2 10" xfId="985"/>
    <cellStyle name="Accent6 9 18" xfId="986"/>
    <cellStyle name="60% - 强调文字颜色 6 3" xfId="987"/>
    <cellStyle name="Input [yellow] 2 12 2 2 5" xfId="988"/>
    <cellStyle name="20% - 强调文字颜色 1 3 10" xfId="989"/>
    <cellStyle name="0,0_x000d_&#10;NA_x000d_&#10; 2 10" xfId="990"/>
    <cellStyle name="20% - 强调文字颜色 6 3 2 2" xfId="991"/>
    <cellStyle name="常规 126 5 2 3" xfId="992"/>
    <cellStyle name="常规 131 5 2 3" xfId="993"/>
    <cellStyle name="PSHeading 3 14" xfId="994"/>
    <cellStyle name="Accent1 3 10" xfId="995"/>
    <cellStyle name="汇总 3 2 6 6" xfId="996"/>
    <cellStyle name="常规 88 16" xfId="997"/>
    <cellStyle name="常规 88 21" xfId="998"/>
    <cellStyle name="常规 93 16" xfId="999"/>
    <cellStyle name="常规 93 21" xfId="1000"/>
    <cellStyle name="Accent1 - 20% 2 11" xfId="1001"/>
    <cellStyle name="origAmountDrD 5 2 10" xfId="1002"/>
    <cellStyle name="Input [yellow] 4 5 2" xfId="1003"/>
    <cellStyle name="60% - 强调文字颜色 6 4" xfId="1004"/>
    <cellStyle name="Input [yellow] 2 12 2 2 6" xfId="1005"/>
    <cellStyle name="输出 2 2 8 2" xfId="1006"/>
    <cellStyle name="20% - 强调文字颜色 1 3 11" xfId="1007"/>
    <cellStyle name="0,0_x000d_&#10;NA_x000d_&#10; 2 11" xfId="1008"/>
    <cellStyle name="20% - 强调文字颜色 6 3 2 3" xfId="1009"/>
    <cellStyle name="PSHeading 3 15" xfId="1010"/>
    <cellStyle name="Accent1 3 11" xfId="1011"/>
    <cellStyle name="汇总 3 2 6 7" xfId="1012"/>
    <cellStyle name="常规 88 17" xfId="1013"/>
    <cellStyle name="常规 88 22" xfId="1014"/>
    <cellStyle name="常规 93 17" xfId="1015"/>
    <cellStyle name="常规 93 22" xfId="1016"/>
    <cellStyle name="Accent1 - 20% 2 12" xfId="1017"/>
    <cellStyle name="origAmountDrD 5 2 11" xfId="1018"/>
    <cellStyle name="输出 2 2 8 3" xfId="1019"/>
    <cellStyle name="20% - 强调文字颜色 1 3 12" xfId="1020"/>
    <cellStyle name="0,0_x000d_&#10;NA_x000d_&#10; 2 12" xfId="1021"/>
    <cellStyle name="20% - 强调文字颜色 6 3 2 4" xfId="1022"/>
    <cellStyle name="20% - 强调文字颜色 6 3 2 5" xfId="1023"/>
    <cellStyle name="0,0_x000d_&#10;NA_x000d_&#10; 2 13" xfId="1024"/>
    <cellStyle name="60% - 强调文字颜色 4 3 10" xfId="1025"/>
    <cellStyle name="20% - 强调文字颜色 1 3 13" xfId="1026"/>
    <cellStyle name="输出 2 2 8 4" xfId="1027"/>
    <cellStyle name="origAmountDrD 5 2 12" xfId="1028"/>
    <cellStyle name="Accent1 - 20% 2 13" xfId="1029"/>
    <cellStyle name="常规 93 23" xfId="1030"/>
    <cellStyle name="常规 93 18" xfId="1031"/>
    <cellStyle name="常规 88 23" xfId="1032"/>
    <cellStyle name="常规 88 18" xfId="1033"/>
    <cellStyle name="汇总 3 2 6 8" xfId="1034"/>
    <cellStyle name="Accent1 3 12" xfId="1035"/>
    <cellStyle name="PSHeading 3 16" xfId="1036"/>
    <cellStyle name="常规 3 2 4 2 2" xfId="1037"/>
    <cellStyle name="20% - 强调文字颜色 6 3 2 6" xfId="1038"/>
    <cellStyle name="0,0_x000d_&#10;NA_x000d_&#10; 2 14" xfId="1039"/>
    <cellStyle name="60% - 强调文字颜色 4 3 11" xfId="1040"/>
    <cellStyle name="origAmountCrD 3 2 2 10" xfId="1041"/>
    <cellStyle name="20% - 强调文字颜色 1 3 14" xfId="1042"/>
    <cellStyle name="输出 2 2 8 5" xfId="1043"/>
    <cellStyle name="origAmountDrD 5 2 13" xfId="1044"/>
    <cellStyle name="Accent1 - 20% 2 14" xfId="1045"/>
    <cellStyle name="常规 93 19" xfId="1046"/>
    <cellStyle name="常规 88 19" xfId="1047"/>
    <cellStyle name="汇总 3 2 6 9" xfId="1048"/>
    <cellStyle name="Accent1 3 13" xfId="1049"/>
    <cellStyle name="PSHeading 3 17" xfId="1050"/>
    <cellStyle name="常规 3 2 4 2 3" xfId="1051"/>
    <cellStyle name="Accent5 11 3 2 2" xfId="1052"/>
    <cellStyle name="常规 5 3" xfId="1053"/>
    <cellStyle name="常规 143" xfId="1054"/>
    <cellStyle name="常规 138" xfId="1055"/>
    <cellStyle name="20% - 强调文字颜色 6 3 2 8" xfId="1056"/>
    <cellStyle name="0,0_x000d_&#10;NA_x000d_&#10; 2 16" xfId="1057"/>
    <cellStyle name="汇总 3 5 11" xfId="1058"/>
    <cellStyle name="60% - 强调文字颜色 4 3 13" xfId="1059"/>
    <cellStyle name="常规 90 2 10" xfId="1060"/>
    <cellStyle name="常规 85 2 10" xfId="1061"/>
    <cellStyle name="origAmountDrD 12 2 2 2" xfId="1062"/>
    <cellStyle name="origAmountCrD 3 2 2 12" xfId="1063"/>
    <cellStyle name="20% - 强调文字颜色 1 3 16" xfId="1064"/>
    <cellStyle name="输出 2 2 8 7" xfId="1065"/>
    <cellStyle name="Accent1 - 20% 2 16" xfId="1066"/>
    <cellStyle name="origAmountDrD 5 2 15" xfId="1067"/>
    <cellStyle name="常规 62 3 3 2" xfId="1068"/>
    <cellStyle name="常规 57 3 3 2" xfId="1069"/>
    <cellStyle name="Accent1 3 15" xfId="1070"/>
    <cellStyle name="计算 3 3 4 11" xfId="1071"/>
    <cellStyle name="Accent5 11 3 2 3" xfId="1072"/>
    <cellStyle name="常规 5 4" xfId="1073"/>
    <cellStyle name="常规 144" xfId="1074"/>
    <cellStyle name="常规 139" xfId="1075"/>
    <cellStyle name="20% - 强调文字颜色 6 3 2 9" xfId="1076"/>
    <cellStyle name="0,0_x000d_&#10;NA_x000d_&#10; 2 17" xfId="1077"/>
    <cellStyle name="汇总 3 5 12" xfId="1078"/>
    <cellStyle name="60% - 强调文字颜色 4 3 14" xfId="1079"/>
    <cellStyle name="常规 90 2 11" xfId="1080"/>
    <cellStyle name="常规 85 2 11" xfId="1081"/>
    <cellStyle name="origAmountDrD 12 2 2 3" xfId="1082"/>
    <cellStyle name="20% - 强调文字颜色 1 3 17" xfId="1083"/>
    <cellStyle name="输出 2 2 8 8" xfId="1084"/>
    <cellStyle name="Accent1 - 20% 2 17" xfId="1085"/>
    <cellStyle name="origAmountDrD 5 2 16" xfId="1086"/>
    <cellStyle name="常规 62 3 3 3" xfId="1087"/>
    <cellStyle name="常规 57 3 3 3" xfId="1088"/>
    <cellStyle name="Accent1 3 16" xfId="1089"/>
    <cellStyle name="计算 3 3 4 12" xfId="1090"/>
    <cellStyle name="20% - 强调文字颜色 3 2 2 3 2 2" xfId="1091"/>
    <cellStyle name="Accent3 - 40% 3 18" xfId="1092"/>
    <cellStyle name="计算 2 2 11 2 7" xfId="1093"/>
    <cellStyle name="20% - 强调文字颜色 1 3 2" xfId="1094"/>
    <cellStyle name="计算 2 4 10" xfId="1095"/>
    <cellStyle name="40% - 强调文字颜色 2 3 7" xfId="1096"/>
    <cellStyle name="标题 1 2 3 15" xfId="1097"/>
    <cellStyle name="Accent5 - 60% 4" xfId="1098"/>
    <cellStyle name="Accent1 - 20% 2 2" xfId="1099"/>
    <cellStyle name="常规 93 3" xfId="1100"/>
    <cellStyle name="常规 88 3" xfId="1101"/>
    <cellStyle name="汇总 3 2 31" xfId="1102"/>
    <cellStyle name="汇总 3 2 26" xfId="1103"/>
    <cellStyle name="20% - 强调文字颜色 2 2 3 12" xfId="1104"/>
    <cellStyle name="Accent1 - 40% 2 2 6" xfId="1105"/>
    <cellStyle name="Accent4 7 15" xfId="1106"/>
    <cellStyle name="计算 3 10 7" xfId="1107"/>
    <cellStyle name="货币 2 3 4 2" xfId="1108"/>
    <cellStyle name="0,0_x000d_&#10;NA_x000d_&#10; 2 2" xfId="1109"/>
    <cellStyle name="20% - 强调文字颜色 3 2 2 3 2 3" xfId="1110"/>
    <cellStyle name="20% - 强调文字颜色 1 3 3" xfId="1111"/>
    <cellStyle name="常规 152 3 3 2" xfId="1112"/>
    <cellStyle name="常规 147 3 3 2" xfId="1113"/>
    <cellStyle name="计算 2 4 11" xfId="1114"/>
    <cellStyle name="40% - 强调文字颜色 2 3 8" xfId="1115"/>
    <cellStyle name="标题 1 2 3 16" xfId="1116"/>
    <cellStyle name="Accent5 - 60% 5" xfId="1117"/>
    <cellStyle name="计算 3 3 4 2" xfId="1118"/>
    <cellStyle name="Accent1 - 20% 2 3" xfId="1119"/>
    <cellStyle name="常规 93 4" xfId="1120"/>
    <cellStyle name="常规 88 4" xfId="1121"/>
    <cellStyle name="汇总 3 2 32" xfId="1122"/>
    <cellStyle name="汇总 3 2 27" xfId="1123"/>
    <cellStyle name="20% - 强调文字颜色 2 2 3 13" xfId="1124"/>
    <cellStyle name="Accent1 - 40% 2 2 7" xfId="1125"/>
    <cellStyle name="Accent4 7 16" xfId="1126"/>
    <cellStyle name="计算 3 10 8" xfId="1127"/>
    <cellStyle name="汇总 3 5 2" xfId="1128"/>
    <cellStyle name="Input [yellow] 9 2 10" xfId="1129"/>
    <cellStyle name="货币 2 3 4 3" xfId="1130"/>
    <cellStyle name="0,0_x000d_&#10;NA_x000d_&#10; 2 3" xfId="1131"/>
    <cellStyle name="20% - 强调文字颜色 1 3 4" xfId="1132"/>
    <cellStyle name="常规 71 2 2 3 2" xfId="1133"/>
    <cellStyle name="常规 66 2 2 3 2" xfId="1134"/>
    <cellStyle name="常规 152 3 3 3" xfId="1135"/>
    <cellStyle name="常规 147 3 3 3" xfId="1136"/>
    <cellStyle name="计算 2 4 12" xfId="1137"/>
    <cellStyle name="40% - 强调文字颜色 2 3 9" xfId="1138"/>
    <cellStyle name="标题 1 2 3 17" xfId="1139"/>
    <cellStyle name="Accent5 - 60% 6" xfId="1140"/>
    <cellStyle name="计算 3 3 4 3" xfId="1141"/>
    <cellStyle name="Accent1 - 20% 2 4" xfId="1142"/>
    <cellStyle name="常规 93 5" xfId="1143"/>
    <cellStyle name="常规 88 5" xfId="1144"/>
    <cellStyle name="汇总 3 2 28" xfId="1145"/>
    <cellStyle name="20% - 强调文字颜色 2 2 3 14" xfId="1146"/>
    <cellStyle name="Accent1 - 40% 2 2 8" xfId="1147"/>
    <cellStyle name="0,0_x000d_&#10;NA_x000d_&#10; 2 4" xfId="1148"/>
    <cellStyle name="Input [yellow] 9 2 11" xfId="1149"/>
    <cellStyle name="汇总 3 5 3" xfId="1150"/>
    <cellStyle name="60% - 强调文字颜色 1 2 5 2 2" xfId="1151"/>
    <cellStyle name="Accent4 7 17" xfId="1152"/>
    <cellStyle name="计算 3 10 9" xfId="1153"/>
    <cellStyle name="20% - 强调文字颜色 1 3 5" xfId="1154"/>
    <cellStyle name="常规 71 2 2 3 3" xfId="1155"/>
    <cellStyle name="常规 66 2 2 3 3" xfId="1156"/>
    <cellStyle name="计算 2 4 13" xfId="1157"/>
    <cellStyle name="Accent6 15 2 2" xfId="1158"/>
    <cellStyle name="Accent5 - 60% 7" xfId="1159"/>
    <cellStyle name="计算 3 3 4 4" xfId="1160"/>
    <cellStyle name="Accent1 - 20% 2 5" xfId="1161"/>
    <cellStyle name="常规 93 6" xfId="1162"/>
    <cellStyle name="常规 88 6" xfId="1163"/>
    <cellStyle name="汇总 3 2 29" xfId="1164"/>
    <cellStyle name="20% - 强调文字颜色 2 2 3 15" xfId="1165"/>
    <cellStyle name="Accent1 - 40% 2 2 9" xfId="1166"/>
    <cellStyle name="0,0_x000d_&#10;NA_x000d_&#10; 2 5" xfId="1167"/>
    <cellStyle name="Input [yellow] 9 2 12" xfId="1168"/>
    <cellStyle name="汇总 3 5 4" xfId="1169"/>
    <cellStyle name="60% - 强调文字颜色 1 2 5 2 3" xfId="1170"/>
    <cellStyle name="Accent4 7 18" xfId="1171"/>
    <cellStyle name="New Times Roman 2 2 2" xfId="1172"/>
    <cellStyle name="常规 114 3 11" xfId="1173"/>
    <cellStyle name="常规 109 3 11" xfId="1174"/>
    <cellStyle name="20% - 强调文字颜色 1 3 6" xfId="1175"/>
    <cellStyle name="计算 2 4 14" xfId="1176"/>
    <cellStyle name="Accent6 15 2 3" xfId="1177"/>
    <cellStyle name="Accent5 - 60% 8" xfId="1178"/>
    <cellStyle name="计算 3 3 4 5" xfId="1179"/>
    <cellStyle name="Accent3 - 40% 2 2" xfId="1180"/>
    <cellStyle name="Accent1 - 20% 2 6" xfId="1181"/>
    <cellStyle name="常规 93 7" xfId="1182"/>
    <cellStyle name="常规 88 7" xfId="1183"/>
    <cellStyle name="20% - 强调文字颜色 2 2 3 16" xfId="1184"/>
    <cellStyle name="0,0_x000d_&#10;NA_x000d_&#10; 2 6" xfId="1185"/>
    <cellStyle name="Input [yellow] 9 2 13" xfId="1186"/>
    <cellStyle name="汇总 3 5 5" xfId="1187"/>
    <cellStyle name="20% - 强调文字颜色 1 3 7" xfId="1188"/>
    <cellStyle name="计算 2 4 15" xfId="1189"/>
    <cellStyle name="Accent5 - 60% 9" xfId="1190"/>
    <cellStyle name="计算 3 3 4 6" xfId="1191"/>
    <cellStyle name="Accent3 - 40% 2 3" xfId="1192"/>
    <cellStyle name="Accent1 - 20% 2 7" xfId="1193"/>
    <cellStyle name="Linked Cells 2" xfId="1194"/>
    <cellStyle name="常规 93 8" xfId="1195"/>
    <cellStyle name="常规 88 8" xfId="1196"/>
    <cellStyle name="20% - 强调文字颜色 2 2 3 17" xfId="1197"/>
    <cellStyle name="0,0_x000d_&#10;NA_x000d_&#10; 2 7" xfId="1198"/>
    <cellStyle name="Input [yellow] 9 2 14" xfId="1199"/>
    <cellStyle name="汇总 3 5 6" xfId="1200"/>
    <cellStyle name="20% - 强调文字颜色 1 3 8" xfId="1201"/>
    <cellStyle name="计算 2 4 16" xfId="1202"/>
    <cellStyle name="Accent3 - 40% 2 4" xfId="1203"/>
    <cellStyle name="Accent1 - 20% 2 8" xfId="1204"/>
    <cellStyle name="Linked Cells 3" xfId="1205"/>
    <cellStyle name="常规 93 9" xfId="1206"/>
    <cellStyle name="常规 88 9" xfId="1207"/>
    <cellStyle name="20% - 强调文字颜色 2 2 3 18" xfId="1208"/>
    <cellStyle name="0,0_x000d_&#10;NA_x000d_&#10; 2 8" xfId="1209"/>
    <cellStyle name="Input [yellow] 9 2 15" xfId="1210"/>
    <cellStyle name="汇总 3 5 7" xfId="1211"/>
    <cellStyle name="计算 3 5 2 8" xfId="1212"/>
    <cellStyle name="20% - 强调文字颜色 3 2 2 3 3" xfId="1213"/>
    <cellStyle name="origAmountCrD 7 5" xfId="1214"/>
    <cellStyle name="货币 2 3 5" xfId="1215"/>
    <cellStyle name="0,0_x000d_&#10;NA_x000d_&#10; 3" xfId="1216"/>
    <cellStyle name="常规 51 5 3" xfId="1217"/>
    <cellStyle name="常规 46 5 3" xfId="1218"/>
    <cellStyle name="6mal 2" xfId="1219"/>
    <cellStyle name="20% - 强调文字颜色 1 4" xfId="1220"/>
    <cellStyle name="常规 142 3 13" xfId="1221"/>
    <cellStyle name="常规 137 3 13" xfId="1222"/>
    <cellStyle name="强调文字颜色 2 2 2 3" xfId="1223"/>
    <cellStyle name="Accent1 - 20% 3" xfId="1224"/>
    <cellStyle name="20% - 强调文字颜色 2 4 10" xfId="1225"/>
    <cellStyle name="Linked Cells 2 2 2" xfId="1226"/>
    <cellStyle name="Accent3 7 8" xfId="1227"/>
    <cellStyle name="Accent2 12 9" xfId="1228"/>
    <cellStyle name="输出 3 2 9 10" xfId="1229"/>
    <cellStyle name="输入 3 3 4 15" xfId="1230"/>
    <cellStyle name="常规 89 3" xfId="1231"/>
    <cellStyle name="常规 94 3" xfId="1232"/>
    <cellStyle name="Accent1 - 20% 3 2" xfId="1233"/>
    <cellStyle name="常规 168 14" xfId="1234"/>
    <cellStyle name="常规 173 14" xfId="1235"/>
    <cellStyle name="40% - 强调文字颜色 2 4 7" xfId="1236"/>
    <cellStyle name="Input [yellow] 12 2 12" xfId="1237"/>
    <cellStyle name="注释 3 4 2 5" xfId="1238"/>
    <cellStyle name="输出 3 10 7" xfId="1239"/>
    <cellStyle name="强调文字颜色 2 2 2 3 2" xfId="1240"/>
    <cellStyle name="20% - 强调文字颜色 1 4 2" xfId="1241"/>
    <cellStyle name="Header2 14 17" xfId="1242"/>
    <cellStyle name="常规 74 2 2 18" xfId="1243"/>
    <cellStyle name="常规 69 2 2 18" xfId="1244"/>
    <cellStyle name="差 2 2 6" xfId="1245"/>
    <cellStyle name="6mal 2 2" xfId="1246"/>
    <cellStyle name="Accent3 21" xfId="1247"/>
    <cellStyle name="Accent3 16" xfId="1248"/>
    <cellStyle name="origAmountDrD 7 11" xfId="1249"/>
    <cellStyle name="Accent4 - 40% 2 2 17" xfId="1250"/>
    <cellStyle name="常规 156 2 15" xfId="1251"/>
    <cellStyle name="常规 161 2 15" xfId="1252"/>
    <cellStyle name="常规 4 2 19" xfId="1253"/>
    <cellStyle name="0,0_x000d_&#10;NA_x000d_&#10; 3 2" xfId="1254"/>
    <cellStyle name="6mal 3" xfId="1255"/>
    <cellStyle name="Header2 2 2 2 2" xfId="1256"/>
    <cellStyle name="常规 2 2 2 18" xfId="1257"/>
    <cellStyle name="输出 2 3 4 18" xfId="1258"/>
    <cellStyle name="0,0_x000d_&#10;NA_x000d_&#10; 4" xfId="1259"/>
    <cellStyle name="货币 2 3 6" xfId="1260"/>
    <cellStyle name="origAmountCrD 7 6" xfId="1261"/>
    <cellStyle name="常规 145 5 2 2" xfId="1262"/>
    <cellStyle name="常规 150 5 2 2" xfId="1263"/>
    <cellStyle name="6mal 4" xfId="1264"/>
    <cellStyle name="Header2 2 2 2 3" xfId="1265"/>
    <cellStyle name="输出 2 3 4 19" xfId="1266"/>
    <cellStyle name="注释 3 9 2" xfId="1267"/>
    <cellStyle name="0,0_x000d_&#10;NA_x000d_&#10; 5" xfId="1268"/>
    <cellStyle name="货币 2 3 7" xfId="1269"/>
    <cellStyle name="origAmountCrD 7 7" xfId="1270"/>
    <cellStyle name="常规 145 5 2 3" xfId="1271"/>
    <cellStyle name="常规 150 5 2 3" xfId="1272"/>
    <cellStyle name="6mal 5" xfId="1273"/>
    <cellStyle name="Header2 2 2 2 4" xfId="1274"/>
    <cellStyle name="注释 3 9 3" xfId="1275"/>
    <cellStyle name="0,0_x000d_&#10;NA_x000d_&#10; 6" xfId="1276"/>
    <cellStyle name="货币 2 3 8" xfId="1277"/>
    <cellStyle name="origAmountCrD 7 8" xfId="1278"/>
    <cellStyle name="6mal 6" xfId="1279"/>
    <cellStyle name="Header2 2 2 2 5" xfId="1280"/>
    <cellStyle name="注释 3 9 4" xfId="1281"/>
    <cellStyle name="0,0_x000d_&#10;NA_x000d_&#10; 7" xfId="1282"/>
    <cellStyle name="货币 2 3 9" xfId="1283"/>
    <cellStyle name="origAmountCrD 7 9" xfId="1284"/>
    <cellStyle name="6mal 7" xfId="1285"/>
    <cellStyle name="Header2 2 2 2 6" xfId="1286"/>
    <cellStyle name="注释 3 9 5" xfId="1287"/>
    <cellStyle name="0,0_x000d_&#10;NA_x000d_&#10; 8" xfId="1288"/>
    <cellStyle name="6mal 8" xfId="1289"/>
    <cellStyle name="60% - 强调文字颜色 3 2 3 3 2 2" xfId="1290"/>
    <cellStyle name="Header2 2 2 2 7" xfId="1291"/>
    <cellStyle name="注释 3 9 6" xfId="1292"/>
    <cellStyle name="0,0_x000d_&#10;NA_x000d_&#10; 9" xfId="1293"/>
    <cellStyle name="Accent1 2 3" xfId="1294"/>
    <cellStyle name="20% - 强调文字颜色 3 2 2 17" xfId="1295"/>
    <cellStyle name="计算 3 5 13" xfId="1296"/>
    <cellStyle name="Date 3 3" xfId="1297"/>
    <cellStyle name="Accent3 - 60% 2 2 3 2 2" xfId="1298"/>
    <cellStyle name="常规 137 3 11" xfId="1299"/>
    <cellStyle name="常规 142 3 11" xfId="1300"/>
    <cellStyle name="20% - 强调文字颜色 1 2" xfId="1301"/>
    <cellStyle name="Accent6 - 60% 3 11" xfId="1302"/>
    <cellStyle name="20% - 强调文字颜色 4 2 2 8" xfId="1303"/>
    <cellStyle name="20% - 强调文字颜色 1 2 10" xfId="1304"/>
    <cellStyle name="Accent2 - 40% 2 2 12" xfId="1305"/>
    <cellStyle name="60% - 强调文字颜色 1 3" xfId="1306"/>
    <cellStyle name="常规 87 15" xfId="1307"/>
    <cellStyle name="常规 87 20" xfId="1308"/>
    <cellStyle name="常规 92 15" xfId="1309"/>
    <cellStyle name="常规 92 20" xfId="1310"/>
    <cellStyle name="Accent6 8 18" xfId="1311"/>
    <cellStyle name="常规 128 3 7" xfId="1312"/>
    <cellStyle name="常规 133 3 7" xfId="1313"/>
    <cellStyle name="Accent4 2 2 3" xfId="1314"/>
    <cellStyle name="20% - 强调文字颜色 2 2 3 2" xfId="1315"/>
    <cellStyle name="Accent6 - 60% 3 12" xfId="1316"/>
    <cellStyle name="输出 2 2 3 2" xfId="1317"/>
    <cellStyle name="20% - 强调文字颜色 4 2 2 9" xfId="1318"/>
    <cellStyle name="20% - 强调文字颜色 1 2 11" xfId="1319"/>
    <cellStyle name="Accent2 - 40% 2 2 13" xfId="1320"/>
    <cellStyle name="汇总 3 3 3 2 10" xfId="1321"/>
    <cellStyle name="40% - 强调文字颜色 4 4 3 2 2" xfId="1322"/>
    <cellStyle name="60% - 强调文字颜色 1 4" xfId="1323"/>
    <cellStyle name="PSHeading 2 14" xfId="1324"/>
    <cellStyle name="Accent1 2 10" xfId="1325"/>
    <cellStyle name="常规 87 16" xfId="1326"/>
    <cellStyle name="常规 87 21" xfId="1327"/>
    <cellStyle name="常规 92 16" xfId="1328"/>
    <cellStyle name="常规 92 21" xfId="1329"/>
    <cellStyle name="常规 85 2 2 3 2" xfId="1330"/>
    <cellStyle name="常规 90 2 2 3 2" xfId="1331"/>
    <cellStyle name="常规 128 3 8" xfId="1332"/>
    <cellStyle name="常规 133 3 8" xfId="1333"/>
    <cellStyle name="Accent4 2 2 4" xfId="1334"/>
    <cellStyle name="20% - 强调文字颜色 2 2 3 3" xfId="1335"/>
    <cellStyle name="Accent6 - 60% 3 13" xfId="1336"/>
    <cellStyle name="输出 2 2 3 3" xfId="1337"/>
    <cellStyle name="20% - 强调文字颜色 1 2 12" xfId="1338"/>
    <cellStyle name="Accent2 - 40% 2 2 14" xfId="1339"/>
    <cellStyle name="PSHeading 2 15" xfId="1340"/>
    <cellStyle name="Accent1 2 11" xfId="1341"/>
    <cellStyle name="汇总 3 3 3 2 11" xfId="1342"/>
    <cellStyle name="40% - 强调文字颜色 4 4 3 2 3" xfId="1343"/>
    <cellStyle name="20% - 强调文字颜色 2 2 3 4" xfId="1344"/>
    <cellStyle name="Accent6 - 60% 3 14" xfId="1345"/>
    <cellStyle name="输出 2 2 3 4" xfId="1346"/>
    <cellStyle name="20% - 强调文字颜色 1 2 13" xfId="1347"/>
    <cellStyle name="Accent2 - 40% 2 2 15" xfId="1348"/>
    <cellStyle name="PSHeading 2 16" xfId="1349"/>
    <cellStyle name="Accent1 2 12" xfId="1350"/>
    <cellStyle name="20% - 强调文字颜色 2 2 3 5" xfId="1351"/>
    <cellStyle name="Accent6 - 60% 3 15" xfId="1352"/>
    <cellStyle name="输出 2 2 3 5" xfId="1353"/>
    <cellStyle name="20% - 强调文字颜色 1 2 14" xfId="1354"/>
    <cellStyle name="Accent2 - 40% 2 2 16" xfId="1355"/>
    <cellStyle name="PSHeading 2 17" xfId="1356"/>
    <cellStyle name="Accent1 2 13" xfId="1357"/>
    <cellStyle name="Accent4 - 40% 2 2 2" xfId="1358"/>
    <cellStyle name="20% - 强调文字颜色 2 2 3 6" xfId="1359"/>
    <cellStyle name="Accent6 - 60% 3 16" xfId="1360"/>
    <cellStyle name="Input [yellow] 3 7 2 2 2 2" xfId="1361"/>
    <cellStyle name="输出 2 2 3 6" xfId="1362"/>
    <cellStyle name="20% - 强调文字颜色 1 2 15" xfId="1363"/>
    <cellStyle name="20% - 强调文字颜色 1 2 20" xfId="1364"/>
    <cellStyle name="Accent2 - 40% 2 2 17" xfId="1365"/>
    <cellStyle name="计算 3 3 3 10" xfId="1366"/>
    <cellStyle name="Accent1 2 14" xfId="1367"/>
    <cellStyle name="Accent4 - 40% 2 2 5" xfId="1368"/>
    <cellStyle name="20% - 强调文字颜色 2 2 3 9" xfId="1369"/>
    <cellStyle name="计算 3 3 3 13" xfId="1370"/>
    <cellStyle name="Accent1 2 17" xfId="1371"/>
    <cellStyle name="标题 3 3 2 6" xfId="1372"/>
    <cellStyle name="Input [yellow] 4 4 2 3" xfId="1373"/>
    <cellStyle name="60% - 强调文字颜色 5 4 3" xfId="1374"/>
    <cellStyle name="输出 2 2 3 9" xfId="1375"/>
    <cellStyle name="20% - 强调文字颜色 1 2 18" xfId="1376"/>
    <cellStyle name="20% - 强调文字颜色 1 2 23" xfId="1377"/>
    <cellStyle name="计算 3 3 3 14" xfId="1378"/>
    <cellStyle name="Accent1 2 18" xfId="1379"/>
    <cellStyle name="Accent5 - 20% 2 2 3 2 2" xfId="1380"/>
    <cellStyle name="标题 3 3 2 7" xfId="1381"/>
    <cellStyle name="Input [yellow] 4 4 2 4" xfId="1382"/>
    <cellStyle name="60% - 强调文字颜色 5 4 4" xfId="1383"/>
    <cellStyle name="20% - 强调文字颜色 1 2 19" xfId="1384"/>
    <cellStyle name="PSHeading 4 16" xfId="1385"/>
    <cellStyle name="Accent1 4 12" xfId="1386"/>
    <cellStyle name="Accent5 10 15" xfId="1387"/>
    <cellStyle name="常规 89 18" xfId="1388"/>
    <cellStyle name="常规 89 23" xfId="1389"/>
    <cellStyle name="常规 94 18" xfId="1390"/>
    <cellStyle name="常规 94 23" xfId="1391"/>
    <cellStyle name="Accent1 - 20% 3 13" xfId="1392"/>
    <cellStyle name="20% - 强调文字颜色 1 4 13" xfId="1393"/>
    <cellStyle name="20% - 强调文字颜色 1 2 3 7" xfId="1394"/>
    <cellStyle name="40% - 强调文字颜色 2 2 7" xfId="1395"/>
    <cellStyle name="comma zerodec 9" xfId="1396"/>
    <cellStyle name="标题 3 3 11 12" xfId="1397"/>
    <cellStyle name="20% - 强调文字颜色 1 2 2" xfId="1398"/>
    <cellStyle name="origAmountCrD 6 2 2 7" xfId="1399"/>
    <cellStyle name="Accent3 3 2 5" xfId="1400"/>
    <cellStyle name="origAmountDrD 7 2 2 5" xfId="1401"/>
    <cellStyle name="Accent4 13 14" xfId="1402"/>
    <cellStyle name="20% - 强调文字颜色 1 2 2 10" xfId="1403"/>
    <cellStyle name="Header2 3 27" xfId="1404"/>
    <cellStyle name="常规 87 3 10" xfId="1405"/>
    <cellStyle name="常规 92 3 10" xfId="1406"/>
    <cellStyle name="60% - 强调文字颜色 6 4 13" xfId="1407"/>
    <cellStyle name="origAmountCrD 6 2 2 8" xfId="1408"/>
    <cellStyle name="Accent3 3 2 6" xfId="1409"/>
    <cellStyle name="origAmountDrD 7 2 2 6" xfId="1410"/>
    <cellStyle name="Accent4 13 15" xfId="1411"/>
    <cellStyle name="20% - 强调文字颜色 1 2 2 11" xfId="1412"/>
    <cellStyle name="Header2 3 28" xfId="1413"/>
    <cellStyle name="常规 87 3 11" xfId="1414"/>
    <cellStyle name="常规 92 3 11" xfId="1415"/>
    <cellStyle name="40% - 强调文字颜色 3 2 2 2" xfId="1416"/>
    <cellStyle name="60% - 强调文字颜色 6 4 14" xfId="1417"/>
    <cellStyle name="origAmountCrD 6 2 2 9" xfId="1418"/>
    <cellStyle name="Accent3 3 2 7" xfId="1419"/>
    <cellStyle name="origAmountDrD 7 2 2 7" xfId="1420"/>
    <cellStyle name="Accent4 13 16" xfId="1421"/>
    <cellStyle name="20% - 强调文字颜色 1 2 2 12" xfId="1422"/>
    <cellStyle name="Header2 3 29" xfId="1423"/>
    <cellStyle name="常规 87 3 12" xfId="1424"/>
    <cellStyle name="常规 92 3 12" xfId="1425"/>
    <cellStyle name="40% - 强调文字颜色 3 2 2 3" xfId="1426"/>
    <cellStyle name="60% - 强调文字颜色 6 4 15" xfId="1427"/>
    <cellStyle name="Accent3 3 2 8" xfId="1428"/>
    <cellStyle name="origAmountDrD 7 2 2 8" xfId="1429"/>
    <cellStyle name="Accent4 13 17" xfId="1430"/>
    <cellStyle name="20% - 强调文字颜色 1 2 2 13" xfId="1431"/>
    <cellStyle name="常规 87 3 13" xfId="1432"/>
    <cellStyle name="常规 92 3 13" xfId="1433"/>
    <cellStyle name="40% - 强调文字颜色 3 2 2 4" xfId="1434"/>
    <cellStyle name="60% - 强调文字颜色 6 4 16" xfId="1435"/>
    <cellStyle name="40% - 强调文字颜色 3 2 7" xfId="1436"/>
    <cellStyle name="20% - 强调文字颜色 2 2 2" xfId="1437"/>
    <cellStyle name="Accent3 3 2 9" xfId="1438"/>
    <cellStyle name="origAmountDrD 7 2 2 9" xfId="1439"/>
    <cellStyle name="Accent4 13 18" xfId="1440"/>
    <cellStyle name="20% - 强调文字颜色 1 2 2 14" xfId="1441"/>
    <cellStyle name="Accent6 - 40% 10" xfId="1442"/>
    <cellStyle name="常规 87 3 14" xfId="1443"/>
    <cellStyle name="常规 92 3 14" xfId="1444"/>
    <cellStyle name="40% - 强调文字颜色 3 2 2 5" xfId="1445"/>
    <cellStyle name="60% - 强调文字颜色 6 4 17" xfId="1446"/>
    <cellStyle name="40% - 强调文字颜色 3 2 8" xfId="1447"/>
    <cellStyle name="20% - 强调文字颜色 2 2 3" xfId="1448"/>
    <cellStyle name="Accent6 - 40% 11" xfId="1449"/>
    <cellStyle name="常规 87 3 15" xfId="1450"/>
    <cellStyle name="常规 92 3 15" xfId="1451"/>
    <cellStyle name="40% - 强调文字颜色 3 2 2 6" xfId="1452"/>
    <cellStyle name="60% - 强调文字颜色 6 4 18" xfId="1453"/>
    <cellStyle name="20% - 强调文字颜色 1 2 2 15" xfId="1454"/>
    <cellStyle name="40% - 强调文字颜色 3 2 9" xfId="1455"/>
    <cellStyle name="20% - 强调文字颜色 2 2 4" xfId="1456"/>
    <cellStyle name="Accent6 - 40% 12" xfId="1457"/>
    <cellStyle name="常规 87 3 16" xfId="1458"/>
    <cellStyle name="常规 92 3 16" xfId="1459"/>
    <cellStyle name="40% - 强调文字颜色 3 2 2 7" xfId="1460"/>
    <cellStyle name="20% - 强调文字颜色 1 2 2 16" xfId="1461"/>
    <cellStyle name="20% - 强调文字颜色 2 2 5" xfId="1462"/>
    <cellStyle name="Accent6 - 40% 13" xfId="1463"/>
    <cellStyle name="常规 87 3 17" xfId="1464"/>
    <cellStyle name="常规 92 3 17" xfId="1465"/>
    <cellStyle name="40% - 强调文字颜色 3 2 2 8" xfId="1466"/>
    <cellStyle name="20% - 强调文字颜色 1 2 2 17" xfId="1467"/>
    <cellStyle name="20% - 强调文字颜色 2 2 6" xfId="1468"/>
    <cellStyle name="Accent6 - 40% 14" xfId="1469"/>
    <cellStyle name="标题1 14 2" xfId="1470"/>
    <cellStyle name="常规 87 3 18" xfId="1471"/>
    <cellStyle name="常规 92 3 18" xfId="1472"/>
    <cellStyle name="汇总 2 2 2 3 2 2" xfId="1473"/>
    <cellStyle name="40% - 强调文字颜色 3 2 2 9" xfId="1474"/>
    <cellStyle name="20% - 强调文字颜色 1 2 2 18" xfId="1475"/>
    <cellStyle name="20% - 强调文字颜色 1 2 2 2" xfId="1476"/>
    <cellStyle name="20% - 强调文字颜色 1 2 2 3" xfId="1477"/>
    <cellStyle name="origAmountCrD 6 2 2 12" xfId="1478"/>
    <cellStyle name="商品名称 4 7" xfId="1479"/>
    <cellStyle name="20% - 强调文字颜色 1 2 2 3 2" xfId="1480"/>
    <cellStyle name="20% - 强调文字颜色 1 2 2 3 2 2" xfId="1481"/>
    <cellStyle name="常规 106 2 2 15" xfId="1482"/>
    <cellStyle name="常规 111 2 2 15" xfId="1483"/>
    <cellStyle name="Accent5 - 40% 3 2" xfId="1484"/>
    <cellStyle name="Accent3 - 20% 3 6" xfId="1485"/>
    <cellStyle name="20% - 强调文字颜色 2 2 5 2 2" xfId="1486"/>
    <cellStyle name="Input [yellow] 4 2 2 2" xfId="1487"/>
    <cellStyle name="60% - 强调文字颜色 3 4 2" xfId="1488"/>
    <cellStyle name="20% - 强调文字颜色 1 2 2 3 2 3" xfId="1489"/>
    <cellStyle name="常规 106 2 2 16" xfId="1490"/>
    <cellStyle name="常规 111 2 2 16" xfId="1491"/>
    <cellStyle name="PSHeading 4 17" xfId="1492"/>
    <cellStyle name="Accent1 4 13" xfId="1493"/>
    <cellStyle name="Accent5 10 16" xfId="1494"/>
    <cellStyle name="常规 89 19" xfId="1495"/>
    <cellStyle name="常规 94 19" xfId="1496"/>
    <cellStyle name="Accent1 - 20% 3 14" xfId="1497"/>
    <cellStyle name="20% - 强调文字颜色 1 4 14" xfId="1498"/>
    <cellStyle name="20% - 强调文字颜色 1 2 3 8" xfId="1499"/>
    <cellStyle name="40% - 强调文字颜色 2 2 8" xfId="1500"/>
    <cellStyle name="标题 3 3 11 13" xfId="1501"/>
    <cellStyle name="20% - 强调文字颜色 1 2 3" xfId="1502"/>
    <cellStyle name="20% - 强调文字颜色 1 2 3 10" xfId="1503"/>
    <cellStyle name="输出 3 2 7 2 2" xfId="1504"/>
    <cellStyle name="20% - 强调文字颜色 1 2 3 11" xfId="1505"/>
    <cellStyle name="20% - 强调文字颜色 2 2 2 2" xfId="1506"/>
    <cellStyle name="输出 3 2 7 2 3" xfId="1507"/>
    <cellStyle name="20% - 强调文字颜色 1 2 3 12" xfId="1508"/>
    <cellStyle name="20% - 强调文字颜色 2 2 2 3" xfId="1509"/>
    <cellStyle name="输出 3 2 7 2 4" xfId="1510"/>
    <cellStyle name="20% - 强调文字颜色 1 2 3 13" xfId="1511"/>
    <cellStyle name="20% - 强调文字颜色 2 2 2 4" xfId="1512"/>
    <cellStyle name="输出 3 2 7 2 5" xfId="1513"/>
    <cellStyle name="20% - 强调文字颜色 1 2 3 14" xfId="1514"/>
    <cellStyle name="origAmountDrD 11 3 2 2" xfId="1515"/>
    <cellStyle name="20% - 强调文字颜色 2 2 2 5" xfId="1516"/>
    <cellStyle name="20% - 强调文字颜色 2 2 2 3 2" xfId="1517"/>
    <cellStyle name="输出 3 2 7 2 6" xfId="1518"/>
    <cellStyle name="20% - 强调文字颜色 1 2 3 15" xfId="1519"/>
    <cellStyle name="origAmountDrD 11 3 2 3" xfId="1520"/>
    <cellStyle name="20% - 强调文字颜色 2 2 2 6" xfId="1521"/>
    <cellStyle name="Accent5 15 2 2" xfId="1522"/>
    <cellStyle name="20% - 强调文字颜色 2 2 2 3 3" xfId="1523"/>
    <cellStyle name="输出 3 2 7 2 7" xfId="1524"/>
    <cellStyle name="20% - 强调文字颜色 1 2 3 16" xfId="1525"/>
    <cellStyle name="Accent2 2 2 2" xfId="1526"/>
    <cellStyle name="20% - 强调文字颜色 2 2 2 7" xfId="1527"/>
    <cellStyle name="输出 3 2 7 2 8" xfId="1528"/>
    <cellStyle name="20% - 强调文字颜色 1 2 3 17" xfId="1529"/>
    <cellStyle name="输入 2 3 2 2 2" xfId="1530"/>
    <cellStyle name="Accent2 2 2 3" xfId="1531"/>
    <cellStyle name="20% - 强调文字颜色 2 2 2 8" xfId="1532"/>
    <cellStyle name="输出 3 2 7 2 9" xfId="1533"/>
    <cellStyle name="20% - 强调文字颜色 1 2 3 18" xfId="1534"/>
    <cellStyle name="强调文字颜色 1 2" xfId="1535"/>
    <cellStyle name="输入 2 3 2 2 3" xfId="1536"/>
    <cellStyle name="Accent2 2 2 4" xfId="1537"/>
    <cellStyle name="20% - 强调文字颜色 2 2 2 9" xfId="1538"/>
    <cellStyle name="Accent3 2 2 4" xfId="1539"/>
    <cellStyle name="20% - 强调文字颜色 3 2 2 9" xfId="1540"/>
    <cellStyle name="20% - 强调文字颜色 4 2 2 17" xfId="1541"/>
    <cellStyle name="20% - 强调文字颜色 1 2 3 2" xfId="1542"/>
    <cellStyle name="20% - 强调文字颜色 4 2 2 18" xfId="1543"/>
    <cellStyle name="20% - 强调文字颜色 1 2 3 3" xfId="1544"/>
    <cellStyle name="Input [yellow] 2 13 11" xfId="1545"/>
    <cellStyle name="20% - 强调文字颜色 1 2 3 3 2" xfId="1546"/>
    <cellStyle name="Input [yellow] 5 2 2 2" xfId="1547"/>
    <cellStyle name="Accent1 6 2" xfId="1548"/>
    <cellStyle name="常规 56 13" xfId="1549"/>
    <cellStyle name="常规 61 13" xfId="1550"/>
    <cellStyle name="Accent5 26" xfId="1551"/>
    <cellStyle name="Accent5 31" xfId="1552"/>
    <cellStyle name="20% - 强调文字颜色 1 2 3 3 2 3" xfId="1553"/>
    <cellStyle name="常规 101 3 3 3" xfId="1554"/>
    <cellStyle name="40% - 强调文字颜色 6 2 3 14" xfId="1555"/>
    <cellStyle name="Input [yellow] 2 13 12" xfId="1556"/>
    <cellStyle name="20% - 强调文字颜色 1 2 3 3 3" xfId="1557"/>
    <cellStyle name="PSHeading 4 15" xfId="1558"/>
    <cellStyle name="Accent1 4 11" xfId="1559"/>
    <cellStyle name="Accent5 10 14" xfId="1560"/>
    <cellStyle name="Accent6 - 60% 9" xfId="1561"/>
    <cellStyle name="常规 89 17" xfId="1562"/>
    <cellStyle name="常规 89 22" xfId="1563"/>
    <cellStyle name="常规 94 17" xfId="1564"/>
    <cellStyle name="常规 94 22" xfId="1565"/>
    <cellStyle name="Accent1 - 20% 3 12" xfId="1566"/>
    <cellStyle name="20% - 强调文字颜色 1 4 12" xfId="1567"/>
    <cellStyle name="20% - 强调文字颜色 1 2 3 6" xfId="1568"/>
    <cellStyle name="计算 3 3 5 10" xfId="1569"/>
    <cellStyle name="PSHeading 4 18" xfId="1570"/>
    <cellStyle name="Accent1 4 14" xfId="1571"/>
    <cellStyle name="Accent5 10 17" xfId="1572"/>
    <cellStyle name="Accent1 - 20% 3 15" xfId="1573"/>
    <cellStyle name="20% - 强调文字颜色 1 4 15" xfId="1574"/>
    <cellStyle name="20% - 强调文字颜色 1 2 3 9" xfId="1575"/>
    <cellStyle name="40% - 强调文字颜色 2 2 9" xfId="1576"/>
    <cellStyle name="标题 3 3 11 14" xfId="1577"/>
    <cellStyle name="20% - 强调文字颜色 1 2 4" xfId="1578"/>
    <cellStyle name="计算 3 3 5 11" xfId="1579"/>
    <cellStyle name="PSHeading 4 19" xfId="1580"/>
    <cellStyle name="Accent1 4 15" xfId="1581"/>
    <cellStyle name="Accent5 10 18" xfId="1582"/>
    <cellStyle name="Accent1 - 20% 3 16" xfId="1583"/>
    <cellStyle name="20% - 强调文字颜色 1 4 16" xfId="1584"/>
    <cellStyle name="标题 3 3 11 15" xfId="1585"/>
    <cellStyle name="20% - 强调文字颜色 1 2 5" xfId="1586"/>
    <cellStyle name="输出 3 7 2 6" xfId="1587"/>
    <cellStyle name="20% - 强调文字颜色 1 2 5 2" xfId="1588"/>
    <cellStyle name="20% - 强调文字颜色 1 2 5 2 3" xfId="1589"/>
    <cellStyle name="汇总 2 2 11 4" xfId="1590"/>
    <cellStyle name="Accent3 10 2" xfId="1591"/>
    <cellStyle name="输出 3 7 2 7" xfId="1592"/>
    <cellStyle name="20% - 强调文字颜色 1 2 5 3" xfId="1593"/>
    <cellStyle name="计算 3 3 5 12" xfId="1594"/>
    <cellStyle name="Accent1 4 16" xfId="1595"/>
    <cellStyle name="Accent1 - 20% 3 17" xfId="1596"/>
    <cellStyle name="20% - 强调文字颜色 1 4 17" xfId="1597"/>
    <cellStyle name="Accent1 13 3 2 2" xfId="1598"/>
    <cellStyle name="标题 3 3 11 16" xfId="1599"/>
    <cellStyle name="20% - 强调文字颜色 1 2 6" xfId="1600"/>
    <cellStyle name="Accent1 4 17" xfId="1601"/>
    <cellStyle name="Accent1 - 20% 3 18" xfId="1602"/>
    <cellStyle name="20% - 强调文字颜色 1 4 18" xfId="1603"/>
    <cellStyle name="Accent1 13 3 2 3" xfId="1604"/>
    <cellStyle name="标题 3 3 11 17" xfId="1605"/>
    <cellStyle name="20% - 强调文字颜色 1 2 7" xfId="1606"/>
    <cellStyle name="常规 87 9" xfId="1607"/>
    <cellStyle name="常规 92 9" xfId="1608"/>
    <cellStyle name="Accent1 6 3 2 2" xfId="1609"/>
    <cellStyle name="20% - 强调文字颜色 1 2 8" xfId="1610"/>
    <cellStyle name="Accent1 6 3 2 3" xfId="1611"/>
    <cellStyle name="20% - 强调文字颜色 1 2 9" xfId="1612"/>
    <cellStyle name="计算 3 3 4 13" xfId="1613"/>
    <cellStyle name="Accent1 3 17" xfId="1614"/>
    <cellStyle name="origAmountDrD 5 2 17" xfId="1615"/>
    <cellStyle name="Accent1 - 20% 2 18" xfId="1616"/>
    <cellStyle name="origAmountDrD 12 2 2 4" xfId="1617"/>
    <cellStyle name="输出 2 2 8 9" xfId="1618"/>
    <cellStyle name="20% - 强调文字颜色 1 3 18" xfId="1619"/>
    <cellStyle name="输入 2 6 2 10" xfId="1620"/>
    <cellStyle name="常规 178 16" xfId="1621"/>
    <cellStyle name="40% - 强调文字颜色 3 4 9" xfId="1622"/>
    <cellStyle name="20% - 强调文字颜色 2 4 4" xfId="1623"/>
    <cellStyle name="常规 119 3 3 2" xfId="1624"/>
    <cellStyle name="常规 124 3 3 2" xfId="1625"/>
    <cellStyle name="常规 88 3 13" xfId="1626"/>
    <cellStyle name="常规 93 3 13" xfId="1627"/>
    <cellStyle name="Accent1 - 20% 2 2 13" xfId="1628"/>
    <cellStyle name="输出 2 9 12" xfId="1629"/>
    <cellStyle name="20% - 强调文字颜色 1 3 2 13" xfId="1630"/>
    <cellStyle name="20% - 强调文字颜色 2 4 5" xfId="1631"/>
    <cellStyle name="常规 119 3 3 3" xfId="1632"/>
    <cellStyle name="常规 124 3 3 3" xfId="1633"/>
    <cellStyle name="常规 88 3 14" xfId="1634"/>
    <cellStyle name="常规 93 3 14" xfId="1635"/>
    <cellStyle name="Accent1 - 20% 2 2 14" xfId="1636"/>
    <cellStyle name="输出 2 9 13" xfId="1637"/>
    <cellStyle name="20% - 强调文字颜色 1 3 2 14" xfId="1638"/>
    <cellStyle name="20% - 强调文字颜色 2 4 6" xfId="1639"/>
    <cellStyle name="常规 88 3 15" xfId="1640"/>
    <cellStyle name="常规 93 3 15" xfId="1641"/>
    <cellStyle name="Accent1 - 20% 2 2 15" xfId="1642"/>
    <cellStyle name="Input [yellow] 2 2 10" xfId="1643"/>
    <cellStyle name="输出 2 9 14" xfId="1644"/>
    <cellStyle name="20% - 强调文字颜色 1 3 2 15" xfId="1645"/>
    <cellStyle name="60% - 强调文字颜色 4 3 2 3 2 2" xfId="1646"/>
    <cellStyle name="20% - 强调文字颜色 2 4 7" xfId="1647"/>
    <cellStyle name="常规 88 3 16" xfId="1648"/>
    <cellStyle name="常规 93 3 16" xfId="1649"/>
    <cellStyle name="Accent1 - 20% 2 2 16" xfId="1650"/>
    <cellStyle name="Input [yellow] 2 2 11" xfId="1651"/>
    <cellStyle name="20% - 强调文字颜色 1 3 2 16" xfId="1652"/>
    <cellStyle name="60% - 强调文字颜色 4 3 2 3 2 3" xfId="1653"/>
    <cellStyle name="20% - 强调文字颜色 2 4 8" xfId="1654"/>
    <cellStyle name="origAmountCrD 12 2 2 2" xfId="1655"/>
    <cellStyle name="常规 88 3 17" xfId="1656"/>
    <cellStyle name="常规 93 3 17" xfId="1657"/>
    <cellStyle name="Accent1 - 20% 2 2 17" xfId="1658"/>
    <cellStyle name="Input [yellow] 2 2 12" xfId="1659"/>
    <cellStyle name="20% - 强调文字颜色 1 3 2 17" xfId="1660"/>
    <cellStyle name="20% - 强调文字颜色 2 4 9" xfId="1661"/>
    <cellStyle name="origAmountCrD 12 2 2 3" xfId="1662"/>
    <cellStyle name="常规 88 3 18" xfId="1663"/>
    <cellStyle name="常规 93 3 18" xfId="1664"/>
    <cellStyle name="Accent1 - 20% 2 2 18" xfId="1665"/>
    <cellStyle name="Input [yellow] 2 2 13" xfId="1666"/>
    <cellStyle name="20% - 强调文字颜色 1 3 2 18" xfId="1667"/>
    <cellStyle name="计算 2 2 11 2 4" xfId="1668"/>
    <cellStyle name="Accent3 - 40% 3 15" xfId="1669"/>
    <cellStyle name="Accent1 13 9" xfId="1670"/>
    <cellStyle name="Input [yellow] 2 2 2 2" xfId="1671"/>
    <cellStyle name="20% - 强调文字颜色 1 3 2 3 2" xfId="1672"/>
    <cellStyle name="常规 88 3 3 2" xfId="1673"/>
    <cellStyle name="常规 93 3 3 2" xfId="1674"/>
    <cellStyle name="Accent1 - 20% 2 2 3 2" xfId="1675"/>
    <cellStyle name="Accent5 - 40% 2 9" xfId="1676"/>
    <cellStyle name="Header2 7" xfId="1677"/>
    <cellStyle name="Input [yellow] 3 12 2 15" xfId="1678"/>
    <cellStyle name="常规 150 3 3 2" xfId="1679"/>
    <cellStyle name="常规 145 3 3 2" xfId="1680"/>
    <cellStyle name="输出 2 9 2 8" xfId="1681"/>
    <cellStyle name="常规 88 3 3 2 2" xfId="1682"/>
    <cellStyle name="常规 93 3 3 2 2" xfId="1683"/>
    <cellStyle name="Accent1 - 20% 2 2 3 2 2" xfId="1684"/>
    <cellStyle name="60% - 强调文字颜色 3 2 3 10" xfId="1685"/>
    <cellStyle name="Input [yellow] 2 2 2 2 2" xfId="1686"/>
    <cellStyle name="强调文字颜色 5 2 3 7" xfId="1687"/>
    <cellStyle name="20% - 强调文字颜色 1 3 2 3 2 2" xfId="1688"/>
    <cellStyle name="常规 116 2 2 15" xfId="1689"/>
    <cellStyle name="常规 121 2 2 15" xfId="1690"/>
    <cellStyle name="Header2 8" xfId="1691"/>
    <cellStyle name="Input [yellow] 3 12 2 16" xfId="1692"/>
    <cellStyle name="常规 150 3 3 3" xfId="1693"/>
    <cellStyle name="常规 145 3 3 3" xfId="1694"/>
    <cellStyle name="输出 2 9 2 9" xfId="1695"/>
    <cellStyle name="常规 88 3 3 2 3" xfId="1696"/>
    <cellStyle name="常规 93 3 3 2 3" xfId="1697"/>
    <cellStyle name="Accent1 - 20% 2 2 3 2 3" xfId="1698"/>
    <cellStyle name="60% - 强调文字颜色 3 2 3 11" xfId="1699"/>
    <cellStyle name="Input [yellow] 2 2 2 2 3" xfId="1700"/>
    <cellStyle name="强调文字颜色 5 2 3 8" xfId="1701"/>
    <cellStyle name="20% - 强调文字颜色 1 3 2 3 2 3" xfId="1702"/>
    <cellStyle name="常规 116 2 2 16" xfId="1703"/>
    <cellStyle name="常规 121 2 2 16" xfId="1704"/>
    <cellStyle name="Accent1 - 40% 2 2 4" xfId="1705"/>
    <cellStyle name="20% - 强调文字颜色 2 2 3 10" xfId="1706"/>
    <cellStyle name="计算 2 2 11 2 5" xfId="1707"/>
    <cellStyle name="Accent3 - 40% 3 16" xfId="1708"/>
    <cellStyle name="Input [yellow] 2 2 2 3" xfId="1709"/>
    <cellStyle name="20% - 强调文字颜色 1 3 2 3 3" xfId="1710"/>
    <cellStyle name="常规 88 3 3 3" xfId="1711"/>
    <cellStyle name="常规 93 3 3 3" xfId="1712"/>
    <cellStyle name="常规 108 2 4 2" xfId="1713"/>
    <cellStyle name="常规 113 2 4 2" xfId="1714"/>
    <cellStyle name="Accent1 - 20% 2 2 3 3" xfId="1715"/>
    <cellStyle name="origAmountDrD 5 2 2 4" xfId="1716"/>
    <cellStyle name="Accent2 13 13" xfId="1717"/>
    <cellStyle name="常规 88 3 9" xfId="1718"/>
    <cellStyle name="常规 93 3 9" xfId="1719"/>
    <cellStyle name="Accent1 - 20% 2 2 9" xfId="1720"/>
    <cellStyle name="Accent1 3 2 4" xfId="1721"/>
    <cellStyle name="输入 2 2 3 2 3" xfId="1722"/>
    <cellStyle name="origAmountCrD 4 2 2 6" xfId="1723"/>
    <cellStyle name="Input [yellow] 2 2 8" xfId="1724"/>
    <cellStyle name="输入 3 2 4 2 10" xfId="1725"/>
    <cellStyle name="20% - 强调文字颜色 1 3 2 9" xfId="1726"/>
    <cellStyle name="输出 3 4 15" xfId="1727"/>
    <cellStyle name="输出 3 4 20" xfId="1728"/>
    <cellStyle name="常规 147 3 3 2 2" xfId="1729"/>
    <cellStyle name="常规 152 3 3 2 2" xfId="1730"/>
    <cellStyle name="20% - 强调文字颜色 1 3 3 2" xfId="1731"/>
    <cellStyle name="Accent6 - 60% 12" xfId="1732"/>
    <cellStyle name="输入 2 2 13 3" xfId="1733"/>
    <cellStyle name="Accent1 - 20% 3 3 2" xfId="1734"/>
    <cellStyle name="百分比 2 14" xfId="1735"/>
    <cellStyle name="20% - 强调文字颜色 6 4 3 2 3" xfId="1736"/>
    <cellStyle name="Input [yellow] 3 2 11" xfId="1737"/>
    <cellStyle name="60% - 强调文字颜色 1 2 2 9" xfId="1738"/>
    <cellStyle name="20% - 强调文字颜色 1 4 3 2" xfId="1739"/>
    <cellStyle name="常规 38 3 13" xfId="1740"/>
    <cellStyle name="常规 43 3 13" xfId="1741"/>
    <cellStyle name="常规 109 3 3 2" xfId="1742"/>
    <cellStyle name="常规 114 3 3 2" xfId="1743"/>
    <cellStyle name="Input [yellow] 3 6 2 16" xfId="1744"/>
    <cellStyle name="Accent1 - 20% 3 3 2 3" xfId="1745"/>
    <cellStyle name="20% - 强调文字颜色 1 4 3 2 3" xfId="1746"/>
    <cellStyle name="输出 3 2 9 12" xfId="1747"/>
    <cellStyle name="40% - 强调文字颜色 4 3" xfId="1748"/>
    <cellStyle name="Accent2 4 11" xfId="1749"/>
    <cellStyle name="20% - 强调文字颜色 2 4 12" xfId="1750"/>
    <cellStyle name="输入 3 3 4 17" xfId="1751"/>
    <cellStyle name="常规 89 5" xfId="1752"/>
    <cellStyle name="常规 94 5" xfId="1753"/>
    <cellStyle name="Accent1 - 20% 3 4" xfId="1754"/>
    <cellStyle name="常规 168 16" xfId="1755"/>
    <cellStyle name="常规 168 21" xfId="1756"/>
    <cellStyle name="常规 173 16" xfId="1757"/>
    <cellStyle name="40% - 强调文字颜色 2 4 9" xfId="1758"/>
    <cellStyle name="Input [yellow] 12 2 14" xfId="1759"/>
    <cellStyle name="注释 3 4 2 7" xfId="1760"/>
    <cellStyle name="输出 3 10 9" xfId="1761"/>
    <cellStyle name="20% - 强调文字颜色 1 4 4" xfId="1762"/>
    <cellStyle name="输出 3 2 9 13" xfId="1763"/>
    <cellStyle name="40% - 强调文字颜色 4 4" xfId="1764"/>
    <cellStyle name="Accent2 4 12" xfId="1765"/>
    <cellStyle name="20% - 强调文字颜色 2 4 13" xfId="1766"/>
    <cellStyle name="常规 89 6" xfId="1767"/>
    <cellStyle name="常规 94 6" xfId="1768"/>
    <cellStyle name="Accent1 - 20% 3 5" xfId="1769"/>
    <cellStyle name="Input [yellow] 12 2 15" xfId="1770"/>
    <cellStyle name="常规 38 3 3 2" xfId="1771"/>
    <cellStyle name="常规 43 3 3 2" xfId="1772"/>
    <cellStyle name="20% - 强调文字颜色 1 4 5" xfId="1773"/>
    <cellStyle name="Header2 3 11 2 2" xfId="1774"/>
    <cellStyle name="输出 3 2 9 14" xfId="1775"/>
    <cellStyle name="Accent2 4 13" xfId="1776"/>
    <cellStyle name="20% - 强调文字颜色 2 4 14" xfId="1777"/>
    <cellStyle name="常规 89 7" xfId="1778"/>
    <cellStyle name="常规 94 7" xfId="1779"/>
    <cellStyle name="Accent1 - 20% 3 6" xfId="1780"/>
    <cellStyle name="Accent3 - 40% 3 2" xfId="1781"/>
    <cellStyle name="Input [yellow] 12 2 16" xfId="1782"/>
    <cellStyle name="常规 38 3 3 3" xfId="1783"/>
    <cellStyle name="常规 43 3 3 3" xfId="1784"/>
    <cellStyle name="20% - 强调文字颜色 1 4 6" xfId="1785"/>
    <cellStyle name="输出 3 2 9 15" xfId="1786"/>
    <cellStyle name="Accent2 4 14" xfId="1787"/>
    <cellStyle name="20% - 强调文字颜色 2 4 15" xfId="1788"/>
    <cellStyle name="常规 89 8" xfId="1789"/>
    <cellStyle name="常规 94 8" xfId="1790"/>
    <cellStyle name="Accent1 - 20% 3 7" xfId="1791"/>
    <cellStyle name="Accent3 - 40% 3 3" xfId="1792"/>
    <cellStyle name="Input [yellow] 12 2 17" xfId="1793"/>
    <cellStyle name="20% - 强调文字颜色 1 4 7" xfId="1794"/>
    <cellStyle name="输出 3 2 9 16" xfId="1795"/>
    <cellStyle name="Accent2 4 15" xfId="1796"/>
    <cellStyle name="20% - 强调文字颜色 2 4 16" xfId="1797"/>
    <cellStyle name="常规 89 9" xfId="1798"/>
    <cellStyle name="常规 94 9" xfId="1799"/>
    <cellStyle name="Accent1 - 20% 3 8" xfId="1800"/>
    <cellStyle name="Accent3 - 40% 3 4" xfId="1801"/>
    <cellStyle name="20% - 强调文字颜色 1 4 8" xfId="1802"/>
    <cellStyle name="输出 3 2 9 17" xfId="1803"/>
    <cellStyle name="Accent2 4 16" xfId="1804"/>
    <cellStyle name="20% - 强调文字颜色 2 4 17" xfId="1805"/>
    <cellStyle name="Accent1 - 20% 3 9" xfId="1806"/>
    <cellStyle name="Accent3 - 40% 3 5" xfId="1807"/>
    <cellStyle name="20% - 强调文字颜色 1 4 9" xfId="1808"/>
    <cellStyle name="Accent2 10 17" xfId="1809"/>
    <cellStyle name="20% - 强调文字颜色 2 2" xfId="1810"/>
    <cellStyle name="Accent3 5 12" xfId="1811"/>
    <cellStyle name="20% - 强调文字颜色 2 2 10" xfId="1812"/>
    <cellStyle name="输出 3 2 7 11" xfId="1813"/>
    <cellStyle name="汇总 2 2 6 2 5" xfId="1814"/>
    <cellStyle name="Accent2 2 10" xfId="1815"/>
    <cellStyle name="常规 138 3 8" xfId="1816"/>
    <cellStyle name="常规 143 3 8" xfId="1817"/>
    <cellStyle name="20% - 强调文字颜色 3 4 3 2 2" xfId="1818"/>
    <cellStyle name="20% - 强调文字颜色 2 2 11" xfId="1819"/>
    <cellStyle name="输出 3 2 7 12" xfId="1820"/>
    <cellStyle name="汇总 2 2 6 2 6" xfId="1821"/>
    <cellStyle name="Accent2 2 11" xfId="1822"/>
    <cellStyle name="常规 138 3 9" xfId="1823"/>
    <cellStyle name="常规 143 3 9" xfId="1824"/>
    <cellStyle name="常规 2 2" xfId="1825"/>
    <cellStyle name="20% - 强调文字颜色 3 4 3 2 3" xfId="1826"/>
    <cellStyle name="20% - 强调文字颜色 2 2 12" xfId="1827"/>
    <cellStyle name="输出 3 2 7 13" xfId="1828"/>
    <cellStyle name="汇总 2 2 6 2 7" xfId="1829"/>
    <cellStyle name="Accent2 2 12" xfId="1830"/>
    <cellStyle name="20% - 强调文字颜色 2 2 13" xfId="1831"/>
    <cellStyle name="输出 3 2 7 14" xfId="1832"/>
    <cellStyle name="汇总 2 2 6 2 8" xfId="1833"/>
    <cellStyle name="Accent2 2 13" xfId="1834"/>
    <cellStyle name="20% - 强调文字颜色 2 2 14" xfId="1835"/>
    <cellStyle name="常规 2 5" xfId="1836"/>
    <cellStyle name="Accent2 3 4 2 2" xfId="1837"/>
    <cellStyle name="输出 3 2 7 15" xfId="1838"/>
    <cellStyle name="汇总 2 2 6 2 9" xfId="1839"/>
    <cellStyle name="Accent2 2 14" xfId="1840"/>
    <cellStyle name="20% - 强调文字颜色 2 2 15" xfId="1841"/>
    <cellStyle name="20% - 强调文字颜色 2 2 20" xfId="1842"/>
    <cellStyle name="常规 2 6" xfId="1843"/>
    <cellStyle name="Accent2 3 4 2 3" xfId="1844"/>
    <cellStyle name="输出 3 2 7 16" xfId="1845"/>
    <cellStyle name="Accent2 2 15" xfId="1846"/>
    <cellStyle name="20% - 强调文字颜色 2 2 16" xfId="1847"/>
    <cellStyle name="20% - 强调文字颜色 2 2 21" xfId="1848"/>
    <cellStyle name="输出 3 2 7 17" xfId="1849"/>
    <cellStyle name="Accent2 2 16" xfId="1850"/>
    <cellStyle name="20% - 强调文字颜色 2 2 17" xfId="1851"/>
    <cellStyle name="20% - 强调文字颜色 2 2 22" xfId="1852"/>
    <cellStyle name="20% - 强调文字颜色 3 2 3 3 2" xfId="1853"/>
    <cellStyle name="计算 3 6 2 7" xfId="1854"/>
    <cellStyle name="输出 3 2 7 18" xfId="1855"/>
    <cellStyle name="Accent2 2 17" xfId="1856"/>
    <cellStyle name="20% - 强调文字颜色 2 2 18" xfId="1857"/>
    <cellStyle name="20% - 强调文字颜色 2 2 23" xfId="1858"/>
    <cellStyle name="20% - 强调文字颜色 3 2 3 3 3" xfId="1859"/>
    <cellStyle name="计算 3 6 2 8" xfId="1860"/>
    <cellStyle name="Input [yellow] 3 9 2 3 2" xfId="1861"/>
    <cellStyle name="Accent2 2 18" xfId="1862"/>
    <cellStyle name="20% - 强调文字颜色 2 2 19" xfId="1863"/>
    <cellStyle name="输入 2 3 4 3" xfId="1864"/>
    <cellStyle name="20% - 强调文字颜色 2 2 2 10" xfId="1865"/>
    <cellStyle name="输入 2 3 4 4" xfId="1866"/>
    <cellStyle name="20% - 强调文字颜色 2 2 2 11" xfId="1867"/>
    <cellStyle name="Linked Cells" xfId="1868"/>
    <cellStyle name="输入 2 3 4 5" xfId="1869"/>
    <cellStyle name="20% - 强调文字颜色 2 2 2 12" xfId="1870"/>
    <cellStyle name="输入 2 3 4 6" xfId="1871"/>
    <cellStyle name="20% - 强调文字颜色 2 2 2 13" xfId="1872"/>
    <cellStyle name="输入 2 3 4 9" xfId="1873"/>
    <cellStyle name="20% - 强调文字颜色 2 2 2 16" xfId="1874"/>
    <cellStyle name="20% - 强调文字颜色 2 2 2 18" xfId="1875"/>
    <cellStyle name="e鯪9Y_x000b_ 3 6" xfId="1876"/>
    <cellStyle name="20% - 强调文字颜色 2 2 2 3 2 2" xfId="1877"/>
    <cellStyle name="Input [yellow] 3 2 2 4" xfId="1878"/>
    <cellStyle name="60% - 强调文字颜色 1 2 5 2" xfId="1879"/>
    <cellStyle name="e鯪9Y_x000b_ 3 7" xfId="1880"/>
    <cellStyle name="20% - 强调文字颜色 2 2 2 3 2 3" xfId="1881"/>
    <cellStyle name="20% - 强调文字颜色 2 3 2 5" xfId="1882"/>
    <cellStyle name="origAmountDrD 2 3 10" xfId="1883"/>
    <cellStyle name="20% - 强调文字颜色 2 2 3 3 2" xfId="1884"/>
    <cellStyle name="Accent5 - 40% 3 3" xfId="1885"/>
    <cellStyle name="Accent3 - 20% 3 7" xfId="1886"/>
    <cellStyle name="20% - 强调文字颜色 2 2 5 2 3" xfId="1887"/>
    <cellStyle name="Input [yellow] 4 2 2 3" xfId="1888"/>
    <cellStyle name="60% - 强调文字颜色 3 4 3" xfId="1889"/>
    <cellStyle name="20% - 强调文字颜色 2 2 3 3 2 2" xfId="1890"/>
    <cellStyle name="60% - 强调文字颜色 2 2 5 2" xfId="1891"/>
    <cellStyle name="Input [yellow] 4 2 2 4" xfId="1892"/>
    <cellStyle name="60% - 强调文字颜色 3 4 4" xfId="1893"/>
    <cellStyle name="20% - 强调文字颜色 2 2 3 3 2 3" xfId="1894"/>
    <cellStyle name="常规 62 2 4 2 2" xfId="1895"/>
    <cellStyle name="常规 57 2 4 2 2" xfId="1896"/>
    <cellStyle name="origAmountCrD 5 2 2 3" xfId="1897"/>
    <cellStyle name="输出 3 2 8 2 6" xfId="1898"/>
    <cellStyle name="常规 35 6" xfId="1899"/>
    <cellStyle name="常规 40 6" xfId="1900"/>
    <cellStyle name="Accent3 13 10" xfId="1901"/>
    <cellStyle name="20% - 强调文字颜色 2 3 2 6" xfId="1902"/>
    <cellStyle name="origAmountDrD 2 3 11" xfId="1903"/>
    <cellStyle name="Input [yellow] 2 9 2 3 2" xfId="1904"/>
    <cellStyle name="20% - 强调文字颜色 2 2 3 3 3" xfId="1905"/>
    <cellStyle name="常规 8 2 6" xfId="1906"/>
    <cellStyle name="常规 127 2 2 2" xfId="1907"/>
    <cellStyle name="常规 132 2 2 2" xfId="1908"/>
    <cellStyle name="Accent1 14" xfId="1909"/>
    <cellStyle name="Header2 12 15" xfId="1910"/>
    <cellStyle name="20% - 强调文字颜色 2 2 5 2" xfId="1911"/>
    <cellStyle name="常规 8 2 7" xfId="1912"/>
    <cellStyle name="常规 127 2 2 3" xfId="1913"/>
    <cellStyle name="常规 132 2 2 3" xfId="1914"/>
    <cellStyle name="Accent1 20" xfId="1915"/>
    <cellStyle name="Accent1 15" xfId="1916"/>
    <cellStyle name="Header2 12 16" xfId="1917"/>
    <cellStyle name="20% - 强调文字颜色 2 2 5 3" xfId="1918"/>
    <cellStyle name="输入 3 2 8 2 9" xfId="1919"/>
    <cellStyle name="Accent2 15 2" xfId="1920"/>
    <cellStyle name="20% - 强调文字颜色 2 2 7" xfId="1921"/>
    <cellStyle name="Accent2 10 18" xfId="1922"/>
    <cellStyle name="强调文字颜色 2 2 3 2" xfId="1923"/>
    <cellStyle name="20% - 强调文字颜色 2 3" xfId="1924"/>
    <cellStyle name="Accent3 5 13" xfId="1925"/>
    <cellStyle name="20% - 强调文字颜色 2 3 10" xfId="1926"/>
    <cellStyle name="Accent3 2 8" xfId="1927"/>
    <cellStyle name="20% - 强调文字颜色 2 3 11" xfId="1928"/>
    <cellStyle name="Accent3 2 9" xfId="1929"/>
    <cellStyle name="输入 3 5 13" xfId="1930"/>
    <cellStyle name="Input [yellow] 2 2 3 2 2 5" xfId="1931"/>
    <cellStyle name="Accent3 4 3 2 2" xfId="1932"/>
    <cellStyle name="输出 3 2 8 11" xfId="1933"/>
    <cellStyle name="Accent2 3 10" xfId="1934"/>
    <cellStyle name="输出 3 2 8 12" xfId="1935"/>
    <cellStyle name="Accent2 3 11" xfId="1936"/>
    <cellStyle name="20% - 强调文字颜色 2 3 12" xfId="1937"/>
    <cellStyle name="输入 3 5 14" xfId="1938"/>
    <cellStyle name="Accent6 3 4 2" xfId="1939"/>
    <cellStyle name="Input [yellow] 2 2 3 2 2 6" xfId="1940"/>
    <cellStyle name="Accent3 4 3 2 3" xfId="1941"/>
    <cellStyle name="输出 3 2 8 14" xfId="1942"/>
    <cellStyle name="Accent2 3 13" xfId="1943"/>
    <cellStyle name="20% - 强调文字颜色 2 3 14" xfId="1944"/>
    <cellStyle name="输出 3 2 8 15" xfId="1945"/>
    <cellStyle name="Accent2 3 14" xfId="1946"/>
    <cellStyle name="20% - 强调文字颜色 2 3 15" xfId="1947"/>
    <cellStyle name="输出 3 2 8 16" xfId="1948"/>
    <cellStyle name="Accent2 3 15" xfId="1949"/>
    <cellStyle name="20% - 强调文字颜色 2 3 16" xfId="1950"/>
    <cellStyle name="输出 3 2 8 17" xfId="1951"/>
    <cellStyle name="Accent2 3 16" xfId="1952"/>
    <cellStyle name="20% - 强调文字颜色 2 3 17" xfId="1953"/>
    <cellStyle name="输出 3 2 8 18" xfId="1954"/>
    <cellStyle name="Accent2 3 17" xfId="1955"/>
    <cellStyle name="Input [yellow] 3 3 2 2 10" xfId="1956"/>
    <cellStyle name="Accent2 11 3 2" xfId="1957"/>
    <cellStyle name="20% - 强调文字颜色 2 3 18" xfId="1958"/>
    <cellStyle name="Accent6 3 10" xfId="1959"/>
    <cellStyle name="常规 132 5 2 3" xfId="1960"/>
    <cellStyle name="常规 127 5 2 3" xfId="1961"/>
    <cellStyle name="40% - 强调文字颜色 3 3 7" xfId="1962"/>
    <cellStyle name="计算 2 9 10" xfId="1963"/>
    <cellStyle name="20% - 强调文字颜色 2 3 2" xfId="1964"/>
    <cellStyle name="输出 3 2 8 2" xfId="1965"/>
    <cellStyle name="20% - 强调文字颜色 6 3 11" xfId="1966"/>
    <cellStyle name="Header2 2 9 11" xfId="1967"/>
    <cellStyle name="60% - 强调文字颜色 1 4 3 3" xfId="1968"/>
    <cellStyle name="20% - 强调文字颜色 2 3 2 13" xfId="1969"/>
    <cellStyle name="20% - 强调文字颜色 2 3 2 14" xfId="1970"/>
    <cellStyle name="Header2 2 9 13" xfId="1971"/>
    <cellStyle name="40% - 强调文字颜色 3 3 2 3 2 2" xfId="1972"/>
    <cellStyle name="20% - 强调文字颜色 2 3 2 15" xfId="1973"/>
    <cellStyle name="Header2 2 9 14" xfId="1974"/>
    <cellStyle name="40% - 强调文字颜色 3 3 2 3 2 3" xfId="1975"/>
    <cellStyle name="Accent3 2" xfId="1976"/>
    <cellStyle name="20% - 强调文字颜色 2 3 2 16" xfId="1977"/>
    <cellStyle name="origAmountDrD 7 2" xfId="1978"/>
    <cellStyle name="Header2 2 9 15" xfId="1979"/>
    <cellStyle name="Accent3 3" xfId="1980"/>
    <cellStyle name="20% - 强调文字颜色 2 3 2 17" xfId="1981"/>
    <cellStyle name="origAmountDrD 7 3" xfId="1982"/>
    <cellStyle name="Header2 2 9 16" xfId="1983"/>
    <cellStyle name="Accent1 - 60% 2 2 2" xfId="1984"/>
    <cellStyle name="Accent3 4" xfId="1985"/>
    <cellStyle name="20% - 强调文字颜色 2 3 2 18" xfId="1986"/>
    <cellStyle name="汇总 2 2 2 19" xfId="1987"/>
    <cellStyle name="20% - 强调文字颜色 2 3 2 2" xfId="1988"/>
    <cellStyle name="20% - 强调文字颜色 2 3 2 3" xfId="1989"/>
    <cellStyle name="Accent3 - 60% 2 19" xfId="1990"/>
    <cellStyle name="Accent1 8 15" xfId="1991"/>
    <cellStyle name="origAmountDrD 12 3 2 2" xfId="1992"/>
    <cellStyle name="20% - 强调文字颜色 3 2 2 5" xfId="1993"/>
    <cellStyle name="输出 3 3 4 11" xfId="1994"/>
    <cellStyle name="常规 3 2 2 11" xfId="1995"/>
    <cellStyle name="20% - 强调文字颜色 2 3 2 3 2" xfId="1996"/>
    <cellStyle name="20% - 强调文字颜色 2 3 2 3 2 3" xfId="1997"/>
    <cellStyle name="常规 57 3 3 2 2" xfId="1998"/>
    <cellStyle name="常规 62 3 3 2 2" xfId="1999"/>
    <cellStyle name="Accent1 8 16" xfId="2000"/>
    <cellStyle name="origAmountDrD 12 2 2 2 2" xfId="2001"/>
    <cellStyle name="常规 28 2 19" xfId="2002"/>
    <cellStyle name="origAmountDrD 12 3 2 3" xfId="2003"/>
    <cellStyle name="20% - 强调文字颜色 3 2 2 6" xfId="2004"/>
    <cellStyle name="输出 3 3 4 12" xfId="2005"/>
    <cellStyle name="常规 3 2 2 12" xfId="2006"/>
    <cellStyle name="20% - 强调文字颜色 2 3 2 3 3" xfId="2007"/>
    <cellStyle name="20% - 强调文字颜色 2 3 2 4" xfId="2008"/>
    <cellStyle name="常规 35 7" xfId="2009"/>
    <cellStyle name="常规 40 7" xfId="2010"/>
    <cellStyle name="origAmountDrD 6 2 2 2" xfId="2011"/>
    <cellStyle name="Accent3 13 11" xfId="2012"/>
    <cellStyle name="输出 3 2 8 2 7" xfId="2013"/>
    <cellStyle name="origAmountCrD 5 2 2 4" xfId="2014"/>
    <cellStyle name="常规 57 2 4 2 3" xfId="2015"/>
    <cellStyle name="常规 62 2 4 2 3" xfId="2016"/>
    <cellStyle name="Accent2 3 2 2" xfId="2017"/>
    <cellStyle name="Input [yellow] 3" xfId="2018"/>
    <cellStyle name="60% - 强调文字颜色 1 4 10" xfId="2019"/>
    <cellStyle name="20% - 强调文字颜色 2 3 2 7" xfId="2020"/>
    <cellStyle name="常规 35 9" xfId="2021"/>
    <cellStyle name="常规 40 9" xfId="2022"/>
    <cellStyle name="origAmountDrD 6 2 2 4" xfId="2023"/>
    <cellStyle name="Accent3 13 13" xfId="2024"/>
    <cellStyle name="输出 3 2 8 2 9" xfId="2025"/>
    <cellStyle name="origAmountCrD 5 2 2 6" xfId="2026"/>
    <cellStyle name="输入 2 3 3 2 3" xfId="2027"/>
    <cellStyle name="Accent2 3 2 4" xfId="2028"/>
    <cellStyle name="20% - 强调文字颜色 2 3 2 9" xfId="2029"/>
    <cellStyle name="Accent1 8 2" xfId="2030"/>
    <cellStyle name="Input [yellow] 5" xfId="2031"/>
    <cellStyle name="60% - 强调文字颜色 1 4 12" xfId="2032"/>
    <cellStyle name="Accent6 3 11" xfId="2033"/>
    <cellStyle name="40% - 强调文字颜色 3 3 8" xfId="2034"/>
    <cellStyle name="计算 2 9 11" xfId="2035"/>
    <cellStyle name="20% - 强调文字颜色 2 3 3" xfId="2036"/>
    <cellStyle name="输出 3 2 8 3" xfId="2037"/>
    <cellStyle name="20% - 强调文字颜色 6 3 12" xfId="2038"/>
    <cellStyle name="20% - 强调文字颜色 2 3 3 2" xfId="2039"/>
    <cellStyle name="Accent3 2 17" xfId="2040"/>
    <cellStyle name="20% - 强调文字颜色 3 2 18" xfId="2041"/>
    <cellStyle name="20% - 强调文字颜色 3 2 23" xfId="2042"/>
    <cellStyle name="20% - 强调文字颜色 2 3 3 3" xfId="2043"/>
    <cellStyle name="Accent3 2 18" xfId="2044"/>
    <cellStyle name="20% - 强调文字颜色 3 2 19" xfId="2045"/>
    <cellStyle name="20% - 强调文字颜色 6 3 13" xfId="2046"/>
    <cellStyle name="PSHeading 4 2 10" xfId="2047"/>
    <cellStyle name="输出 3 2 8 4" xfId="2048"/>
    <cellStyle name="args.style 2 2 2" xfId="2049"/>
    <cellStyle name="常规 37" xfId="2050"/>
    <cellStyle name="常规 42" xfId="2051"/>
    <cellStyle name="计算 2 9 12" xfId="2052"/>
    <cellStyle name="20% - 强调文字颜色 2 3 4" xfId="2053"/>
    <cellStyle name="40% - 强调文字颜色 3 3 9" xfId="2054"/>
    <cellStyle name="Accent6 3 12" xfId="2055"/>
    <cellStyle name="20% - 强调文字颜色 2 3 5" xfId="2056"/>
    <cellStyle name="计算 2 9 13" xfId="2057"/>
    <cellStyle name="20% - 强调文字颜色 6 3 14" xfId="2058"/>
    <cellStyle name="PSHeading 4 2 11" xfId="2059"/>
    <cellStyle name="输出 3 2 8 5" xfId="2060"/>
    <cellStyle name="20% - 强调文字颜色 2 3 7" xfId="2061"/>
    <cellStyle name="20% - 强调文字颜色 6 3 16" xfId="2062"/>
    <cellStyle name="PSHeading 4 2 13" xfId="2063"/>
    <cellStyle name="输出 3 2 8 7" xfId="2064"/>
    <cellStyle name="常规 45" xfId="2065"/>
    <cellStyle name="常规 50" xfId="2066"/>
    <cellStyle name="origAmountDrD 13 2 2 2" xfId="2067"/>
    <cellStyle name="20% - 强调文字颜色 2 3 8" xfId="2068"/>
    <cellStyle name="20% - 强调文字颜色 6 3 17" xfId="2069"/>
    <cellStyle name="PSHeading 4 2 14" xfId="2070"/>
    <cellStyle name="输出 3 2 8 8" xfId="2071"/>
    <cellStyle name="20% - 强调文字颜色 2 3 9" xfId="2072"/>
    <cellStyle name="20% - 强调文字颜色 6 3 18" xfId="2073"/>
    <cellStyle name="PSHeading 4 2 15" xfId="2074"/>
    <cellStyle name="输出 3 2 8 9" xfId="2075"/>
    <cellStyle name="输入 2 2 10 2" xfId="2076"/>
    <cellStyle name="Accent3 5 14" xfId="2077"/>
    <cellStyle name="Accent1 10 3 2 2" xfId="2078"/>
    <cellStyle name="20% - 强调文字颜色 2 4" xfId="2079"/>
    <cellStyle name="强调文字颜色 2 2 3 3" xfId="2080"/>
    <cellStyle name="20% - 强调文字颜色 2 4 3 2 2" xfId="2081"/>
    <cellStyle name="20% - 强调文字颜色 5 3 2 12" xfId="2082"/>
    <cellStyle name="20% - 强调文字颜色 2 4 3 2 3" xfId="2083"/>
    <cellStyle name="20% - 强调文字颜色 5 3 2 13" xfId="2084"/>
    <cellStyle name="20% - 强调文字颜色 3 2" xfId="2085"/>
    <cellStyle name="20% - 强调文字颜色 3 2 10" xfId="2086"/>
    <cellStyle name="Input [yellow] 2 5 2 6" xfId="2087"/>
    <cellStyle name="20% - 强调文字颜色 3 2 11" xfId="2088"/>
    <cellStyle name="Input [yellow] 2 5 2 7" xfId="2089"/>
    <cellStyle name="Accent3 2 10" xfId="2090"/>
    <cellStyle name="20% - 强调文字颜色 3 2 12" xfId="2091"/>
    <cellStyle name="Input [yellow] 2 5 2 8" xfId="2092"/>
    <cellStyle name="Accent2 - 40% 5 2" xfId="2093"/>
    <cellStyle name="Accent3 2 11" xfId="2094"/>
    <cellStyle name="20% - 强调文字颜色 3 2 13" xfId="2095"/>
    <cellStyle name="Input [yellow] 2 5 2 9" xfId="2096"/>
    <cellStyle name="Accent2 - 40% 5 3" xfId="2097"/>
    <cellStyle name="Accent3 2 12" xfId="2098"/>
    <cellStyle name="20% - 强调文字颜色 3 2 14" xfId="2099"/>
    <cellStyle name="Accent3 2 13" xfId="2100"/>
    <cellStyle name="20% - 强调文字颜色 3 2 20" xfId="2101"/>
    <cellStyle name="20% - 强调文字颜色 3 2 15" xfId="2102"/>
    <cellStyle name="Accent3 2 14" xfId="2103"/>
    <cellStyle name="Accent4 - 60% 5 2" xfId="2104"/>
    <cellStyle name="20% - 强调文字颜色 3 2 21" xfId="2105"/>
    <cellStyle name="20% - 强调文字颜色 3 2 16" xfId="2106"/>
    <cellStyle name="Accent3 2 15" xfId="2107"/>
    <cellStyle name="Accent4 - 60% 5 3" xfId="2108"/>
    <cellStyle name="20% - 强调文字颜色 3 2 22" xfId="2109"/>
    <cellStyle name="20% - 强调文字颜色 3 2 17" xfId="2110"/>
    <cellStyle name="Accent3 2 16" xfId="2111"/>
    <cellStyle name="60% - 强调文字颜色 2 2 3 17" xfId="2112"/>
    <cellStyle name="Accent2 - 20% 3 18" xfId="2113"/>
    <cellStyle name="comma zerodec 12" xfId="2114"/>
    <cellStyle name="20% - 强调文字颜色 3 2 2" xfId="2115"/>
    <cellStyle name="60% - 强调文字颜色 1 2 2 3 3" xfId="2116"/>
    <cellStyle name="Accent2 - 40% 15" xfId="2117"/>
    <cellStyle name="Accent2 - 40% 20" xfId="2118"/>
    <cellStyle name="40% - 强调文字颜色 4 2 7" xfId="2119"/>
    <cellStyle name="20% - 强调文字颜色 3 2 2 10" xfId="2120"/>
    <cellStyle name="Header2 3 12 13" xfId="2121"/>
    <cellStyle name="常规 113 5 3" xfId="2122"/>
    <cellStyle name="常规 108 5 3" xfId="2123"/>
    <cellStyle name="20% - 强调文字颜色 3 2 2 11" xfId="2124"/>
    <cellStyle name="Header2 3 12 14" xfId="2125"/>
    <cellStyle name="20% - 强调文字颜色 3 2 2 12" xfId="2126"/>
    <cellStyle name="Header2 3 12 15" xfId="2127"/>
    <cellStyle name="20% - 强调文字颜色 3 2 2 13" xfId="2128"/>
    <cellStyle name="Header2 3 12 16" xfId="2129"/>
    <cellStyle name="Header2 3 12 17" xfId="2130"/>
    <cellStyle name="计算 3 5 10" xfId="2131"/>
    <cellStyle name="20% - 强调文字颜色 3 2 2 14" xfId="2132"/>
    <cellStyle name="计算 3 5 11" xfId="2133"/>
    <cellStyle name="20% - 强调文字颜色 3 2 2 15" xfId="2134"/>
    <cellStyle name="Date 3 2" xfId="2135"/>
    <cellStyle name="计算 3 5 12" xfId="2136"/>
    <cellStyle name="20% - 强调文字颜色 3 2 2 16" xfId="2137"/>
    <cellStyle name="Accent1 2 2" xfId="2138"/>
    <cellStyle name="Currency [0]_!!!GO" xfId="2139"/>
    <cellStyle name="20% - 强调文字颜色 3 2 2 2" xfId="2140"/>
    <cellStyle name="Accent1 8 12" xfId="2141"/>
    <cellStyle name="PSHeading 8 16" xfId="2142"/>
    <cellStyle name="常规 94 2 2 18" xfId="2143"/>
    <cellStyle name="常规 89 2 2 18" xfId="2144"/>
    <cellStyle name="Accent3 - 60% 2 16" xfId="2145"/>
    <cellStyle name="Accent4 8" xfId="2146"/>
    <cellStyle name="Header2 3 2 3 3" xfId="2147"/>
    <cellStyle name="20% - 强调文字颜色 3 2 2 4" xfId="2148"/>
    <cellStyle name="Accent1 8 14" xfId="2149"/>
    <cellStyle name="Accent3 - 60% 2 18" xfId="2150"/>
    <cellStyle name="计算 3 2 3 3 2 3" xfId="2151"/>
    <cellStyle name="20% - 强调文字颜色 3 2 2 7" xfId="2152"/>
    <cellStyle name="Accent3 2 2 2" xfId="2153"/>
    <cellStyle name="Accent1 8 17" xfId="2154"/>
    <cellStyle name="常规 62 3 3 2 3" xfId="2155"/>
    <cellStyle name="常规 57 3 3 2 3" xfId="2156"/>
    <cellStyle name="20% - 强调文字颜色 3 2 2 8" xfId="2157"/>
    <cellStyle name="Accent3 2 2 3" xfId="2158"/>
    <cellStyle name="Accent1 8 18" xfId="2159"/>
    <cellStyle name="60% - 强调文字颜色 2 2 3 18" xfId="2160"/>
    <cellStyle name="comma zerodec 13" xfId="2161"/>
    <cellStyle name="20% - 强调文字颜色 3 2 3" xfId="2162"/>
    <cellStyle name="常规 152 5 2 2" xfId="2163"/>
    <cellStyle name="常规 147 5 2 2" xfId="2164"/>
    <cellStyle name="标题 3 2 8 14" xfId="2165"/>
    <cellStyle name="Header2 4 2 2 2" xfId="2166"/>
    <cellStyle name="Header2 2 3 10" xfId="2167"/>
    <cellStyle name="Accent2 - 40% 16" xfId="2168"/>
    <cellStyle name="Accent2 - 40% 21" xfId="2169"/>
    <cellStyle name="40% - 强调文字颜色 4 2 8" xfId="2170"/>
    <cellStyle name="Accent4 - 60% 3 5" xfId="2171"/>
    <cellStyle name="常规 34 3" xfId="2172"/>
    <cellStyle name="常规 29 3" xfId="2173"/>
    <cellStyle name="20% - 强调文字颜色 3 2 3 10" xfId="2174"/>
    <cellStyle name="PSSpacer 5" xfId="2175"/>
    <cellStyle name="60% - 强调文字颜色 5 2 19" xfId="2176"/>
    <cellStyle name="Accent4 - 60% 3 7" xfId="2177"/>
    <cellStyle name="常规 34 5" xfId="2178"/>
    <cellStyle name="常规 29 5" xfId="2179"/>
    <cellStyle name="常规 61 5 2 2" xfId="2180"/>
    <cellStyle name="常规 56 5 2 2" xfId="2181"/>
    <cellStyle name="20% - 强调文字颜色 3 2 3 12" xfId="2182"/>
    <cellStyle name="PSSpacer 7" xfId="2183"/>
    <cellStyle name="Accent4 - 60% 3 8" xfId="2184"/>
    <cellStyle name="常规 34 6" xfId="2185"/>
    <cellStyle name="常规 29 6" xfId="2186"/>
    <cellStyle name="常规 61 5 2 3" xfId="2187"/>
    <cellStyle name="常规 56 5 2 3" xfId="2188"/>
    <cellStyle name="20% - 强调文字颜色 3 2 3 13" xfId="2189"/>
    <cellStyle name="PSSpacer 8" xfId="2190"/>
    <cellStyle name="Milliers [0]_!!!GO" xfId="2191"/>
    <cellStyle name="Accent2 - 60% 10" xfId="2192"/>
    <cellStyle name="Accent4 - 60% 3 9" xfId="2193"/>
    <cellStyle name="常规 34 7" xfId="2194"/>
    <cellStyle name="常规 29 7" xfId="2195"/>
    <cellStyle name="PSSpacer 9" xfId="2196"/>
    <cellStyle name="计算 3 6 10" xfId="2197"/>
    <cellStyle name="20% - 强调文字颜色 3 2 3 14" xfId="2198"/>
    <cellStyle name="Accent2 - 60% 11" xfId="2199"/>
    <cellStyle name="计算 3 6 11" xfId="2200"/>
    <cellStyle name="20% - 强调文字颜色 3 2 3 15" xfId="2201"/>
    <cellStyle name="注释 3 2 4 2 2" xfId="2202"/>
    <cellStyle name="Accent2 - 60% 12" xfId="2203"/>
    <cellStyle name="计算 3 6 12" xfId="2204"/>
    <cellStyle name="20% - 强调文字颜色 3 2 3 16" xfId="2205"/>
    <cellStyle name="注释 3 2 4 2 3" xfId="2206"/>
    <cellStyle name="Accent1 7 2" xfId="2207"/>
    <cellStyle name="Input [yellow] 5 2 3 2" xfId="2208"/>
    <cellStyle name="Accent2 - 60% 13" xfId="2209"/>
    <cellStyle name="计算 3 6 13" xfId="2210"/>
    <cellStyle name="20% - 强调文字颜色 3 2 3 17" xfId="2211"/>
    <cellStyle name="注释 3 2 4 2 4" xfId="2212"/>
    <cellStyle name="Accent1 7 3" xfId="2213"/>
    <cellStyle name="Input [yellow] 5 2 3 3" xfId="2214"/>
    <cellStyle name="Accent2 - 60% 14" xfId="2215"/>
    <cellStyle name="计算 3 6 14" xfId="2216"/>
    <cellStyle name="20% - 强调文字颜色 3 2 3 18" xfId="2217"/>
    <cellStyle name="注释 3 2 4 2 5" xfId="2218"/>
    <cellStyle name="Accent2 - 60% 15" xfId="2219"/>
    <cellStyle name="Accent2 - 60% 20" xfId="2220"/>
    <cellStyle name="Accent1 7 4" xfId="2221"/>
    <cellStyle name="comma zerodec 3 2" xfId="2222"/>
    <cellStyle name="20% - 强调文字颜色 3 2 3 2" xfId="2223"/>
    <cellStyle name="20% - 强调文字颜色 3 2 3 3 2 2" xfId="2224"/>
    <cellStyle name="e鯪9Y_x000b_ 3 8" xfId="2225"/>
    <cellStyle name="60% - 强调文字颜色 1 2 5 3" xfId="2226"/>
    <cellStyle name="Input [yellow] 3 2 2 5" xfId="2227"/>
    <cellStyle name="20% - 强调文字颜色 3 2 3 3 2 3" xfId="2228"/>
    <cellStyle name="输出 3 2 11 10" xfId="2229"/>
    <cellStyle name="e鯪9Y_x000b_ 3 9" xfId="2230"/>
    <cellStyle name="20% - 强调文字颜色 3 2 3 4" xfId="2231"/>
    <cellStyle name="20% - 强调文字颜色 3 2 3 5" xfId="2232"/>
    <cellStyle name="Input [yellow] 2 5 2 10" xfId="2233"/>
    <cellStyle name="Accent4 - 60% 10" xfId="2234"/>
    <cellStyle name="20% - 强调文字颜色 3 2 3 6" xfId="2235"/>
    <cellStyle name="Input [yellow] 2 5 2 11" xfId="2236"/>
    <cellStyle name="Accent4 - 60% 11" xfId="2237"/>
    <cellStyle name="20% - 强调文字颜色 3 2 3 7" xfId="2238"/>
    <cellStyle name="Input [yellow] 2 5 2 12" xfId="2239"/>
    <cellStyle name="Accent4 - 60% 12" xfId="2240"/>
    <cellStyle name="20% - 强调文字颜色 3 2 3 8" xfId="2241"/>
    <cellStyle name="常规 45 2 2" xfId="2242"/>
    <cellStyle name="常规 50 2 2" xfId="2243"/>
    <cellStyle name="Input [yellow] 2 5 2 13" xfId="2244"/>
    <cellStyle name="Accent4 - 60% 13" xfId="2245"/>
    <cellStyle name="20% - 强调文字颜色 3 2 3 9" xfId="2246"/>
    <cellStyle name="常规 45 2 3" xfId="2247"/>
    <cellStyle name="常规 50 2 3" xfId="2248"/>
    <cellStyle name="Input [yellow] 2 5 2 14" xfId="2249"/>
    <cellStyle name="60% - 强调文字颜色 1 2 3 3 2 2" xfId="2250"/>
    <cellStyle name="输入 3 2 9 2 6" xfId="2251"/>
    <cellStyle name="千位分隔 2 20" xfId="2252"/>
    <cellStyle name="千位分隔 2 15" xfId="2253"/>
    <cellStyle name="comma zerodec 14" xfId="2254"/>
    <cellStyle name="20% - 强调文字颜色 3 2 4" xfId="2255"/>
    <cellStyle name="常规 71 2 4 2 2" xfId="2256"/>
    <cellStyle name="常规 66 2 4 2 2" xfId="2257"/>
    <cellStyle name="常规 152 5 2 3" xfId="2258"/>
    <cellStyle name="常规 147 5 2 3" xfId="2259"/>
    <cellStyle name="标题 3 2 8 15" xfId="2260"/>
    <cellStyle name="标题 3 2 8 20" xfId="2261"/>
    <cellStyle name="Header2 2 3 11" xfId="2262"/>
    <cellStyle name="Accent2 - 40% 17" xfId="2263"/>
    <cellStyle name="Accent2 - 40% 22" xfId="2264"/>
    <cellStyle name="40% - 强调文字颜色 4 2 9" xfId="2265"/>
    <cellStyle name="60% - 强调文字颜色 1 2 3 3 2 3" xfId="2266"/>
    <cellStyle name="输入 3 2 9 2 7" xfId="2267"/>
    <cellStyle name="千位分隔 2 21" xfId="2268"/>
    <cellStyle name="千位分隔 2 16" xfId="2269"/>
    <cellStyle name="comma zerodec 15" xfId="2270"/>
    <cellStyle name="20% - 强调文字颜色 3 2 5" xfId="2271"/>
    <cellStyle name="常规 71 2 4 2 3" xfId="2272"/>
    <cellStyle name="常规 66 2 4 2 3" xfId="2273"/>
    <cellStyle name="标题 3 2 8 16" xfId="2274"/>
    <cellStyle name="Header2 2 3 12" xfId="2275"/>
    <cellStyle name="20% - 强调文字颜色 6 3 2 3 2 2" xfId="2276"/>
    <cellStyle name="Accent2 - 40% 18" xfId="2277"/>
    <cellStyle name="Accent2 - 40% 23" xfId="2278"/>
    <cellStyle name="20% - 强调文字颜色 3 2 5 2" xfId="2279"/>
    <cellStyle name="20% - 强调文字颜色 3 2 5 2 2" xfId="2280"/>
    <cellStyle name="Accent1 - 40% 2 2 3 3" xfId="2281"/>
    <cellStyle name="20% - 强调文字颜色 3 2 5 2 3" xfId="2282"/>
    <cellStyle name="20% - 强调文字颜色 3 2 5 3" xfId="2283"/>
    <cellStyle name="20% - 强调文字颜色 3 2 6" xfId="2284"/>
    <cellStyle name="标题 3 2 8 17" xfId="2285"/>
    <cellStyle name="Header2 2 3 13" xfId="2286"/>
    <cellStyle name="20% - 强调文字颜色 6 3 2 3 2 3" xfId="2287"/>
    <cellStyle name="Accent2 - 40% 19" xfId="2288"/>
    <cellStyle name="汇总 3 2 14 2 2" xfId="2289"/>
    <cellStyle name="20% - 强调文字颜色 3 2 7" xfId="2290"/>
    <cellStyle name="标题 3 2 8 18" xfId="2291"/>
    <cellStyle name="Header2 2 3 14" xfId="2292"/>
    <cellStyle name="20% - 强调文字颜色 3 2 8" xfId="2293"/>
    <cellStyle name="标题 3 2 8 19" xfId="2294"/>
    <cellStyle name="Header2 2 3 15" xfId="2295"/>
    <cellStyle name="20% - 强调文字颜色 3 2 9" xfId="2296"/>
    <cellStyle name="常规 78 3 3 2" xfId="2297"/>
    <cellStyle name="常规 83 3 3 2" xfId="2298"/>
    <cellStyle name="Header2 2 3 16" xfId="2299"/>
    <cellStyle name="20% - 强调文字颜色 3 3" xfId="2300"/>
    <cellStyle name="20% - 强调文字颜色 3 3 2 2" xfId="2301"/>
    <cellStyle name="20% - 强调文字颜色 3 3 2 3" xfId="2302"/>
    <cellStyle name="20% - 强调文字颜色 3 3 2 4" xfId="2303"/>
    <cellStyle name="20% - 强调文字颜色 3 4" xfId="2304"/>
    <cellStyle name="20% - 强调文字颜色 3 4 10" xfId="2305"/>
    <cellStyle name="Accent5 - 60% 2 4 2 2" xfId="2306"/>
    <cellStyle name="编号 9 7" xfId="2307"/>
    <cellStyle name="Accent3 12 9" xfId="2308"/>
    <cellStyle name="20% - 强调文字颜色 3 4 11" xfId="2309"/>
    <cellStyle name="Accent5 - 60% 2 4 2 3" xfId="2310"/>
    <cellStyle name="编号 9 8" xfId="2311"/>
    <cellStyle name="Accent3 4 10" xfId="2312"/>
    <cellStyle name="20% - 强调文字颜色 3 4 12" xfId="2313"/>
    <cellStyle name="编号 9 9" xfId="2314"/>
    <cellStyle name="origAmountCrD 13 3 2" xfId="2315"/>
    <cellStyle name="常规 165 2 5" xfId="2316"/>
    <cellStyle name="Accent3 4 11" xfId="2317"/>
    <cellStyle name="20% - 强调文字颜色 3 4 13" xfId="2318"/>
    <cellStyle name="origAmountCrD 13 3 3" xfId="2319"/>
    <cellStyle name="常规 165 2 6" xfId="2320"/>
    <cellStyle name="Accent3 4 12" xfId="2321"/>
    <cellStyle name="20% - 强调文字颜色 3 4 14" xfId="2322"/>
    <cellStyle name="Accent3 4 13" xfId="2323"/>
    <cellStyle name="20% - 强调文字颜色 3 4 15" xfId="2324"/>
    <cellStyle name="Accent3 4 14" xfId="2325"/>
    <cellStyle name="20% - 强调文字颜色 3 4 16" xfId="2326"/>
    <cellStyle name="Accent3 4 15" xfId="2327"/>
    <cellStyle name="20% - 强调文字颜色 3 4 17" xfId="2328"/>
    <cellStyle name="Accent3 4 16" xfId="2329"/>
    <cellStyle name="20% - 强调文字颜色 3 4 18" xfId="2330"/>
    <cellStyle name="Accent3 4 17" xfId="2331"/>
    <cellStyle name="20% - 强调文字颜色 3 4 2" xfId="2332"/>
    <cellStyle name="40% - 强调文字颜色 4 4 7" xfId="2333"/>
    <cellStyle name="常规 6 3 14" xfId="2334"/>
    <cellStyle name="20% - 强调文字颜色 3 4 3" xfId="2335"/>
    <cellStyle name="40% - 强调文字颜色 4 4 8" xfId="2336"/>
    <cellStyle name="常规 6 3 15" xfId="2337"/>
    <cellStyle name="20% - 强调文字颜色 3 4 3 2" xfId="2338"/>
    <cellStyle name="编号 9 12" xfId="2339"/>
    <cellStyle name="60% - 强调文字颜色 3 2 2 9" xfId="2340"/>
    <cellStyle name="20% - 强调文字颜色 3 4 3 3" xfId="2341"/>
    <cellStyle name="编号 9 13" xfId="2342"/>
    <cellStyle name="20% - 强调文字颜色 4 2 3 2" xfId="2343"/>
    <cellStyle name="20% - 强调文字颜色 3 4 4" xfId="2344"/>
    <cellStyle name="40% - 强调文字颜色 4 4 9" xfId="2345"/>
    <cellStyle name="常规 6 3 16" xfId="2346"/>
    <cellStyle name="20% - 强调文字颜色 3 4 5" xfId="2347"/>
    <cellStyle name="20% - 强调文字颜色 4 2 3 3" xfId="2348"/>
    <cellStyle name="20% - 强调文字颜色 3 4 6" xfId="2349"/>
    <cellStyle name="20% - 强调文字颜色 4 2 3 4" xfId="2350"/>
    <cellStyle name="20% - 强调文字颜色 3 4 7" xfId="2351"/>
    <cellStyle name="origAmountCrD 13 10" xfId="2352"/>
    <cellStyle name="20% - 强调文字颜色 4 2 3 5" xfId="2353"/>
    <cellStyle name="20% - 强调文字颜色 3 4 8" xfId="2354"/>
    <cellStyle name="origAmountCrD 13 11" xfId="2355"/>
    <cellStyle name="20% - 强调文字颜色 4 2 3 6" xfId="2356"/>
    <cellStyle name="20% - 强调文字颜色 4 2 3 7" xfId="2357"/>
    <cellStyle name="60% - 强调文字颜色 2 2" xfId="2358"/>
    <cellStyle name="20% - 强调文字颜色 3 4 9" xfId="2359"/>
    <cellStyle name="Input [yellow] 3 2 3 10" xfId="2360"/>
    <cellStyle name="origAmountCrD 13 12" xfId="2361"/>
    <cellStyle name="20% - 强调文字颜色 4 2" xfId="2362"/>
    <cellStyle name="Accent6 2 2 7" xfId="2363"/>
    <cellStyle name="20% - 强调文字颜色 4 2 10" xfId="2364"/>
    <cellStyle name="20% - 强调文字颜色 4 2 11" xfId="2365"/>
    <cellStyle name="20% - 强调文字颜色 4 2 12" xfId="2366"/>
    <cellStyle name="20% - 强调文字颜色 4 2 13" xfId="2367"/>
    <cellStyle name="20% - 强调文字颜色 4 2 14" xfId="2368"/>
    <cellStyle name="40% - 强调文字颜色 3 2 3 10" xfId="2369"/>
    <cellStyle name="args.style" xfId="2370"/>
    <cellStyle name="20% - 强调文字颜色 4 2 15" xfId="2371"/>
    <cellStyle name="20% - 强调文字颜色 4 2 20" xfId="2372"/>
    <cellStyle name="40% - 强调文字颜色 3 2 3 11" xfId="2373"/>
    <cellStyle name="20% - 强调文字颜色 4 2 16" xfId="2374"/>
    <cellStyle name="20% - 强调文字颜色 4 2 21" xfId="2375"/>
    <cellStyle name="40% - 强调文字颜色 3 2 3 12" xfId="2376"/>
    <cellStyle name="20% - 强调文字颜色 4 2 17" xfId="2377"/>
    <cellStyle name="20% - 强调文字颜色 4 2 22" xfId="2378"/>
    <cellStyle name="40% - 强调文字颜色 3 2 3 13" xfId="2379"/>
    <cellStyle name="20% - 强调文字颜色 4 2 18" xfId="2380"/>
    <cellStyle name="20% - 强调文字颜色 4 2 23" xfId="2381"/>
    <cellStyle name="常规 71 3 3 2" xfId="2382"/>
    <cellStyle name="常规 66 3 3 2" xfId="2383"/>
    <cellStyle name="40% - 强调文字颜色 3 2 3 14" xfId="2384"/>
    <cellStyle name="20% - 强调文字颜色 4 2 19" xfId="2385"/>
    <cellStyle name="常规 71 3 3 3" xfId="2386"/>
    <cellStyle name="常规 66 3 3 3" xfId="2387"/>
    <cellStyle name="40% - 强调文字颜色 3 2 3 15" xfId="2388"/>
    <cellStyle name="40% - 强调文字颜色 1 2 3 17" xfId="2389"/>
    <cellStyle name="常规 66 2 4 3" xfId="2390"/>
    <cellStyle name="常规 71 2 4 3" xfId="2391"/>
    <cellStyle name="常规 29 11" xfId="2392"/>
    <cellStyle name="常规 34 11" xfId="2393"/>
    <cellStyle name="Accent5 5 14" xfId="2394"/>
    <cellStyle name="20% - 强调文字颜色 4 2 2" xfId="2395"/>
    <cellStyle name="60% - 强调文字颜色 1 2 3 3 3" xfId="2396"/>
    <cellStyle name="Accent2 - 60% 3 6" xfId="2397"/>
    <cellStyle name="40% - 强调文字颜色 5 2 7" xfId="2398"/>
    <cellStyle name="20% - 强调文字颜色 4 2 2 10" xfId="2399"/>
    <cellStyle name="Accent3 3 19" xfId="2400"/>
    <cellStyle name="常规 102 3 8" xfId="2401"/>
    <cellStyle name="20% - 强调文字颜色 4 2 2 12" xfId="2402"/>
    <cellStyle name="Input [yellow] 4 2 2 2 11" xfId="2403"/>
    <cellStyle name="Accent6 - 60% 3 3 2" xfId="2404"/>
    <cellStyle name="20% - 强调文字颜色 4 2 2 13" xfId="2405"/>
    <cellStyle name="Input [yellow] 4 2 2 2 12" xfId="2406"/>
    <cellStyle name="Accent6 - 60% 3 3 3" xfId="2407"/>
    <cellStyle name="20% - 强调文字颜色 4 2 2 14" xfId="2408"/>
    <cellStyle name="20% - 强调文字颜色 4 2 2 15" xfId="2409"/>
    <cellStyle name="20% - 强调文字颜色 4 2 2 16" xfId="2410"/>
    <cellStyle name="20% - 强调文字颜色 4 2 2 3 2 2" xfId="2411"/>
    <cellStyle name="origAmountCrD 3 12" xfId="2412"/>
    <cellStyle name="60% - 强调文字颜色 6 2 2 10" xfId="2413"/>
    <cellStyle name="Accent2 - 60% 2 11" xfId="2414"/>
    <cellStyle name="常规 100 3 8" xfId="2415"/>
    <cellStyle name="Linked Cells 2 10" xfId="2416"/>
    <cellStyle name="20% - 强调文字颜色 4 2 2 3 2 3" xfId="2417"/>
    <cellStyle name="origAmountCrD 3 13" xfId="2418"/>
    <cellStyle name="60% - 强调文字颜色 6 2 2 11" xfId="2419"/>
    <cellStyle name="Accent2 - 60% 2 12" xfId="2420"/>
    <cellStyle name="常规 100 3 9" xfId="2421"/>
    <cellStyle name="Accent4 13 5" xfId="2422"/>
    <cellStyle name="Accent3 - 60% 15" xfId="2423"/>
    <cellStyle name="Accent3 - 60% 20" xfId="2424"/>
    <cellStyle name="20% - 强调文字颜色 4 2 2 3 3" xfId="2425"/>
    <cellStyle name="Accent1 - 60% 3 10" xfId="2426"/>
    <cellStyle name="常规 102 3 18" xfId="2427"/>
    <cellStyle name="20% - 强调文字颜色 4 2 2 4" xfId="2428"/>
    <cellStyle name="20% - 强调文字颜色 4 2 2 5" xfId="2429"/>
    <cellStyle name="Accent2 - 40% 2 2 10" xfId="2430"/>
    <cellStyle name="20% - 强调文字颜色 4 2 2 6" xfId="2431"/>
    <cellStyle name="Accent4 2 2 2" xfId="2432"/>
    <cellStyle name="常规 133 3 6" xfId="2433"/>
    <cellStyle name="常规 128 3 6" xfId="2434"/>
    <cellStyle name="Accent6 8 17" xfId="2435"/>
    <cellStyle name="常规 92 14" xfId="2436"/>
    <cellStyle name="常规 87 14" xfId="2437"/>
    <cellStyle name="常规 80 3 18" xfId="2438"/>
    <cellStyle name="常规 75 3 18" xfId="2439"/>
    <cellStyle name="60% - 强调文字颜色 1 2" xfId="2440"/>
    <cellStyle name="Accent2 - 40% 2 2 11" xfId="2441"/>
    <cellStyle name="20% - 强调文字颜色 4 2 2 7" xfId="2442"/>
    <cellStyle name="Accent6 - 60% 3 10" xfId="2443"/>
    <cellStyle name="40% - 强调文字颜色 1 2 3 18" xfId="2444"/>
    <cellStyle name="常规 29 12" xfId="2445"/>
    <cellStyle name="常规 34 12" xfId="2446"/>
    <cellStyle name="Accent5 5 15" xfId="2447"/>
    <cellStyle name="20% - 强调文字颜色 4 2 3" xfId="2448"/>
    <cellStyle name="Header2 4 3 2 2" xfId="2449"/>
    <cellStyle name="Accent2 - 60% 3 7" xfId="2450"/>
    <cellStyle name="40% - 强调文字颜色 5 2 8" xfId="2451"/>
    <cellStyle name="20% - 强调文字颜色 4 2 3 10" xfId="2452"/>
    <cellStyle name="20% - 强调文字颜色 4 2 3 11" xfId="2453"/>
    <cellStyle name="20% - 强调文字颜色 4 2 3 12" xfId="2454"/>
    <cellStyle name="输出 2 2 11 2" xfId="2455"/>
    <cellStyle name="20% - 强调文字颜色 4 2 3 13" xfId="2456"/>
    <cellStyle name="输出 2 2 11 3" xfId="2457"/>
    <cellStyle name="Accent2 - 60% 2" xfId="2458"/>
    <cellStyle name="Input [yellow] 3 2 3 3 3" xfId="2459"/>
    <cellStyle name="20% - 强调文字颜色 4 2 3 14" xfId="2460"/>
    <cellStyle name="输出 2 2 11 4" xfId="2461"/>
    <cellStyle name="Accent2 - 60% 3" xfId="2462"/>
    <cellStyle name="20% - 强调文字颜色 4 2 3 15" xfId="2463"/>
    <cellStyle name="输出 2 2 11 5" xfId="2464"/>
    <cellStyle name="Accent2 - 60% 4" xfId="2465"/>
    <cellStyle name="Accent2 - 60% 5" xfId="2466"/>
    <cellStyle name="输出 2 2 11 6" xfId="2467"/>
    <cellStyle name="20% - 强调文字颜色 4 2 3 16" xfId="2468"/>
    <cellStyle name="Accent2 - 60% 6" xfId="2469"/>
    <cellStyle name="输出 2 2 11 7" xfId="2470"/>
    <cellStyle name="20% - 强调文字颜色 4 2 3 17" xfId="2471"/>
    <cellStyle name="Accent2 - 60% 7" xfId="2472"/>
    <cellStyle name="Accent3 13 2" xfId="2473"/>
    <cellStyle name="输出 2 2 11 8" xfId="2474"/>
    <cellStyle name="20% - 强调文字颜色 4 2 3 18" xfId="2475"/>
    <cellStyle name="20% - 强调文字颜色 4 2 3 3 2" xfId="2476"/>
    <cellStyle name="计算 2 2 11 2 9" xfId="2477"/>
    <cellStyle name="20% - 强调文字颜色 4 2 3 3 2 2" xfId="2478"/>
    <cellStyle name="20% - 强调文字颜色 4 2 3 3 2 3" xfId="2479"/>
    <cellStyle name="20% - 强调文字颜色 4 2 3 3 3" xfId="2480"/>
    <cellStyle name="Input [yellow] 3 2 3 12" xfId="2481"/>
    <cellStyle name="60% - 强调文字颜色 2 4" xfId="2482"/>
    <cellStyle name="origAmountCrD 13 14" xfId="2483"/>
    <cellStyle name="输出 2 2 4 2" xfId="2484"/>
    <cellStyle name="20% - 强调文字颜色 4 2 3 9" xfId="2485"/>
    <cellStyle name="40% - 强调文字颜色 5 2 9" xfId="2486"/>
    <cellStyle name="Accent2 - 60% 3 8" xfId="2487"/>
    <cellStyle name="20% - 强调文字颜色 4 2 4" xfId="2488"/>
    <cellStyle name="Accent2 - 60% 3 9" xfId="2489"/>
    <cellStyle name="20% - 强调文字颜色 4 2 5" xfId="2490"/>
    <cellStyle name="常规 105 3 9" xfId="2491"/>
    <cellStyle name="常规 110 3 9" xfId="2492"/>
    <cellStyle name="60% - 强调文字颜色 1 3 2 3" xfId="2493"/>
    <cellStyle name="60% - 强调文字颜色 6 3 2 11" xfId="2494"/>
    <cellStyle name="20% - 强调文字颜色 4 2 5 2" xfId="2495"/>
    <cellStyle name="60% - 强调文字颜色 1 3 2 3 2" xfId="2496"/>
    <cellStyle name="40% - 强调文字颜色 1 4" xfId="2497"/>
    <cellStyle name="常规 9 3" xfId="2498"/>
    <cellStyle name="20% - 强调文字颜色 4 2 5 2 2" xfId="2499"/>
    <cellStyle name="60% - 强调文字颜色 1 3 2 3 3" xfId="2500"/>
    <cellStyle name="汇总 3 2 9 10" xfId="2501"/>
    <cellStyle name="常规 9 4" xfId="2502"/>
    <cellStyle name="20% - 强调文字颜色 4 2 5 2 3" xfId="2503"/>
    <cellStyle name="60% - 强调文字颜色 1 3 2 4" xfId="2504"/>
    <cellStyle name="60% - 强调文字颜色 6 3 2 12" xfId="2505"/>
    <cellStyle name="20% - 强调文字颜色 4 2 5 3" xfId="2506"/>
    <cellStyle name="20% - 强调文字颜色 4 2 6" xfId="2507"/>
    <cellStyle name="20% - 强调文字颜色 4 2 7" xfId="2508"/>
    <cellStyle name="20% - 强调文字颜色 4 2 8" xfId="2509"/>
    <cellStyle name="常规 10 3 3" xfId="2510"/>
    <cellStyle name="origAmountDrD 2 2" xfId="2511"/>
    <cellStyle name="20% - 强调文字颜色 4 2 9" xfId="2512"/>
    <cellStyle name="常规 10 3 4" xfId="2513"/>
    <cellStyle name="origAmountDrD 2 3" xfId="2514"/>
    <cellStyle name="20% - 强调文字颜色 4 3" xfId="2515"/>
    <cellStyle name="Accent6 2 2 8" xfId="2516"/>
    <cellStyle name="20% - 强调文字颜色 4 3 10" xfId="2517"/>
    <cellStyle name="20% - 强调文字颜色 4 3 11" xfId="2518"/>
    <cellStyle name="20% - 强调文字颜色 4 3 12" xfId="2519"/>
    <cellStyle name="20% - 强调文字颜色 4 3 13" xfId="2520"/>
    <cellStyle name="20% - 强调文字颜色 4 3 14" xfId="2521"/>
    <cellStyle name="20% - 强调文字颜色 4 3 15" xfId="2522"/>
    <cellStyle name="20% - 强调文字颜色 4 3 16" xfId="2523"/>
    <cellStyle name="20% - 强调文字颜色 4 3 17" xfId="2524"/>
    <cellStyle name="20% - 强调文字颜色 4 3 18" xfId="2525"/>
    <cellStyle name="40% - 强调文字颜色 5 3 7" xfId="2526"/>
    <cellStyle name="20% - 强调文字颜色 4 3 2" xfId="2527"/>
    <cellStyle name="20% - 强调文字颜色 4 3 2 10" xfId="2528"/>
    <cellStyle name="常规 107 3 8" xfId="2529"/>
    <cellStyle name="常规 112 3 8" xfId="2530"/>
    <cellStyle name="Input [yellow] 10 2 4" xfId="2531"/>
    <cellStyle name="Accent4 3 19" xfId="2532"/>
    <cellStyle name="注释 3 2 8" xfId="2533"/>
    <cellStyle name="20% - 强调文字颜色 4 3 2 11" xfId="2534"/>
    <cellStyle name="常规 107 3 9" xfId="2535"/>
    <cellStyle name="常规 112 3 9" xfId="2536"/>
    <cellStyle name="Input [yellow] 10 2 5" xfId="2537"/>
    <cellStyle name="Accent1 - 40% 2 2" xfId="2538"/>
    <cellStyle name="20% - 强调文字颜色 4 3 2 12" xfId="2539"/>
    <cellStyle name="Input [yellow] 10 2 6" xfId="2540"/>
    <cellStyle name="Accent3 - 40% 2 2 3 2 2" xfId="2541"/>
    <cellStyle name="常规 102 2 10" xfId="2542"/>
    <cellStyle name="Accent1 - 40% 2 3" xfId="2543"/>
    <cellStyle name="20% - 强调文字颜色 4 3 2 13" xfId="2544"/>
    <cellStyle name="差 2 2" xfId="2545"/>
    <cellStyle name="Input [yellow] 10 2 7" xfId="2546"/>
    <cellStyle name="Input [yellow] 2 6 2 2 2" xfId="2547"/>
    <cellStyle name="Accent3 - 40% 2 2 3 2 3" xfId="2548"/>
    <cellStyle name="常规 102 2 11" xfId="2549"/>
    <cellStyle name="Accent1 - 40% 2 4" xfId="2550"/>
    <cellStyle name="20% - 强调文字颜色 4 3 2 14" xfId="2551"/>
    <cellStyle name="差 2 3" xfId="2552"/>
    <cellStyle name="Input [yellow] 10 2 8" xfId="2553"/>
    <cellStyle name="Input [yellow] 2 6 2 2 3" xfId="2554"/>
    <cellStyle name="常规 102 2 12" xfId="2555"/>
    <cellStyle name="Accent1 - 40% 2 5" xfId="2556"/>
    <cellStyle name="20% - 强调文字颜色 4 3 2 15" xfId="2557"/>
    <cellStyle name="差 2 4" xfId="2558"/>
    <cellStyle name="Input [yellow] 10 2 9" xfId="2559"/>
    <cellStyle name="Input [yellow] 2 6 2 2 4" xfId="2560"/>
    <cellStyle name="常规 102 2 13" xfId="2561"/>
    <cellStyle name="Accent3 - 60% 2 2" xfId="2562"/>
    <cellStyle name="Accent1 - 40% 2 6" xfId="2563"/>
    <cellStyle name="PSHeading 8 2" xfId="2564"/>
    <cellStyle name="20% - 强调文字颜色 4 3 2 16" xfId="2565"/>
    <cellStyle name="差 2 5" xfId="2566"/>
    <cellStyle name="Input [yellow] 2 6 2 2 5" xfId="2567"/>
    <cellStyle name="常规 102 2 14" xfId="2568"/>
    <cellStyle name="Accent3 - 60% 2 3" xfId="2569"/>
    <cellStyle name="Accent1 - 40% 2 7" xfId="2570"/>
    <cellStyle name="PSHeading 8 3" xfId="2571"/>
    <cellStyle name="20% - 强调文字颜色 4 3 2 17" xfId="2572"/>
    <cellStyle name="差 2 6" xfId="2573"/>
    <cellStyle name="Input [yellow] 2 6 2 2 6" xfId="2574"/>
    <cellStyle name="常规 102 2 15" xfId="2575"/>
    <cellStyle name="Accent3 - 60% 2 4" xfId="2576"/>
    <cellStyle name="Accent1 - 40% 2 8" xfId="2577"/>
    <cellStyle name="PSHeading 8 4" xfId="2578"/>
    <cellStyle name="20% - 强调文字颜色 4 3 2 18" xfId="2579"/>
    <cellStyle name="差 2 7" xfId="2580"/>
    <cellStyle name="Input [yellow] 6 3 2" xfId="2581"/>
    <cellStyle name="Input [yellow] 2 6 2 2 7" xfId="2582"/>
    <cellStyle name="40% - 强调文字颜色 5 3 9" xfId="2583"/>
    <cellStyle name="20% - 强调文字颜色 4 3 4" xfId="2584"/>
    <cellStyle name="Input [yellow] 2 10 9" xfId="2585"/>
    <cellStyle name="20% - 强调文字颜色 4 3 2 2" xfId="2586"/>
    <cellStyle name="20% - 强调文字颜色 4 3 5" xfId="2587"/>
    <cellStyle name="20% - 强调文字颜色 4 3 2 3" xfId="2588"/>
    <cellStyle name="40% - 强调文字颜色 5 3 2 11" xfId="2589"/>
    <cellStyle name="常规 107 3 17" xfId="2590"/>
    <cellStyle name="常规 112 3 17" xfId="2591"/>
    <cellStyle name="输入 3 2 10 10" xfId="2592"/>
    <cellStyle name="20% - 强调文字颜色 4 3 2 3 2" xfId="2593"/>
    <cellStyle name="20% - 强调文字颜色 4 3 2 3 2 2" xfId="2594"/>
    <cellStyle name="20% - 强调文字颜色 4 3 2 3 2 3" xfId="2595"/>
    <cellStyle name="40% - 强调文字颜色 5 3 2 12" xfId="2596"/>
    <cellStyle name="常规 107 3 18" xfId="2597"/>
    <cellStyle name="常规 112 3 18" xfId="2598"/>
    <cellStyle name="输入 3 2 10 11" xfId="2599"/>
    <cellStyle name="20% - 强调文字颜色 4 3 2 3 3" xfId="2600"/>
    <cellStyle name="20% - 强调文字颜色 4 3 6" xfId="2601"/>
    <cellStyle name="20% - 强调文字颜色 4 3 2 4" xfId="2602"/>
    <cellStyle name="汇总 2 3 5 3 2 2" xfId="2603"/>
    <cellStyle name="20% - 强调文字颜色 4 3 7" xfId="2604"/>
    <cellStyle name="20% - 强调文字颜色 4 3 2 5" xfId="2605"/>
    <cellStyle name="汇总 2 3 5 3 2 3" xfId="2606"/>
    <cellStyle name="20% - 强调文字颜色 4 3 8" xfId="2607"/>
    <cellStyle name="origAmountDrD 3 2" xfId="2608"/>
    <cellStyle name="20% - 强调文字颜色 4 3 2 6" xfId="2609"/>
    <cellStyle name="20% - 强调文字颜色 4 3 9" xfId="2610"/>
    <cellStyle name="20% - 强调文字颜色 4 3 2 7" xfId="2611"/>
    <cellStyle name="20% - 强调文字颜色 4 3 2 8" xfId="2612"/>
    <cellStyle name="汇总 2 2 2 2 5" xfId="2613"/>
    <cellStyle name="origAmountDrD 8 2 2 4" xfId="2614"/>
    <cellStyle name="PSHeading 7 14" xfId="2615"/>
    <cellStyle name="Accent1 7 10" xfId="2616"/>
    <cellStyle name="Accent5 13 13" xfId="2617"/>
    <cellStyle name="常规 97 16" xfId="2618"/>
    <cellStyle name="常规 97 21" xfId="2619"/>
    <cellStyle name="origAmountCrD 7 2 2 6" xfId="2620"/>
    <cellStyle name="常规 129 3 8" xfId="2621"/>
    <cellStyle name="常规 134 3 8" xfId="2622"/>
    <cellStyle name="Accent4 3 2 4" xfId="2623"/>
    <cellStyle name="输出 2 3 3 2" xfId="2624"/>
    <cellStyle name="20% - 强调文字颜色 4 3 2 9" xfId="2625"/>
    <cellStyle name="40% - 强调文字颜色 5 3 8" xfId="2626"/>
    <cellStyle name="20% - 强调文字颜色 4 3 3" xfId="2627"/>
    <cellStyle name="40% - 强调文字颜色 5 4 9" xfId="2628"/>
    <cellStyle name="20% - 强调文字颜色 4 4 4" xfId="2629"/>
    <cellStyle name="Input [yellow] 2 11 9" xfId="2630"/>
    <cellStyle name="20% - 强调文字颜色 4 3 3 2" xfId="2631"/>
    <cellStyle name="20% - 强调文字颜色 4 4" xfId="2632"/>
    <cellStyle name="Accent6 2 2 9" xfId="2633"/>
    <cellStyle name="Accent4 12 9" xfId="2634"/>
    <cellStyle name="origAmountCrD 5 3" xfId="2635"/>
    <cellStyle name="汇总 2 3 3 4" xfId="2636"/>
    <cellStyle name="Input [yellow] 4 2 2 2 2 2" xfId="2637"/>
    <cellStyle name="Accent3 3 4 2" xfId="2638"/>
    <cellStyle name="20% - 强调文字颜色 4 4 10" xfId="2639"/>
    <cellStyle name="origAmountDrD 11 5" xfId="2640"/>
    <cellStyle name="40% - 强调文字颜色 5 4 7" xfId="2641"/>
    <cellStyle name="Input Cells 17" xfId="2642"/>
    <cellStyle name="20% - 强调文字颜色 4 4 2" xfId="2643"/>
    <cellStyle name="40% - 强调文字颜色 5 4 8" xfId="2644"/>
    <cellStyle name="Input Cells 18" xfId="2645"/>
    <cellStyle name="20% - 强调文字颜色 4 4 3" xfId="2646"/>
    <cellStyle name="40% - 强调文字颜色 6 4 9" xfId="2647"/>
    <cellStyle name="20% - 强调文字颜色 5 4 4" xfId="2648"/>
    <cellStyle name="Percent [2] 2 10" xfId="2649"/>
    <cellStyle name="60% - 强调文字颜色 4 2 2 9" xfId="2650"/>
    <cellStyle name="20% - 强调文字颜色 4 4 3 2" xfId="2651"/>
    <cellStyle name="60% - 强调文字颜色 5 2 3 9" xfId="2652"/>
    <cellStyle name="20% - 强调文字颜色 4 4 3 2 2" xfId="2653"/>
    <cellStyle name="输入 3 9 2 6" xfId="2654"/>
    <cellStyle name="20% - 强调文字颜色 4 4 3 2 3" xfId="2655"/>
    <cellStyle name="输入 3 9 2 7" xfId="2656"/>
    <cellStyle name="20% - 强调文字颜色 5 4 5" xfId="2657"/>
    <cellStyle name="20% - 强调文字颜色 4 4 3 3" xfId="2658"/>
    <cellStyle name="20% - 强调文字颜色 4 4 5" xfId="2659"/>
    <cellStyle name="20% - 强调文字颜色 4 4 6" xfId="2660"/>
    <cellStyle name="20% - 强调文字颜色 4 4 7" xfId="2661"/>
    <cellStyle name="Accent5 6 3 2 2" xfId="2662"/>
    <cellStyle name="常规 10 5 2" xfId="2663"/>
    <cellStyle name="20% - 强调文字颜色 4 4 8" xfId="2664"/>
    <cellStyle name="Accent5 6 3 2 3" xfId="2665"/>
    <cellStyle name="常规 10 5 3" xfId="2666"/>
    <cellStyle name="origAmountDrD 4 2" xfId="2667"/>
    <cellStyle name="Input [yellow] 3 11 10" xfId="2668"/>
    <cellStyle name="20% - 强调文字颜色 4 4 9" xfId="2669"/>
    <cellStyle name="20% - 强调文字颜色 5 2" xfId="2670"/>
    <cellStyle name="20% - 强调文字颜色 5 2 10" xfId="2671"/>
    <cellStyle name="20% - 强调文字颜色 5 2 11" xfId="2672"/>
    <cellStyle name="20% - 强调文字颜色 5 2 12" xfId="2673"/>
    <cellStyle name="20% - 强调文字颜色 5 2 13" xfId="2674"/>
    <cellStyle name="20% - 强调文字颜色 5 2 14" xfId="2675"/>
    <cellStyle name="20% - 强调文字颜色 5 2 20" xfId="2676"/>
    <cellStyle name="20% - 强调文字颜色 5 2 15" xfId="2677"/>
    <cellStyle name="常规 8 2 3 2" xfId="2678"/>
    <cellStyle name="PSHeading 11 6" xfId="2679"/>
    <cellStyle name="Accent1 11 2" xfId="2680"/>
    <cellStyle name="20% - 强调文字颜色 5 2 21" xfId="2681"/>
    <cellStyle name="20% - 强调文字颜色 5 2 16" xfId="2682"/>
    <cellStyle name="40% - 强调文字颜色 6 2 7" xfId="2683"/>
    <cellStyle name="20% - 强调文字颜色 5 2 2" xfId="2684"/>
    <cellStyle name="常规 68 5" xfId="2685"/>
    <cellStyle name="常规 73 5" xfId="2686"/>
    <cellStyle name="20% - 强调文字颜色 5 2 2 10" xfId="2687"/>
    <cellStyle name="常规 68 6" xfId="2688"/>
    <cellStyle name="常规 73 6" xfId="2689"/>
    <cellStyle name="20% - 强调文字颜色 5 2 2 11" xfId="2690"/>
    <cellStyle name="Input [yellow] 4 3 2 2 10" xfId="2691"/>
    <cellStyle name="40% - 强调文字颜色 3 4 3 2 2" xfId="2692"/>
    <cellStyle name="常规 68 7" xfId="2693"/>
    <cellStyle name="常规 73 7" xfId="2694"/>
    <cellStyle name="20% - 强调文字颜色 5 2 2 12" xfId="2695"/>
    <cellStyle name="常规 79 2 2 3 2" xfId="2696"/>
    <cellStyle name="常规 84 2 2 3 2" xfId="2697"/>
    <cellStyle name="Input [yellow] 4 3 2 2 11" xfId="2698"/>
    <cellStyle name="常规 146 2 10" xfId="2699"/>
    <cellStyle name="常规 151 2 10" xfId="2700"/>
    <cellStyle name="40% - 强调文字颜色 3 4 3 2 3" xfId="2701"/>
    <cellStyle name="常规 68 8" xfId="2702"/>
    <cellStyle name="常规 73 8" xfId="2703"/>
    <cellStyle name="20% - 强调文字颜色 5 2 2 13" xfId="2704"/>
    <cellStyle name="常规 79 2 2 3 3" xfId="2705"/>
    <cellStyle name="常规 84 2 2 3 3" xfId="2706"/>
    <cellStyle name="Input [yellow] 4 3 2 2 12" xfId="2707"/>
    <cellStyle name="常规 68 9" xfId="2708"/>
    <cellStyle name="常规 73 9" xfId="2709"/>
    <cellStyle name="常规 154 2 3 2 2" xfId="2710"/>
    <cellStyle name="20% - 强调文字颜色 5 2 2 14" xfId="2711"/>
    <cellStyle name="常规 154 2 3 2 3" xfId="2712"/>
    <cellStyle name="20% - 强调文字颜色 5 2 2 15" xfId="2713"/>
    <cellStyle name="20% - 强调文字颜色 5 2 2 16" xfId="2714"/>
    <cellStyle name="20% - 强调文字颜色 6 2 3 2" xfId="2715"/>
    <cellStyle name="20% - 强调文字颜色 5 2 2 17" xfId="2716"/>
    <cellStyle name="20% - 强调文字颜色 6 2 3 3" xfId="2717"/>
    <cellStyle name="20% - 强调文字颜色 5 2 2 18" xfId="2718"/>
    <cellStyle name="常规 85 3 13" xfId="2719"/>
    <cellStyle name="常规 90 3 13" xfId="2720"/>
    <cellStyle name="Input [yellow] 4 3 2 16" xfId="2721"/>
    <cellStyle name="60% - 强调文字颜色 4 4 16" xfId="2722"/>
    <cellStyle name="20% - 强调文字颜色 5 2 2 2" xfId="2723"/>
    <cellStyle name="常规 85 3 14" xfId="2724"/>
    <cellStyle name="常规 90 3 14" xfId="2725"/>
    <cellStyle name="Input [yellow] 4 3 2 17" xfId="2726"/>
    <cellStyle name="60% - 强调文字颜色 4 4 17" xfId="2727"/>
    <cellStyle name="Accent6 - 20% 10" xfId="2728"/>
    <cellStyle name="20% - 强调文字颜色 5 2 2 3" xfId="2729"/>
    <cellStyle name="Input [yellow] 3 2 2 2 11" xfId="2730"/>
    <cellStyle name="Accent1 11 3 3" xfId="2731"/>
    <cellStyle name="标题 1 3" xfId="2732"/>
    <cellStyle name="20% - 强调文字颜色 5 2 2 3 2" xfId="2733"/>
    <cellStyle name="标题 1 3 2" xfId="2734"/>
    <cellStyle name="20% - 强调文字颜色 5 2 2 3 2 2" xfId="2735"/>
    <cellStyle name="标题 1 3 3" xfId="2736"/>
    <cellStyle name="20% - 强调文字颜色 5 2 2 3 2 3" xfId="2737"/>
    <cellStyle name="编号 7 2 2" xfId="2738"/>
    <cellStyle name="标题 1 4" xfId="2739"/>
    <cellStyle name="20% - 强调文字颜色 5 2 2 3 3" xfId="2740"/>
    <cellStyle name="常规 85 3 15" xfId="2741"/>
    <cellStyle name="常规 90 3 15" xfId="2742"/>
    <cellStyle name="60% - 强调文字颜色 4 4 18" xfId="2743"/>
    <cellStyle name="Accent6 - 20% 11" xfId="2744"/>
    <cellStyle name="20% - 强调文字颜色 5 2 2 4" xfId="2745"/>
    <cellStyle name="20% - 强调文字颜色 5 2 2 5" xfId="2746"/>
    <cellStyle name="20% - 强调文字颜色 5 2 2 6" xfId="2747"/>
    <cellStyle name="20% - 强调文字颜色 5 2 2 7" xfId="2748"/>
    <cellStyle name="20% - 强调文字颜色 6 2 10" xfId="2749"/>
    <cellStyle name="20% - 强调文字颜色 5 2 2 8" xfId="2750"/>
    <cellStyle name="输出 3 2 3 2" xfId="2751"/>
    <cellStyle name="20% - 强调文字颜色 6 2 11" xfId="2752"/>
    <cellStyle name="20% - 强调文字颜色 5 2 2 9" xfId="2753"/>
    <cellStyle name="40% - 强调文字颜色 6 2 8" xfId="2754"/>
    <cellStyle name="20% - 强调文字颜色 5 2 3" xfId="2755"/>
    <cellStyle name="汇总 2 6 5" xfId="2756"/>
    <cellStyle name="Header2 4 4 2 2" xfId="2757"/>
    <cellStyle name="常规 78 5" xfId="2758"/>
    <cellStyle name="常规 83 5" xfId="2759"/>
    <cellStyle name="20% - 强调文字颜色 5 2 3 10" xfId="2760"/>
    <cellStyle name="常规 78 6" xfId="2761"/>
    <cellStyle name="常规 83 6" xfId="2762"/>
    <cellStyle name="20% - 强调文字颜色 5 2 3 11" xfId="2763"/>
    <cellStyle name="输出 3 2 11 2" xfId="2764"/>
    <cellStyle name="20% - 强调文字颜色 5 2 3 12" xfId="2765"/>
    <cellStyle name="常规 78 7" xfId="2766"/>
    <cellStyle name="常规 83 7" xfId="2767"/>
    <cellStyle name="输出 3 2 11 3" xfId="2768"/>
    <cellStyle name="20% - 强调文字颜色 5 2 3 13" xfId="2769"/>
    <cellStyle name="常规 78 8" xfId="2770"/>
    <cellStyle name="常规 83 8" xfId="2771"/>
    <cellStyle name="计算 2 3 16" xfId="2772"/>
    <cellStyle name="计算 2 3 21" xfId="2773"/>
    <cellStyle name="标题 4 2 2 5" xfId="2774"/>
    <cellStyle name="Accent2 6 2" xfId="2775"/>
    <cellStyle name="输出 3 2 11 4" xfId="2776"/>
    <cellStyle name="20% - 强调文字颜色 5 2 3 14" xfId="2777"/>
    <cellStyle name="常规 78 9" xfId="2778"/>
    <cellStyle name="常规 83 9" xfId="2779"/>
    <cellStyle name="常规 2 2 4 2 2" xfId="2780"/>
    <cellStyle name="计算 2 3 17" xfId="2781"/>
    <cellStyle name="标题 4 2 2 6" xfId="2782"/>
    <cellStyle name="Accent2 6 3" xfId="2783"/>
    <cellStyle name="输出 3 2 11 5" xfId="2784"/>
    <cellStyle name="20% - 强调文字颜色 5 2 3 15" xfId="2785"/>
    <cellStyle name="常规 2 2 4 2 3" xfId="2786"/>
    <cellStyle name="计算 2 3 18" xfId="2787"/>
    <cellStyle name="标题 4 2 2 7" xfId="2788"/>
    <cellStyle name="Accent2 6 4" xfId="2789"/>
    <cellStyle name="输出 3 2 11 6" xfId="2790"/>
    <cellStyle name="20% - 强调文字颜色 5 2 3 16" xfId="2791"/>
    <cellStyle name="计算 2 3 19" xfId="2792"/>
    <cellStyle name="标题 4 2 2 8" xfId="2793"/>
    <cellStyle name="Accent2 6 5" xfId="2794"/>
    <cellStyle name="输出 3 2 11 7" xfId="2795"/>
    <cellStyle name="20% - 强调文字颜色 5 2 3 17" xfId="2796"/>
    <cellStyle name="标题 4 2 2 9" xfId="2797"/>
    <cellStyle name="Accent2 6 6" xfId="2798"/>
    <cellStyle name="输出 3 2 11 8" xfId="2799"/>
    <cellStyle name="20% - 强调文字颜色 5 2 3 18" xfId="2800"/>
    <cellStyle name="40% - 强调文字颜色 3 4 16" xfId="2801"/>
    <cellStyle name="常规 141 2 14" xfId="2802"/>
    <cellStyle name="常规 136 2 14" xfId="2803"/>
    <cellStyle name="汇总 2 2 12 2 11" xfId="2804"/>
    <cellStyle name="Accent4 - 20% 2 18" xfId="2805"/>
    <cellStyle name="20% - 强调文字颜色 5 2 3 2" xfId="2806"/>
    <cellStyle name="40% - 强调文字颜色 3 4 17" xfId="2807"/>
    <cellStyle name="New Times Roman 10" xfId="2808"/>
    <cellStyle name="常规 141 2 15" xfId="2809"/>
    <cellStyle name="常规 136 2 15" xfId="2810"/>
    <cellStyle name="汇总 2 2 12 2 12" xfId="2811"/>
    <cellStyle name="Accent4 - 20% 2 19" xfId="2812"/>
    <cellStyle name="20% - 强调文字颜色 5 2 3 3" xfId="2813"/>
    <cellStyle name="Accent1 12 3 3" xfId="2814"/>
    <cellStyle name="常规 57 2 2 8" xfId="2815"/>
    <cellStyle name="常规 62 2 2 8" xfId="2816"/>
    <cellStyle name="20% - 强调文字颜色 5 2 3 3 2" xfId="2817"/>
    <cellStyle name="Accent6 12 5" xfId="2818"/>
    <cellStyle name="Accent2 - 60% 2 13" xfId="2819"/>
    <cellStyle name="60% - 强调文字颜色 6 2 2 12" xfId="2820"/>
    <cellStyle name="origAmountCrD 3 14" xfId="2821"/>
    <cellStyle name="20% - 强调文字颜色 5 2 3 3 2 2" xfId="2822"/>
    <cellStyle name="Linked Cells 2 11" xfId="2823"/>
    <cellStyle name="Accent2 - 60% 2 14" xfId="2824"/>
    <cellStyle name="60% - 强调文字颜色 6 2 2 13" xfId="2825"/>
    <cellStyle name="常规 104 5 2 3" xfId="2826"/>
    <cellStyle name="Accent3 3 2 10" xfId="2827"/>
    <cellStyle name="origAmountCrD 3 15" xfId="2828"/>
    <cellStyle name="origAmountCrD 3 20" xfId="2829"/>
    <cellStyle name="20% - 强调文字颜色 5 2 3 3 2 3" xfId="2830"/>
    <cellStyle name="常规 99 5 2 2" xfId="2831"/>
    <cellStyle name="Linked Cells 2 12" xfId="2832"/>
    <cellStyle name="常规 57 2 2 9" xfId="2833"/>
    <cellStyle name="常规 62 2 2 9" xfId="2834"/>
    <cellStyle name="编号 8 2 2" xfId="2835"/>
    <cellStyle name="20% - 强调文字颜色 5 2 3 3 3" xfId="2836"/>
    <cellStyle name="Accent6 12 6" xfId="2837"/>
    <cellStyle name="e鯪9Y_x000b_ 2 2" xfId="2838"/>
    <cellStyle name="40% - 强调文字颜色 3 4 18" xfId="2839"/>
    <cellStyle name="20% - 强调文字颜色 5 2 3 4" xfId="2840"/>
    <cellStyle name="20% - 强调文字颜色 5 2 3 5" xfId="2841"/>
    <cellStyle name="20% - 强调文字颜色 5 2 3 6" xfId="2842"/>
    <cellStyle name="20% - 强调文字颜色 5 2 3 7" xfId="2843"/>
    <cellStyle name="20% - 强调文字颜色 5 2 3 8" xfId="2844"/>
    <cellStyle name="输出 3 2 4 2" xfId="2845"/>
    <cellStyle name="20% - 强调文字颜色 5 2 3 9" xfId="2846"/>
    <cellStyle name="40% - 强调文字颜色 6 2 9" xfId="2847"/>
    <cellStyle name="20% - 强调文字颜色 5 2 4" xfId="2848"/>
    <cellStyle name="20% - 强调文字颜色 5 2 5" xfId="2849"/>
    <cellStyle name="常规 27 2 2 15" xfId="2850"/>
    <cellStyle name="常规 32 2 2 15" xfId="2851"/>
    <cellStyle name="60% - 强调文字颜色 2 3 2 3" xfId="2852"/>
    <cellStyle name="Input [yellow] 2 14" xfId="2853"/>
    <cellStyle name="输入 2 2 3 13" xfId="2854"/>
    <cellStyle name="好 2 8" xfId="2855"/>
    <cellStyle name="20% - 强调文字颜色 5 2 5 2" xfId="2856"/>
    <cellStyle name="60% - 强调文字颜色 2 3 2 3 2" xfId="2857"/>
    <cellStyle name="Input [yellow] 2 14 2" xfId="2858"/>
    <cellStyle name="Input [yellow] 10 2 15" xfId="2859"/>
    <cellStyle name="20% - 强调文字颜色 5 2 5 2 2" xfId="2860"/>
    <cellStyle name="Accent5 6 10" xfId="2861"/>
    <cellStyle name="Accent3 13 3 2" xfId="2862"/>
    <cellStyle name="60% - 强调文字颜色 2 3 2 3 3" xfId="2863"/>
    <cellStyle name="Input [yellow] 10 2 16" xfId="2864"/>
    <cellStyle name="20% - 强调文字颜色 5 2 5 2 3" xfId="2865"/>
    <cellStyle name="常规 27 2 2 16" xfId="2866"/>
    <cellStyle name="常规 32 2 2 16" xfId="2867"/>
    <cellStyle name="60% - 强调文字颜色 2 3 2 4" xfId="2868"/>
    <cellStyle name="Input [yellow] 2 15" xfId="2869"/>
    <cellStyle name="Input [yellow] 2 20" xfId="2870"/>
    <cellStyle name="输入 2 2 3 14" xfId="2871"/>
    <cellStyle name="好 2 9" xfId="2872"/>
    <cellStyle name="20% - 强调文字颜色 5 2 5 3" xfId="2873"/>
    <cellStyle name="20% - 强调文字颜色 5 2 6" xfId="2874"/>
    <cellStyle name="20% - 强调文字颜色 5 2 7" xfId="2875"/>
    <cellStyle name="20% - 强调文字颜色 5 2 8" xfId="2876"/>
    <cellStyle name="20% - 强调文字颜色 5 2 9" xfId="2877"/>
    <cellStyle name="20% - 强调文字颜色 5 3" xfId="2878"/>
    <cellStyle name="Accent5 - 20% 3" xfId="2879"/>
    <cellStyle name="20% - 强调文字颜色 5 3 10" xfId="2880"/>
    <cellStyle name="Accent5 - 20% 4" xfId="2881"/>
    <cellStyle name="20% - 强调文字颜色 5 3 11" xfId="2882"/>
    <cellStyle name="Accent3 - 20% 5 2" xfId="2883"/>
    <cellStyle name="Accent5 - 20% 5" xfId="2884"/>
    <cellStyle name="20% - 强调文字颜色 5 3 12" xfId="2885"/>
    <cellStyle name="Accent3 - 20% 5 3" xfId="2886"/>
    <cellStyle name="Accent5 - 20% 6" xfId="2887"/>
    <cellStyle name="20% - 强调文字颜色 5 3 13" xfId="2888"/>
    <cellStyle name="常规 9 2 3 2 2" xfId="2889"/>
    <cellStyle name="Accent5 - 20% 7" xfId="2890"/>
    <cellStyle name="20% - 强调文字颜色 5 3 14" xfId="2891"/>
    <cellStyle name="常规 9 2 3 2 3" xfId="2892"/>
    <cellStyle name="Accent5 - 20% 8" xfId="2893"/>
    <cellStyle name="20% - 强调文字颜色 5 3 15" xfId="2894"/>
    <cellStyle name="Accent5 - 20% 9" xfId="2895"/>
    <cellStyle name="20% - 强调文字颜色 5 3 16" xfId="2896"/>
    <cellStyle name="20% - 强调文字颜色 5 3 17" xfId="2897"/>
    <cellStyle name="20% - 强调文字颜色 5 3 18" xfId="2898"/>
    <cellStyle name="Accent3 - 20% 20" xfId="2899"/>
    <cellStyle name="Accent3 - 20% 15" xfId="2900"/>
    <cellStyle name="注释 2 2 5 2 6" xfId="2901"/>
    <cellStyle name="40% - 强调文字颜色 6 3 7" xfId="2902"/>
    <cellStyle name="20% - 强调文字颜色 5 3 2" xfId="2903"/>
    <cellStyle name="20% - 强调文字颜色 5 3 2 10" xfId="2904"/>
    <cellStyle name="20% - 强调文字颜色 5 3 2 11" xfId="2905"/>
    <cellStyle name="20% - 强调文字颜色 5 3 2 14" xfId="2906"/>
    <cellStyle name="Header2 4 4 2" xfId="2907"/>
    <cellStyle name="20% - 强调文字颜色 5 3 2 15" xfId="2908"/>
    <cellStyle name="Accent1 3 4 2 2" xfId="2909"/>
    <cellStyle name="Header2 4 4 3" xfId="2910"/>
    <cellStyle name="20% - 强调文字颜色 5 3 2 16" xfId="2911"/>
    <cellStyle name="Accent1 3 4 2 3" xfId="2912"/>
    <cellStyle name="Header2 4 4 4" xfId="2913"/>
    <cellStyle name="20% - 强调文字颜色 5 3 2 17" xfId="2914"/>
    <cellStyle name="Header2 4 4 5" xfId="2915"/>
    <cellStyle name="20% - 强调文字颜色 5 3 2 18" xfId="2916"/>
    <cellStyle name="Accent4 - 40% 2 16" xfId="2917"/>
    <cellStyle name="origAmountCrD 2 4 10" xfId="2918"/>
    <cellStyle name="20% - 强调文字颜色 5 3 2 2" xfId="2919"/>
    <cellStyle name="Accent4 - 40% 2 17" xfId="2920"/>
    <cellStyle name="origAmountCrD 2 4 11" xfId="2921"/>
    <cellStyle name="20% - 强调文字颜色 5 3 2 3" xfId="2922"/>
    <cellStyle name="汇总 3 2 11 2 9" xfId="2923"/>
    <cellStyle name="20% - 强调文字颜色 5 3 2 3 2" xfId="2924"/>
    <cellStyle name="20% - 强调文字颜色 5 3 2 3 2 2" xfId="2925"/>
    <cellStyle name="20% - 强调文字颜色 5 3 2 3 2 3" xfId="2926"/>
    <cellStyle name="20% - 强调文字颜色 5 3 2 3 3" xfId="2927"/>
    <cellStyle name="Accent4 - 40% 2 18" xfId="2928"/>
    <cellStyle name="origAmountCrD 2 4 12" xfId="2929"/>
    <cellStyle name="20% - 强调文字颜色 5 3 2 4" xfId="2930"/>
    <cellStyle name="Accent4 - 40% 2 19" xfId="2931"/>
    <cellStyle name="origAmountCrD 2 4 13" xfId="2932"/>
    <cellStyle name="20% - 强调文字颜色 5 3 2 5" xfId="2933"/>
    <cellStyle name="origAmountCrD 2 4 14" xfId="2934"/>
    <cellStyle name="20% - 强调文字颜色 5 3 2 6" xfId="2935"/>
    <cellStyle name="origAmountCrD 2 4 15" xfId="2936"/>
    <cellStyle name="20% - 强调文字颜色 5 3 2 7" xfId="2937"/>
    <cellStyle name="origAmountCrD 2 4 16" xfId="2938"/>
    <cellStyle name="20% - 强调文字颜色 5 3 2 8" xfId="2939"/>
    <cellStyle name="Accent5 10 3 2 2" xfId="2940"/>
    <cellStyle name="输出 3 3 3 2" xfId="2941"/>
    <cellStyle name="20% - 强调文字颜色 5 3 2 9" xfId="2942"/>
    <cellStyle name="origAmountCrD 2 4 17" xfId="2943"/>
    <cellStyle name="Accent5 10 3 2 3" xfId="2944"/>
    <cellStyle name="Accent3 - 20% 21" xfId="2945"/>
    <cellStyle name="Accent3 - 20% 16" xfId="2946"/>
    <cellStyle name="注释 2 2 5 2 7" xfId="2947"/>
    <cellStyle name="40% - 强调文字颜色 6 3 8" xfId="2948"/>
    <cellStyle name="20% - 强调文字颜色 5 3 3" xfId="2949"/>
    <cellStyle name="20% - 强调文字颜色 5 3 3 2" xfId="2950"/>
    <cellStyle name="Accent3 - 20% 22" xfId="2951"/>
    <cellStyle name="Accent3 - 20% 17" xfId="2952"/>
    <cellStyle name="注释 2 2 5 2 8" xfId="2953"/>
    <cellStyle name="40% - 强调文字颜色 6 3 9" xfId="2954"/>
    <cellStyle name="20% - 强调文字颜色 5 3 4" xfId="2955"/>
    <cellStyle name="常规 38 2 2 3 2 2" xfId="2956"/>
    <cellStyle name="常规 43 2 2 3 2 2" xfId="2957"/>
    <cellStyle name="Accent3 - 20% 23" xfId="2958"/>
    <cellStyle name="Accent3 - 20% 18" xfId="2959"/>
    <cellStyle name="注释 2 2 5 2 9" xfId="2960"/>
    <cellStyle name="20% - 强调文字颜色 5 3 5" xfId="2961"/>
    <cellStyle name="常规 38 2 2 3 2 3" xfId="2962"/>
    <cellStyle name="常规 43 2 2 3 2 3" xfId="2963"/>
    <cellStyle name="Accent3 - 20% 19" xfId="2964"/>
    <cellStyle name="解释性文本 2 2" xfId="2965"/>
    <cellStyle name="40% - 强调文字颜色 2 3 2 3 2" xfId="2966"/>
    <cellStyle name="20% - 强调文字颜色 5 3 6" xfId="2967"/>
    <cellStyle name="解释性文本 2 3" xfId="2968"/>
    <cellStyle name="40% - 强调文字颜色 2 3 2 3 3" xfId="2969"/>
    <cellStyle name="20% - 强调文字颜色 5 3 7" xfId="2970"/>
    <cellStyle name="20% - 强调文字颜色 5 3 8" xfId="2971"/>
    <cellStyle name="常规 166 10" xfId="2972"/>
    <cellStyle name="常规 171 10" xfId="2973"/>
    <cellStyle name="20% - 强调文字颜色 5 4" xfId="2974"/>
    <cellStyle name="Accent5 12 9" xfId="2975"/>
    <cellStyle name="Accent4 - 60% 2 16" xfId="2976"/>
    <cellStyle name="40% - 强调文字颜色 1 2 2 12" xfId="2977"/>
    <cellStyle name="Accent4 - 60% 2 2 9" xfId="2978"/>
    <cellStyle name="20% - 强调文字颜色 5 4 10" xfId="2979"/>
    <cellStyle name="Accent5 4 10" xfId="2980"/>
    <cellStyle name="Accent4 - 60% 2 17" xfId="2981"/>
    <cellStyle name="40% - 强调文字颜色 1 2 2 13" xfId="2982"/>
    <cellStyle name="20% - 强调文字颜色 5 4 11" xfId="2983"/>
    <cellStyle name="Accent5 4 11" xfId="2984"/>
    <cellStyle name="Accent4 - 60% 2 18" xfId="2985"/>
    <cellStyle name="origAmountDrD 11 2 2" xfId="2986"/>
    <cellStyle name="40% - 强调文字颜色 1 2 2 14" xfId="2987"/>
    <cellStyle name="20% - 强调文字颜色 5 4 12" xfId="2988"/>
    <cellStyle name="Accent5 4 12" xfId="2989"/>
    <cellStyle name="Accent4 - 60% 2 19" xfId="2990"/>
    <cellStyle name="origAmountDrD 11 2 3" xfId="2991"/>
    <cellStyle name="40% - 强调文字颜色 1 2 2 15" xfId="2992"/>
    <cellStyle name="20% - 强调文字颜色 5 4 13" xfId="2993"/>
    <cellStyle name="40% - 强调文字颜色 1 2 2 16" xfId="2994"/>
    <cellStyle name="常规 28 10" xfId="2995"/>
    <cellStyle name="常规 33 10" xfId="2996"/>
    <cellStyle name="Accent5 4 13" xfId="2997"/>
    <cellStyle name="origAmountDrD 11 2 4" xfId="2998"/>
    <cellStyle name="20% - 强调文字颜色 5 4 14" xfId="2999"/>
    <cellStyle name="40% - 强调文字颜色 1 2 2 17" xfId="3000"/>
    <cellStyle name="常规 28 11" xfId="3001"/>
    <cellStyle name="常规 33 11" xfId="3002"/>
    <cellStyle name="Accent5 4 14" xfId="3003"/>
    <cellStyle name="origAmountDrD 11 2 5" xfId="3004"/>
    <cellStyle name="20% - 强调文字颜色 5 4 15" xfId="3005"/>
    <cellStyle name="40% - 强调文字颜色 1 2 2 18" xfId="3006"/>
    <cellStyle name="常规 28 12" xfId="3007"/>
    <cellStyle name="常规 33 12" xfId="3008"/>
    <cellStyle name="Accent5 4 15" xfId="3009"/>
    <cellStyle name="origAmountDrD 11 2 6" xfId="3010"/>
    <cellStyle name="20% - 强调文字颜色 5 4 16" xfId="3011"/>
    <cellStyle name="20% - 强调文字颜色 5 4 17" xfId="3012"/>
    <cellStyle name="20% - 强调文字颜色 5 4 18" xfId="3013"/>
    <cellStyle name="60% - 强调文字颜色 4 2 2 7" xfId="3014"/>
    <cellStyle name="40% - 强调文字颜色 6 4 7" xfId="3015"/>
    <cellStyle name="20% - 强调文字颜色 5 4 2" xfId="3016"/>
    <cellStyle name="60% - 强调文字颜色 4 2 2 8" xfId="3017"/>
    <cellStyle name="40% - 强调文字颜色 6 4 8" xfId="3018"/>
    <cellStyle name="20% - 强调文字颜色 5 4 3" xfId="3019"/>
    <cellStyle name="60% - 强调文字颜色 5 2 2 9" xfId="3020"/>
    <cellStyle name="20% - 强调文字颜色 5 4 3 2" xfId="3021"/>
    <cellStyle name="标题 2 3 2 13" xfId="3022"/>
    <cellStyle name="20% - 强调文字颜色 5 4 3 2 3" xfId="3023"/>
    <cellStyle name="20% - 强调文字颜色 5 4 3 3" xfId="3024"/>
    <cellStyle name="20% - 强调文字颜色 5 4 6" xfId="3025"/>
    <cellStyle name="20% - 强调文字颜色 5 4 7" xfId="3026"/>
    <cellStyle name="20% - 强调文字颜色 5 4 8" xfId="3027"/>
    <cellStyle name="20% - 强调文字颜色 6 2" xfId="3028"/>
    <cellStyle name="输出 3 2 3 4" xfId="3029"/>
    <cellStyle name="20% - 强调文字颜色 6 2 13" xfId="3030"/>
    <cellStyle name="Input [yellow] 2 7 2 2 2 2" xfId="3031"/>
    <cellStyle name="输出 3 2 3 5" xfId="3032"/>
    <cellStyle name="20% - 强调文字颜色 6 2 14" xfId="3033"/>
    <cellStyle name="输出 3 2 3 6" xfId="3034"/>
    <cellStyle name="20% - 强调文字颜色 6 2 20" xfId="3035"/>
    <cellStyle name="20% - 强调文字颜色 6 2 15" xfId="3036"/>
    <cellStyle name="常规 79 2 2 17" xfId="3037"/>
    <cellStyle name="常规 84 2 2 17" xfId="3038"/>
    <cellStyle name="Accent2 11 2" xfId="3039"/>
    <cellStyle name="输出 3 2 3 7" xfId="3040"/>
    <cellStyle name="20% - 强调文字颜色 6 2 21" xfId="3041"/>
    <cellStyle name="20% - 强调文字颜色 6 2 16" xfId="3042"/>
    <cellStyle name="常规 79 2 2 18" xfId="3043"/>
    <cellStyle name="常规 84 2 2 18" xfId="3044"/>
    <cellStyle name="Accent2 11 3" xfId="3045"/>
    <cellStyle name="输出 3 2 3 8" xfId="3046"/>
    <cellStyle name="20% - 强调文字颜色 6 2 22" xfId="3047"/>
    <cellStyle name="20% - 强调文字颜色 6 2 17" xfId="3048"/>
    <cellStyle name="Accent2 11 4" xfId="3049"/>
    <cellStyle name="输出 3 2 3 9" xfId="3050"/>
    <cellStyle name="20% - 强调文字颜色 6 2 23" xfId="3051"/>
    <cellStyle name="20% - 强调文字颜色 6 2 18" xfId="3052"/>
    <cellStyle name="Accent2 11 5" xfId="3053"/>
    <cellStyle name="常规 11 2 3 2 2" xfId="3054"/>
    <cellStyle name="20% - 强调文字颜色 6 2 19" xfId="3055"/>
    <cellStyle name="常规 49 11" xfId="3056"/>
    <cellStyle name="常规 54 11" xfId="3057"/>
    <cellStyle name="Accent6 - 20% 3" xfId="3058"/>
    <cellStyle name="Accent3 24" xfId="3059"/>
    <cellStyle name="Accent3 19" xfId="3060"/>
    <cellStyle name="常规 10 2 3 2 3" xfId="3061"/>
    <cellStyle name="差 2 2 9" xfId="3062"/>
    <cellStyle name="6mal 2 5" xfId="3063"/>
    <cellStyle name="20% - 强调文字颜色 6 2 2" xfId="3064"/>
    <cellStyle name="常规 126 5 2" xfId="3065"/>
    <cellStyle name="常规 131 5 2" xfId="3066"/>
    <cellStyle name="20% - 强调文字颜色 6 2 2 10" xfId="3067"/>
    <cellStyle name="常规 126 5 3" xfId="3068"/>
    <cellStyle name="常规 131 5 3" xfId="3069"/>
    <cellStyle name="20% - 强调文字颜色 6 2 2 11" xfId="3070"/>
    <cellStyle name="Accent1 - 20% 11" xfId="3071"/>
    <cellStyle name="常规 95 3 13" xfId="3072"/>
    <cellStyle name="Accent6 - 20% 3 2" xfId="3073"/>
    <cellStyle name="20% - 强调文字颜色 6 2 2 2" xfId="3074"/>
    <cellStyle name="Accent1 - 20% 12" xfId="3075"/>
    <cellStyle name="常规 95 3 14" xfId="3076"/>
    <cellStyle name="常规 45 5 2 2" xfId="3077"/>
    <cellStyle name="常规 50 5 2 2" xfId="3078"/>
    <cellStyle name="Accent6 - 20% 3 3" xfId="3079"/>
    <cellStyle name="20% - 强调文字颜色 6 2 2 3" xfId="3080"/>
    <cellStyle name="20% - 强调文字颜色 6 2 2 3 2" xfId="3081"/>
    <cellStyle name="Accent3 - 60% 3 3 3" xfId="3082"/>
    <cellStyle name="常规 97 5 2 3" xfId="3083"/>
    <cellStyle name="20% - 强调文字颜色 6 2 2 3 2 2" xfId="3084"/>
    <cellStyle name="常规 67 2" xfId="3085"/>
    <cellStyle name="常规 72 2" xfId="3086"/>
    <cellStyle name="20% - 强调文字颜色 6 2 2 3 2 3" xfId="3087"/>
    <cellStyle name="20% - 强调文字颜色 6 2 2 3 3" xfId="3088"/>
    <cellStyle name="Accent1 - 20% 13" xfId="3089"/>
    <cellStyle name="常规 95 3 15" xfId="3090"/>
    <cellStyle name="常规 45 5 2 3" xfId="3091"/>
    <cellStyle name="常规 50 5 2 3" xfId="3092"/>
    <cellStyle name="Accent6 - 20% 3 4" xfId="3093"/>
    <cellStyle name="20% - 强调文字颜色 6 2 2 4" xfId="3094"/>
    <cellStyle name="Accent1 - 20% 14" xfId="3095"/>
    <cellStyle name="常规 95 3 16" xfId="3096"/>
    <cellStyle name="Accent6 - 20% 3 5" xfId="3097"/>
    <cellStyle name="20% - 强调文字颜色 6 2 2 5" xfId="3098"/>
    <cellStyle name="Accent1 - 20% 20" xfId="3099"/>
    <cellStyle name="Accent1 - 20% 15" xfId="3100"/>
    <cellStyle name="常规 95 3 17" xfId="3101"/>
    <cellStyle name="Accent6 - 20% 3 6" xfId="3102"/>
    <cellStyle name="20% - 强调文字颜色 6 2 2 6" xfId="3103"/>
    <cellStyle name="计算 2 8 2 2" xfId="3104"/>
    <cellStyle name="Accent1 - 20% 21" xfId="3105"/>
    <cellStyle name="Accent1 - 20% 16" xfId="3106"/>
    <cellStyle name="常规 95 3 18" xfId="3107"/>
    <cellStyle name="Accent6 - 20% 3 7" xfId="3108"/>
    <cellStyle name="20% - 强调文字颜色 6 2 2 7" xfId="3109"/>
    <cellStyle name="计算 2 8 2 3" xfId="3110"/>
    <cellStyle name="Accent1 - 20% 22" xfId="3111"/>
    <cellStyle name="Accent1 - 20% 17" xfId="3112"/>
    <cellStyle name="Accent6 - 20% 3 8" xfId="3113"/>
    <cellStyle name="20% - 强调文字颜色 6 2 2 8" xfId="3114"/>
    <cellStyle name="计算 2 8 2 4" xfId="3115"/>
    <cellStyle name="Accent1 - 20% 23" xfId="3116"/>
    <cellStyle name="Accent1 - 20% 18" xfId="3117"/>
    <cellStyle name="Accent6 - 20% 3 9" xfId="3118"/>
    <cellStyle name="20% - 强调文字颜色 6 2 2 9" xfId="3119"/>
    <cellStyle name="常规 49 12" xfId="3120"/>
    <cellStyle name="常规 54 12" xfId="3121"/>
    <cellStyle name="Accent6 - 20% 4" xfId="3122"/>
    <cellStyle name="Accent1 - 60% 2 2 10" xfId="3123"/>
    <cellStyle name="Accent3 30" xfId="3124"/>
    <cellStyle name="Accent3 25" xfId="3125"/>
    <cellStyle name="6mal 2 6" xfId="3126"/>
    <cellStyle name="origAmountDrD 10 2 2 2 2" xfId="3127"/>
    <cellStyle name="20% - 强调文字颜色 6 2 3" xfId="3128"/>
    <cellStyle name="20% - 强调文字颜色 6 2 3 10" xfId="3129"/>
    <cellStyle name="20% - 强调文字颜色 6 2 3 11" xfId="3130"/>
    <cellStyle name="20% - 强调文字颜色 6 2 3 12" xfId="3131"/>
    <cellStyle name="Accent3 13 3 2 2" xfId="3132"/>
    <cellStyle name="origAmountCrD 9 2 7" xfId="3133"/>
    <cellStyle name="20% - 强调文字颜色 6 2 3 13" xfId="3134"/>
    <cellStyle name="Accent3 13 3 2 3" xfId="3135"/>
    <cellStyle name="origAmountCrD 9 2 8" xfId="3136"/>
    <cellStyle name="20% - 强调文字颜色 6 2 3 14" xfId="3137"/>
    <cellStyle name="20% - 强调文字颜色 6 2 3 15" xfId="3138"/>
    <cellStyle name="Input [yellow] 2 7 2" xfId="3139"/>
    <cellStyle name="Accent1 - 40% 2 4 2 2" xfId="3140"/>
    <cellStyle name="注释 2 3 3 5" xfId="3141"/>
    <cellStyle name="差 2 3 2 2" xfId="3142"/>
    <cellStyle name="20% - 强调文字颜色 6 2 3 16" xfId="3143"/>
    <cellStyle name="Input [yellow] 2 7 3" xfId="3144"/>
    <cellStyle name="Accent1 - 40% 2 4 2 3" xfId="3145"/>
    <cellStyle name="注释 2 3 3 6" xfId="3146"/>
    <cellStyle name="20% - 强调文字颜色 6 2 3 17" xfId="3147"/>
    <cellStyle name="20% - 强调文字颜色 6 2 3 18" xfId="3148"/>
    <cellStyle name="20% - 强调文字颜色 6 2 3 3 2" xfId="3149"/>
    <cellStyle name="常规 98 5 2 3" xfId="3150"/>
    <cellStyle name="20% - 强调文字颜色 6 2 3 3 2 2" xfId="3151"/>
    <cellStyle name="20% - 强调文字颜色 6 2 3 3 2 3" xfId="3152"/>
    <cellStyle name="20% - 强调文字颜色 6 2 3 3 3" xfId="3153"/>
    <cellStyle name="Accent1 - 60% 5 2 2" xfId="3154"/>
    <cellStyle name="常规 146 2 16" xfId="3155"/>
    <cellStyle name="常规 151 2 16" xfId="3156"/>
    <cellStyle name="20% - 强调文字颜色 6 2 3 4" xfId="3157"/>
    <cellStyle name="Accent1 - 60% 5 2 3" xfId="3158"/>
    <cellStyle name="常规 146 2 17" xfId="3159"/>
    <cellStyle name="常规 151 2 17" xfId="3160"/>
    <cellStyle name="20% - 强调文字颜色 6 2 3 5" xfId="3161"/>
    <cellStyle name="20% - 强调文字颜色 6 2 3 6" xfId="3162"/>
    <cellStyle name="20% - 强调文字颜色 6 2 3 7" xfId="3163"/>
    <cellStyle name="20% - 强调文字颜色 6 2 3 8" xfId="3164"/>
    <cellStyle name="20% - 强调文字颜色 6 2 3 9" xfId="3165"/>
    <cellStyle name="常规 49 13" xfId="3166"/>
    <cellStyle name="常规 54 13" xfId="3167"/>
    <cellStyle name="Accent6 - 20% 5" xfId="3168"/>
    <cellStyle name="Accent1 - 60% 2 2 11" xfId="3169"/>
    <cellStyle name="Accent3 31" xfId="3170"/>
    <cellStyle name="Accent3 26" xfId="3171"/>
    <cellStyle name="6mal 2 7" xfId="3172"/>
    <cellStyle name="20% - 强调文字颜色 6 2 4" xfId="3173"/>
    <cellStyle name="常规 49 14" xfId="3174"/>
    <cellStyle name="常规 54 14" xfId="3175"/>
    <cellStyle name="Accent6 - 20% 6" xfId="3176"/>
    <cellStyle name="Accent1 - 60% 2 2 12" xfId="3177"/>
    <cellStyle name="Accent3 32" xfId="3178"/>
    <cellStyle name="Accent3 27" xfId="3179"/>
    <cellStyle name="6mal 2 8" xfId="3180"/>
    <cellStyle name="20% - 强调文字颜色 6 2 5" xfId="3181"/>
    <cellStyle name="标题 4 3 2 17" xfId="3182"/>
    <cellStyle name="Accent2 3 5" xfId="3183"/>
    <cellStyle name="60% - 强调文字颜色 3 3 2 3" xfId="3184"/>
    <cellStyle name="20% - 强调文字颜色 6 2 5 2" xfId="3185"/>
    <cellStyle name="计算 3 2 4 5" xfId="3186"/>
    <cellStyle name="60% - 强调文字颜色 3 3 2 3 2" xfId="3187"/>
    <cellStyle name="常规 57 11" xfId="3188"/>
    <cellStyle name="常规 62 11" xfId="3189"/>
    <cellStyle name="常规 125 3 3" xfId="3190"/>
    <cellStyle name="常规 130 3 3" xfId="3191"/>
    <cellStyle name="20% - 强调文字颜色 6 2 5 2 2" xfId="3192"/>
    <cellStyle name="Accent6 19" xfId="3193"/>
    <cellStyle name="Accent6 24" xfId="3194"/>
    <cellStyle name="计算 3 2 4 6" xfId="3195"/>
    <cellStyle name="60% - 强调文字颜色 3 3 2 3 3" xfId="3196"/>
    <cellStyle name="常规 57 12" xfId="3197"/>
    <cellStyle name="常规 62 12" xfId="3198"/>
    <cellStyle name="常规 125 3 4" xfId="3199"/>
    <cellStyle name="常规 130 3 4" xfId="3200"/>
    <cellStyle name="20% - 强调文字颜色 6 2 5 2 3" xfId="3201"/>
    <cellStyle name="Accent6 25" xfId="3202"/>
    <cellStyle name="Accent6 30" xfId="3203"/>
    <cellStyle name="60% - 强调文字颜色 3 3 2 4" xfId="3204"/>
    <cellStyle name="Accent2 3 6" xfId="3205"/>
    <cellStyle name="20% - 强调文字颜色 6 2 5 3" xfId="3206"/>
    <cellStyle name="常规 49 15" xfId="3207"/>
    <cellStyle name="常规 49 20" xfId="3208"/>
    <cellStyle name="常规 54 15" xfId="3209"/>
    <cellStyle name="常规 54 20" xfId="3210"/>
    <cellStyle name="Accent6 - 20% 7" xfId="3211"/>
    <cellStyle name="Accent1 - 60% 2 2 13" xfId="3212"/>
    <cellStyle name="Accent3 33" xfId="3213"/>
    <cellStyle name="Accent3 28" xfId="3214"/>
    <cellStyle name="origAmountDrD 7 18" xfId="3215"/>
    <cellStyle name="Accent3 - 40%" xfId="3216"/>
    <cellStyle name="6mal 2 9" xfId="3217"/>
    <cellStyle name="20% - 强调文字颜色 6 2 6" xfId="3218"/>
    <cellStyle name="常规 49 16" xfId="3219"/>
    <cellStyle name="常规 49 21" xfId="3220"/>
    <cellStyle name="常规 54 16" xfId="3221"/>
    <cellStyle name="常规 54 21" xfId="3222"/>
    <cellStyle name="Accent6 - 20% 8" xfId="3223"/>
    <cellStyle name="Accent1 - 60% 2 2 14" xfId="3224"/>
    <cellStyle name="Accent3 29" xfId="3225"/>
    <cellStyle name="20% - 强调文字颜色 6 2 7" xfId="3226"/>
    <cellStyle name="常规 49 17" xfId="3227"/>
    <cellStyle name="常规 49 22" xfId="3228"/>
    <cellStyle name="常规 54 17" xfId="3229"/>
    <cellStyle name="常规 54 22" xfId="3230"/>
    <cellStyle name="Accent6 - 20% 9" xfId="3231"/>
    <cellStyle name="Accent1 - 60% 2 2 15" xfId="3232"/>
    <cellStyle name="20% - 强调文字颜色 6 2 8" xfId="3233"/>
    <cellStyle name="常规 49 18" xfId="3234"/>
    <cellStyle name="常规 49 23" xfId="3235"/>
    <cellStyle name="常规 54 18" xfId="3236"/>
    <cellStyle name="常规 54 23" xfId="3237"/>
    <cellStyle name="Accent1 - 60% 2 2 16" xfId="3238"/>
    <cellStyle name="20% - 强调文字颜色 6 2 9" xfId="3239"/>
    <cellStyle name="20% - 强调文字颜色 6 3" xfId="3240"/>
    <cellStyle name="Accent2 10 3 2" xfId="3241"/>
    <cellStyle name="常规 110 3 14" xfId="3242"/>
    <cellStyle name="常规 105 3 14" xfId="3243"/>
    <cellStyle name="输出 3 6 8" xfId="3244"/>
    <cellStyle name="Accent4 - 20% 2 2 8" xfId="3245"/>
    <cellStyle name="Accent1 - 60% 2 2 3 2 2" xfId="3246"/>
    <cellStyle name="40% - 强调文字颜色 3 3 6" xfId="3247"/>
    <cellStyle name="20% - 强调文字颜色 6 3 10" xfId="3248"/>
    <cellStyle name="计算 3 4 10" xfId="3249"/>
    <cellStyle name="Accent2 10 3 2 2" xfId="3250"/>
    <cellStyle name="Header2 3 11 17" xfId="3251"/>
    <cellStyle name="20% - 强调文字颜色 6 3 2" xfId="3252"/>
    <cellStyle name="常规 136 5 2" xfId="3253"/>
    <cellStyle name="常规 141 5 2" xfId="3254"/>
    <cellStyle name="20% - 强调文字颜色 6 3 2 10" xfId="3255"/>
    <cellStyle name="常规 136 5 3" xfId="3256"/>
    <cellStyle name="常规 141 5 3" xfId="3257"/>
    <cellStyle name="20% - 强调文字颜色 6 3 2 11" xfId="3258"/>
    <cellStyle name="20% - 强调文字颜色 6 3 2 12" xfId="3259"/>
    <cellStyle name="20% - 强调文字颜色 6 3 2 13" xfId="3260"/>
    <cellStyle name="20% - 强调文字颜色 6 3 2 14" xfId="3261"/>
    <cellStyle name="20% - 强调文字颜色 6 3 2 15" xfId="3262"/>
    <cellStyle name="20% - 强调文字颜色 6 3 2 16" xfId="3263"/>
    <cellStyle name="20% - 强调文字颜色 6 3 2 17" xfId="3264"/>
    <cellStyle name="20% - 强调文字颜色 6 3 2 18" xfId="3265"/>
    <cellStyle name="常规 15 2 9" xfId="3266"/>
    <cellStyle name="常规 20 2 9" xfId="3267"/>
    <cellStyle name="20% - 强调文字颜色 6 3 2 3 2" xfId="3268"/>
    <cellStyle name="常规 117 10" xfId="3269"/>
    <cellStyle name="常规 122 10" xfId="3270"/>
    <cellStyle name="20% - 强调文字颜色 6 3 2 3 3" xfId="3271"/>
    <cellStyle name="计算 3 4 11" xfId="3272"/>
    <cellStyle name="Accent2 10 3 2 3" xfId="3273"/>
    <cellStyle name="no dec" xfId="3274"/>
    <cellStyle name="20% - 强调文字颜色 6 3 3" xfId="3275"/>
    <cellStyle name="no dec 2" xfId="3276"/>
    <cellStyle name="20% - 强调文字颜色 6 3 3 2" xfId="3277"/>
    <cellStyle name="no dec 3" xfId="3278"/>
    <cellStyle name="20% - 强调文字颜色 6 3 3 3" xfId="3279"/>
    <cellStyle name="计算 3 4 12" xfId="3280"/>
    <cellStyle name="20% - 强调文字颜色 6 3 4" xfId="3281"/>
    <cellStyle name="计算 3 4 14" xfId="3282"/>
    <cellStyle name="20% - 强调文字颜色 6 3 6" xfId="3283"/>
    <cellStyle name="计算 3 4 17" xfId="3284"/>
    <cellStyle name="20% - 强调文字颜色 6 3 9" xfId="3285"/>
    <cellStyle name="20% - 强调文字颜色 6 4" xfId="3286"/>
    <cellStyle name="Accent2 10 3 3" xfId="3287"/>
    <cellStyle name="常规 110 3 15" xfId="3288"/>
    <cellStyle name="常规 105 3 15" xfId="3289"/>
    <cellStyle name="输出 3 6 9" xfId="3290"/>
    <cellStyle name="Accent4 - 20% 2 2 9" xfId="3291"/>
    <cellStyle name="Accent1 - 60% 2 2 3 2 3" xfId="3292"/>
    <cellStyle name="e鯪9Y_x000b_ 2 5" xfId="3293"/>
    <cellStyle name="40% - 强调文字颜色 1 3 2 12" xfId="3294"/>
    <cellStyle name="Accent6 10 12" xfId="3295"/>
    <cellStyle name="Accent6 12 9" xfId="3296"/>
    <cellStyle name="常规 4 2 2 3 2 3" xfId="3297"/>
    <cellStyle name="20% - 强调文字颜色 6 4 10" xfId="3298"/>
    <cellStyle name="e鯪9Y_x000b_ 2 6" xfId="3299"/>
    <cellStyle name="40% - 强调文字颜色 1 3 2 13" xfId="3300"/>
    <cellStyle name="Accent6 10 13" xfId="3301"/>
    <cellStyle name="20% - 强调文字颜色 6 4 11" xfId="3302"/>
    <cellStyle name="e鯪9Y_x000b_ 2 7" xfId="3303"/>
    <cellStyle name="40% - 强调文字颜色 1 3 2 14" xfId="3304"/>
    <cellStyle name="Accent6 10 14" xfId="3305"/>
    <cellStyle name="20% - 强调文字颜色 6 4 12" xfId="3306"/>
    <cellStyle name="e鯪9Y_x000b_ 2 8" xfId="3307"/>
    <cellStyle name="40% - 强调文字颜色 1 3 2 15" xfId="3308"/>
    <cellStyle name="Accent6 10 15" xfId="3309"/>
    <cellStyle name="20% - 强调文字颜色 6 4 13" xfId="3310"/>
    <cellStyle name="e鯪9Y_x000b_ 2 9" xfId="3311"/>
    <cellStyle name="40% - 强调文字颜色 1 3 2 16" xfId="3312"/>
    <cellStyle name="常规 78 10" xfId="3313"/>
    <cellStyle name="常规 83 10" xfId="3314"/>
    <cellStyle name="Accent6 10 16" xfId="3315"/>
    <cellStyle name="20% - 强调文字颜色 6 4 14" xfId="3316"/>
    <cellStyle name="40% - 强调文字颜色 1 3 2 17" xfId="3317"/>
    <cellStyle name="常规 78 11" xfId="3318"/>
    <cellStyle name="常规 83 11" xfId="3319"/>
    <cellStyle name="Accent6 10 17" xfId="3320"/>
    <cellStyle name="20% - 强调文字颜色 6 4 15" xfId="3321"/>
    <cellStyle name="40% - 强调文字颜色 1 3 2 18" xfId="3322"/>
    <cellStyle name="常规 78 12" xfId="3323"/>
    <cellStyle name="常规 83 12" xfId="3324"/>
    <cellStyle name="Accent6 10 18" xfId="3325"/>
    <cellStyle name="20% - 强调文字颜色 6 4 16" xfId="3326"/>
    <cellStyle name="20% - 强调文字颜色 6 4 17" xfId="3327"/>
    <cellStyle name="20% - 强调文字颜色 6 4 18" xfId="3328"/>
    <cellStyle name="60% - 强调文字颜色 4 3 2 7" xfId="3329"/>
    <cellStyle name="60% - 强调文字颜色 1 2 10" xfId="3330"/>
    <cellStyle name="常规 15 7" xfId="3331"/>
    <cellStyle name="常规 20 7" xfId="3332"/>
    <cellStyle name="Accent3 11 11" xfId="3333"/>
    <cellStyle name="20% - 强调文字颜色 6 4 2" xfId="3334"/>
    <cellStyle name="汇总 3 8 4" xfId="3335"/>
    <cellStyle name="Input [yellow] 13 2 12" xfId="3336"/>
    <cellStyle name="常规 137 2 2 6" xfId="3337"/>
    <cellStyle name="常规 142 2 2 6" xfId="3338"/>
    <cellStyle name="60% - 强调文字颜色 4 3 2 8" xfId="3339"/>
    <cellStyle name="60% - 强调文字颜色 1 2 11" xfId="3340"/>
    <cellStyle name="常规 15 8" xfId="3341"/>
    <cellStyle name="常规 20 8" xfId="3342"/>
    <cellStyle name="Accent3 11 12" xfId="3343"/>
    <cellStyle name="20% - 强调文字颜色 6 4 3" xfId="3344"/>
    <cellStyle name="汇总 3 8 5" xfId="3345"/>
    <cellStyle name="Input [yellow] 13 2 13" xfId="3346"/>
    <cellStyle name="常规 137 2 2 7" xfId="3347"/>
    <cellStyle name="常规 142 2 2 7" xfId="3348"/>
    <cellStyle name="60% - 强调文字颜色 6 2 2 9" xfId="3349"/>
    <cellStyle name="20% - 强调文字颜色 6 4 3 2" xfId="3350"/>
    <cellStyle name="Input [yellow] 3 2 10" xfId="3351"/>
    <cellStyle name="常规 102 2 4 2 3" xfId="3352"/>
    <cellStyle name="60% - 强调文字颜色 1 2 2 8" xfId="3353"/>
    <cellStyle name="百分比 2 13" xfId="3354"/>
    <cellStyle name="20% - 强调文字颜色 6 4 3 2 2" xfId="3355"/>
    <cellStyle name="20% - 强调文字颜色 6 4 3 3" xfId="3356"/>
    <cellStyle name="60% - 强调文字颜色 4 3 2 9" xfId="3357"/>
    <cellStyle name="60% - 强调文字颜色 1 2 12" xfId="3358"/>
    <cellStyle name="常规 15 9" xfId="3359"/>
    <cellStyle name="常规 20 9" xfId="3360"/>
    <cellStyle name="Accent3 11 13" xfId="3361"/>
    <cellStyle name="20% - 强调文字颜色 6 4 4" xfId="3362"/>
    <cellStyle name="汇总 3 8 6" xfId="3363"/>
    <cellStyle name="Input [yellow] 13 2 14" xfId="3364"/>
    <cellStyle name="常规 75 2 2 3 2 2" xfId="3365"/>
    <cellStyle name="常规 80 2 2 3 2 2" xfId="3366"/>
    <cellStyle name="常规 137 2 2 8" xfId="3367"/>
    <cellStyle name="常规 142 2 2 8" xfId="3368"/>
    <cellStyle name="60% - 强调文字颜色 1 2 13" xfId="3369"/>
    <cellStyle name="Accent3 11 14" xfId="3370"/>
    <cellStyle name="20% - 强调文字颜色 6 4 5" xfId="3371"/>
    <cellStyle name="汇总 3 8 7" xfId="3372"/>
    <cellStyle name="Input [yellow] 13 2 15" xfId="3373"/>
    <cellStyle name="常规 75 2 2 3 2 3" xfId="3374"/>
    <cellStyle name="常规 80 2 2 3 2 3" xfId="3375"/>
    <cellStyle name="常规 137 2 2 9" xfId="3376"/>
    <cellStyle name="常规 142 2 2 9" xfId="3377"/>
    <cellStyle name="Accent3 - 60%" xfId="3378"/>
    <cellStyle name="60% - 强调文字颜色 1 2 14" xfId="3379"/>
    <cellStyle name="Accent3 11 15" xfId="3380"/>
    <cellStyle name="20% - 强调文字颜色 6 4 6" xfId="3381"/>
    <cellStyle name="汇总 3 8 8" xfId="3382"/>
    <cellStyle name="Input [yellow] 13 2 16" xfId="3383"/>
    <cellStyle name="常规 22 2 2 10" xfId="3384"/>
    <cellStyle name="60% - 强调文字颜色 1 2 20" xfId="3385"/>
    <cellStyle name="60% - 强调文字颜色 1 2 15" xfId="3386"/>
    <cellStyle name="Accent3 11 16" xfId="3387"/>
    <cellStyle name="20% - 强调文字颜色 6 4 7" xfId="3388"/>
    <cellStyle name="汇总 3 8 9" xfId="3389"/>
    <cellStyle name="Input [yellow] 13 2 17" xfId="3390"/>
    <cellStyle name="常规 12 5 2" xfId="3391"/>
    <cellStyle name="常规 22 2 2 11" xfId="3392"/>
    <cellStyle name="60% - 强调文字颜色 1 2 21" xfId="3393"/>
    <cellStyle name="60% - 强调文字颜色 1 2 16" xfId="3394"/>
    <cellStyle name="汇总 2 2 4 3 2" xfId="3395"/>
    <cellStyle name="Accent3 11 17" xfId="3396"/>
    <cellStyle name="20% - 强调文字颜色 6 4 8" xfId="3397"/>
    <cellStyle name="60% - 强调文字颜色 1 2 22" xfId="3398"/>
    <cellStyle name="60% - 强调文字颜色 1 2 17" xfId="3399"/>
    <cellStyle name="汇总 2 2 4 3 3" xfId="3400"/>
    <cellStyle name="Accent3 11 18" xfId="3401"/>
    <cellStyle name="汇总 3 5 2 4" xfId="3402"/>
    <cellStyle name="Accent4 5 3 2" xfId="3403"/>
    <cellStyle name="20% - 强调文字颜色 6 4 9" xfId="3404"/>
    <cellStyle name="40% - 强调文字颜色 1 2" xfId="3405"/>
    <cellStyle name="40% - 强调文字颜色 1 2 10" xfId="3406"/>
    <cellStyle name="标题 1 2 4 2" xfId="3407"/>
    <cellStyle name="40% - 强调文字颜色 1 2 11" xfId="3408"/>
    <cellStyle name="40% - 强调文字颜色 1 2 12" xfId="3409"/>
    <cellStyle name="40% - 强调文字颜色 1 2 13" xfId="3410"/>
    <cellStyle name="40% - 强调文字颜色 1 2 14" xfId="3411"/>
    <cellStyle name="40% - 强调文字颜色 1 2 20" xfId="3412"/>
    <cellStyle name="40% - 强调文字颜色 1 2 15" xfId="3413"/>
    <cellStyle name="40% - 强调文字颜色 1 2 21" xfId="3414"/>
    <cellStyle name="40% - 强调文字颜色 1 2 16" xfId="3415"/>
    <cellStyle name="40% - 强调文字颜色 1 2 22" xfId="3416"/>
    <cellStyle name="40% - 强调文字颜色 1 2 17" xfId="3417"/>
    <cellStyle name="40% - 强调文字颜色 1 2 23" xfId="3418"/>
    <cellStyle name="40% - 强调文字颜色 1 2 18" xfId="3419"/>
    <cellStyle name="40% - 强调文字颜色 1 2 19" xfId="3420"/>
    <cellStyle name="Accent5 12 7" xfId="3421"/>
    <cellStyle name="Accent4 - 60% 2 14" xfId="3422"/>
    <cellStyle name="部门 2 16" xfId="3423"/>
    <cellStyle name="40% - 强调文字颜色 1 2 2 10" xfId="3424"/>
    <cellStyle name="Accent5 12 8" xfId="3425"/>
    <cellStyle name="Accent4 - 60% 2 15" xfId="3426"/>
    <cellStyle name="部门 2 17" xfId="3427"/>
    <cellStyle name="40% - 强调文字颜色 1 2 2 11" xfId="3428"/>
    <cellStyle name="origAmountDrD 5 2 2 6" xfId="3429"/>
    <cellStyle name="Accent2 13 15" xfId="3430"/>
    <cellStyle name="Accent1 3 2 6" xfId="3431"/>
    <cellStyle name="输入 2 2 3 2 5" xfId="3432"/>
    <cellStyle name="origAmountCrD 4 2 2 8" xfId="3433"/>
    <cellStyle name="Accent3 8 10" xfId="3434"/>
    <cellStyle name="输入 3 2 4 2 12" xfId="3435"/>
    <cellStyle name="常规 67 3 11" xfId="3436"/>
    <cellStyle name="常规 72 3 11" xfId="3437"/>
    <cellStyle name="40% - 强调文字颜色 1 2 2 2" xfId="3438"/>
    <cellStyle name="origAmountDrD 5 2 2 7" xfId="3439"/>
    <cellStyle name="Accent2 13 16" xfId="3440"/>
    <cellStyle name="Accent1 3 2 7" xfId="3441"/>
    <cellStyle name="输入 2 2 3 2 6" xfId="3442"/>
    <cellStyle name="origAmountCrD 4 2 2 9" xfId="3443"/>
    <cellStyle name="Accent3 8 11" xfId="3444"/>
    <cellStyle name="常规 67 3 12" xfId="3445"/>
    <cellStyle name="常规 72 3 12" xfId="3446"/>
    <cellStyle name="40% - 强调文字颜色 1 2 2 3" xfId="3447"/>
    <cellStyle name="Accent4 - 60% 2 2 12" xfId="3448"/>
    <cellStyle name="Header2 2 9 3" xfId="3449"/>
    <cellStyle name="40% - 强调文字颜色 5 3 2 8" xfId="3450"/>
    <cellStyle name="Grey 15" xfId="3451"/>
    <cellStyle name="输出 3 2 12 2 6" xfId="3452"/>
    <cellStyle name="40% - 强调文字颜色 1 2 2 3 2" xfId="3453"/>
    <cellStyle name="常规 96 15" xfId="3454"/>
    <cellStyle name="常规 96 20" xfId="3455"/>
    <cellStyle name="Accent5 12 12" xfId="3456"/>
    <cellStyle name="汇总 3 4" xfId="3457"/>
    <cellStyle name="PSHeading 6 13" xfId="3458"/>
    <cellStyle name="Input [yellow] 2 10 2 8" xfId="3459"/>
    <cellStyle name="40% - 强调文字颜色 5 2 3 11" xfId="3460"/>
    <cellStyle name="40% - 强调文字颜色 1 2 2 3 2 2" xfId="3461"/>
    <cellStyle name="汇总 3 4 2" xfId="3462"/>
    <cellStyle name="origAmountCrD 7 3 3" xfId="3463"/>
    <cellStyle name="40% - 强调文字颜色 5 2 3 12" xfId="3464"/>
    <cellStyle name="Input [yellow] 3 2 2 3 2" xfId="3465"/>
    <cellStyle name="40% - 强调文字颜色 1 2 2 3 2 3" xfId="3466"/>
    <cellStyle name="Accent4 - 60% 2 2 13" xfId="3467"/>
    <cellStyle name="Header2 2 9 4" xfId="3468"/>
    <cellStyle name="40% - 强调文字颜色 5 3 2 9" xfId="3469"/>
    <cellStyle name="Grey 16" xfId="3470"/>
    <cellStyle name="Accent1 6 10" xfId="3471"/>
    <cellStyle name="Accent5 12 13" xfId="3472"/>
    <cellStyle name="汇总 3 5" xfId="3473"/>
    <cellStyle name="PSHeading 6 14" xfId="3474"/>
    <cellStyle name="Input [yellow] 5 2 2 10" xfId="3475"/>
    <cellStyle name="Input [yellow] 2 10 2 9" xfId="3476"/>
    <cellStyle name="输出 3 2 12 2 7" xfId="3477"/>
    <cellStyle name="40% - 强调文字颜色 1 2 2 3 3" xfId="3478"/>
    <cellStyle name="常规 96 16" xfId="3479"/>
    <cellStyle name="常规 96 21" xfId="3480"/>
    <cellStyle name="origAmountDrD 5 2 2 8" xfId="3481"/>
    <cellStyle name="Accent2 13 17" xfId="3482"/>
    <cellStyle name="Accent1 3 2 8" xfId="3483"/>
    <cellStyle name="输入 2 2 3 2 7" xfId="3484"/>
    <cellStyle name="origAmountCrD 12 2 10" xfId="3485"/>
    <cellStyle name="Accent3 8 12" xfId="3486"/>
    <cellStyle name="常规 67 3 13" xfId="3487"/>
    <cellStyle name="常规 72 3 13" xfId="3488"/>
    <cellStyle name="40% - 强调文字颜色 1 2 2 4" xfId="3489"/>
    <cellStyle name="origAmountDrD 5 2 2 9" xfId="3490"/>
    <cellStyle name="Accent2 13 18" xfId="3491"/>
    <cellStyle name="Accent1 3 2 9" xfId="3492"/>
    <cellStyle name="输入 2 2 3 2 8" xfId="3493"/>
    <cellStyle name="origAmountCrD 12 2 11" xfId="3494"/>
    <cellStyle name="Accent3 8 13" xfId="3495"/>
    <cellStyle name="常规 103 3 2" xfId="3496"/>
    <cellStyle name="常规 67 3 14" xfId="3497"/>
    <cellStyle name="常规 72 3 14" xfId="3498"/>
    <cellStyle name="40% - 强调文字颜色 1 2 2 5" xfId="3499"/>
    <cellStyle name="Accent3 8 14" xfId="3500"/>
    <cellStyle name="常规 103 3 3" xfId="3501"/>
    <cellStyle name="常规 67 3 15" xfId="3502"/>
    <cellStyle name="常规 72 3 15" xfId="3503"/>
    <cellStyle name="40% - 强调文字颜色 1 2 2 6" xfId="3504"/>
    <cellStyle name="Accent3 8 15" xfId="3505"/>
    <cellStyle name="常规 103 3 4" xfId="3506"/>
    <cellStyle name="常规 67 3 16" xfId="3507"/>
    <cellStyle name="常规 72 3 16" xfId="3508"/>
    <cellStyle name="40% - 强调文字颜色 1 2 2 7" xfId="3509"/>
    <cellStyle name="Accent3 8 16" xfId="3510"/>
    <cellStyle name="常规 103 3 5" xfId="3511"/>
    <cellStyle name="常规 67 3 17" xfId="3512"/>
    <cellStyle name="常规 72 3 17" xfId="3513"/>
    <cellStyle name="40% - 强调文字颜色 1 2 2 8" xfId="3514"/>
    <cellStyle name="Accent3 8 17" xfId="3515"/>
    <cellStyle name="常规 103 3 6" xfId="3516"/>
    <cellStyle name="常规 67 3 18" xfId="3517"/>
    <cellStyle name="常规 72 3 18" xfId="3518"/>
    <cellStyle name="40% - 强调文字颜色 1 2 2 9" xfId="3519"/>
    <cellStyle name="Grey 2" xfId="3520"/>
    <cellStyle name="计算 2 2 12 11" xfId="3521"/>
    <cellStyle name="60% - 强调文字颜色 2 2 8" xfId="3522"/>
    <cellStyle name="40% - 强调文字颜色 1 2 3" xfId="3523"/>
    <cellStyle name="计算 2 2 8 2 8" xfId="3524"/>
    <cellStyle name="60% - 强调文字颜色 6 2 5" xfId="3525"/>
    <cellStyle name="Accent4 - 60% 3 14" xfId="3526"/>
    <cellStyle name="40% - 强调文字颜色 1 2 3 10" xfId="3527"/>
    <cellStyle name="计算 2 2 8 2 9" xfId="3528"/>
    <cellStyle name="60% - 强调文字颜色 6 2 6" xfId="3529"/>
    <cellStyle name="Accent4 - 60% 3 15" xfId="3530"/>
    <cellStyle name="常规 36 3 3 2 2" xfId="3531"/>
    <cellStyle name="常规 41 3 3 2 2" xfId="3532"/>
    <cellStyle name="40% - 强调文字颜色 1 2 3 11" xfId="3533"/>
    <cellStyle name="Input [yellow] 2 7 2 3 2" xfId="3534"/>
    <cellStyle name="60% - 强调文字颜色 6 2 7" xfId="3535"/>
    <cellStyle name="40% - 强调文字颜色 5 2 2" xfId="3536"/>
    <cellStyle name="Accent4 - 60% 3 16" xfId="3537"/>
    <cellStyle name="常规 36 3 3 2 3" xfId="3538"/>
    <cellStyle name="常规 41 3 3 2 3" xfId="3539"/>
    <cellStyle name="40% - 强调文字颜色 1 2 3 12" xfId="3540"/>
    <cellStyle name="40% - 强调文字颜色 5 2 3" xfId="3541"/>
    <cellStyle name="Accent2 - 60% 3 2" xfId="3542"/>
    <cellStyle name="Input [yellow] 2 7 2 3 3" xfId="3543"/>
    <cellStyle name="60% - 强调文字颜色 6 2 8" xfId="3544"/>
    <cellStyle name="Accent5 5 10" xfId="3545"/>
    <cellStyle name="Accent4 - 60% 3 17" xfId="3546"/>
    <cellStyle name="40% - 强调文字颜色 1 2 3 13" xfId="3547"/>
    <cellStyle name="40% - 强调文字颜色 5 2 4" xfId="3548"/>
    <cellStyle name="Accent2 - 60% 3 3" xfId="3549"/>
    <cellStyle name="60% - 强调文字颜色 6 2 9" xfId="3550"/>
    <cellStyle name="Accent5 5 11" xfId="3551"/>
    <cellStyle name="Accent4 - 60% 3 18" xfId="3552"/>
    <cellStyle name="40% - 强调文字颜色 1 2 3 14" xfId="3553"/>
    <cellStyle name="40% - 强调文字颜色 5 2 5" xfId="3554"/>
    <cellStyle name="Accent2 - 60% 3 4" xfId="3555"/>
    <cellStyle name="40% - 强调文字颜色 1 2 3 15" xfId="3556"/>
    <cellStyle name="Accent5 5 12" xfId="3557"/>
    <cellStyle name="40% - 强调文字颜色 5 2 6" xfId="3558"/>
    <cellStyle name="Accent2 - 60% 3 5" xfId="3559"/>
    <cellStyle name="60% - 强调文字颜色 1 2 3 3 2" xfId="3560"/>
    <cellStyle name="40% - 强调文字颜色 1 2 3 16" xfId="3561"/>
    <cellStyle name="常规 66 2 4 2" xfId="3562"/>
    <cellStyle name="常规 71 2 4 2" xfId="3563"/>
    <cellStyle name="常规 29 10" xfId="3564"/>
    <cellStyle name="常规 34 10" xfId="3565"/>
    <cellStyle name="Accent5 5 13" xfId="3566"/>
    <cellStyle name="40% - 强调文字颜色 1 2 3 2" xfId="3567"/>
    <cellStyle name="40% - 强调文字颜色 1 2 3 3" xfId="3568"/>
    <cellStyle name="40% - 强调文字颜色 1 2 3 3 2" xfId="3569"/>
    <cellStyle name="Input [yellow] 2 11 2 8" xfId="3570"/>
    <cellStyle name="商品名称 4 4" xfId="3571"/>
    <cellStyle name="40% - 强调文字颜色 1 2 3 3 2 2" xfId="3572"/>
    <cellStyle name="商品名称 4 5" xfId="3573"/>
    <cellStyle name="Input [yellow] 3 3 2 3 2" xfId="3574"/>
    <cellStyle name="40% - 强调文字颜色 1 2 3 3 2 3" xfId="3575"/>
    <cellStyle name="origAmountCrD 6 2 2 10" xfId="3576"/>
    <cellStyle name="40% - 强调文字颜色 1 2 3 3 3" xfId="3577"/>
    <cellStyle name="Input [yellow] 2 11 2 9" xfId="3578"/>
    <cellStyle name="40% - 强调文字颜色 1 2 3 4" xfId="3579"/>
    <cellStyle name="40% - 强调文字颜色 1 2 3 5" xfId="3580"/>
    <cellStyle name="Accent4 - 20% 9" xfId="3581"/>
    <cellStyle name="汇总 3 2 6 15" xfId="3582"/>
    <cellStyle name="Accent3 10 3 2" xfId="3583"/>
    <cellStyle name="40% - 强调文字颜色 1 2 3 6" xfId="3584"/>
    <cellStyle name="Input [yellow] 2 7 2 10" xfId="3585"/>
    <cellStyle name="Accent3 10 3 3" xfId="3586"/>
    <cellStyle name="40% - 强调文字颜色 1 2 3 7" xfId="3587"/>
    <cellStyle name="40% - 强调文字颜色 1 2 3 8" xfId="3588"/>
    <cellStyle name="PSDec 2 10" xfId="3589"/>
    <cellStyle name="40% - 强调文字颜色 1 2 3 9" xfId="3590"/>
    <cellStyle name="计算 2 2 12 12" xfId="3591"/>
    <cellStyle name="60% - 强调文字颜色 2 2 9" xfId="3592"/>
    <cellStyle name="常规 65 2 2 3 2 2" xfId="3593"/>
    <cellStyle name="常规 70 2 2 3 2 2" xfId="3594"/>
    <cellStyle name="40% - 强调文字颜色 1 2 4" xfId="3595"/>
    <cellStyle name="40% - 强调文字颜色 1 2 5" xfId="3596"/>
    <cellStyle name="输出 3 3 4 2 8" xfId="3597"/>
    <cellStyle name="40% - 强调文字颜色 1 2 5 2" xfId="3598"/>
    <cellStyle name="汇总 2 2 11 7" xfId="3599"/>
    <cellStyle name="Accent3 10 5" xfId="3600"/>
    <cellStyle name="40% - 强调文字颜色 1 2 5 2 2" xfId="3601"/>
    <cellStyle name="汇总 2 2 11 8" xfId="3602"/>
    <cellStyle name="Accent3 10 6" xfId="3603"/>
    <cellStyle name="40% - 强调文字颜色 1 2 5 2 3" xfId="3604"/>
    <cellStyle name="输出 3 3 4 2 9" xfId="3605"/>
    <cellStyle name="40% - 强调文字颜色 1 2 5 3" xfId="3606"/>
    <cellStyle name="40% - 强调文字颜色 1 2 6" xfId="3607"/>
    <cellStyle name="40% - 强调文字颜色 1 2 7" xfId="3608"/>
    <cellStyle name="40% - 强调文字颜色 1 2 8" xfId="3609"/>
    <cellStyle name="40% - 强调文字颜色 1 2 9" xfId="3610"/>
    <cellStyle name="40% - 强调文字颜色 1 3" xfId="3611"/>
    <cellStyle name="40% - 强调文字颜色 1 3 10" xfId="3612"/>
    <cellStyle name="40% - 强调文字颜色 1 3 11" xfId="3613"/>
    <cellStyle name="40% - 强调文字颜色 1 3 12" xfId="3614"/>
    <cellStyle name="常规 9 2 12" xfId="3615"/>
    <cellStyle name="Accent6 4 2" xfId="3616"/>
    <cellStyle name="40% - 强调文字颜色 1 3 13" xfId="3617"/>
    <cellStyle name="常规 9 2 13" xfId="3618"/>
    <cellStyle name="Accent6 4 3" xfId="3619"/>
    <cellStyle name="40% - 强调文字颜色 1 3 14" xfId="3620"/>
    <cellStyle name="常规 9 2 14" xfId="3621"/>
    <cellStyle name="常规 166 2 10" xfId="3622"/>
    <cellStyle name="Accent6 4 4" xfId="3623"/>
    <cellStyle name="40% - 强调文字颜色 1 3 15" xfId="3624"/>
    <cellStyle name="40% - 强调文字颜色 1 3 16" xfId="3625"/>
    <cellStyle name="40% - 强调文字颜色 1 3 17" xfId="3626"/>
    <cellStyle name="40% - 强调文字颜色 1 3 18" xfId="3627"/>
    <cellStyle name="40% - 强调文字颜色 1 3 2" xfId="3628"/>
    <cellStyle name="常规 9 2 2" xfId="3629"/>
    <cellStyle name="Accent6 10" xfId="3630"/>
    <cellStyle name="e鯪9Y_x000b_ 2 3" xfId="3631"/>
    <cellStyle name="40% - 强调文字颜色 1 3 2 10" xfId="3632"/>
    <cellStyle name="Accent6 10 10" xfId="3633"/>
    <cellStyle name="Accent6 12 7" xfId="3634"/>
    <cellStyle name="e鯪9Y_x000b_ 2 4" xfId="3635"/>
    <cellStyle name="40% - 强调文字颜色 1 3 2 11" xfId="3636"/>
    <cellStyle name="Accent6 10 11" xfId="3637"/>
    <cellStyle name="Accent6 12 8" xfId="3638"/>
    <cellStyle name="40% - 强调文字颜色 1 3 2 2" xfId="3639"/>
    <cellStyle name="Accent6 10 2" xfId="3640"/>
    <cellStyle name="40% - 强调文字颜色 1 3 2 3" xfId="3641"/>
    <cellStyle name="Accent6 10 3" xfId="3642"/>
    <cellStyle name="40% - 强调文字颜色 6 3 2 8" xfId="3643"/>
    <cellStyle name="40% - 强调文字颜色 1 3 2 3 2" xfId="3644"/>
    <cellStyle name="Accent6 10 3 2" xfId="3645"/>
    <cellStyle name="Accent6 12 12" xfId="3646"/>
    <cellStyle name="origAmountDrD 2 4 16" xfId="3647"/>
    <cellStyle name="Accent3 4 3" xfId="3648"/>
    <cellStyle name="40% - 强调文字颜色 1 3 2 3 2 2" xfId="3649"/>
    <cellStyle name="输出 3 7 14" xfId="3650"/>
    <cellStyle name="origAmountDrD 7 3 3" xfId="3651"/>
    <cellStyle name="Accent6 10 3 2 2" xfId="3652"/>
    <cellStyle name="origAmountDrD 2 4 17" xfId="3653"/>
    <cellStyle name="Accent3 4 4" xfId="3654"/>
    <cellStyle name="40% - 强调文字颜色 1 3 2 3 2 3" xfId="3655"/>
    <cellStyle name="Input [yellow] 4 2 2 3 2" xfId="3656"/>
    <cellStyle name="60% - 强调文字颜色 3 4 3 2" xfId="3657"/>
    <cellStyle name="输出 3 7 15" xfId="3658"/>
    <cellStyle name="Accent6 10 3 2 3" xfId="3659"/>
    <cellStyle name="40% - 强调文字颜色 6 3 2 9" xfId="3660"/>
    <cellStyle name="40% - 强调文字颜色 1 3 2 3 3" xfId="3661"/>
    <cellStyle name="Accent6 10 3 3" xfId="3662"/>
    <cellStyle name="Accent6 12 13" xfId="3663"/>
    <cellStyle name="40% - 强调文字颜色 1 3 2 4" xfId="3664"/>
    <cellStyle name="Accent6 10 4" xfId="3665"/>
    <cellStyle name="40% - 强调文字颜色 1 3 2 5" xfId="3666"/>
    <cellStyle name="Accent6 10 5" xfId="3667"/>
    <cellStyle name="Accent1 12 10" xfId="3668"/>
    <cellStyle name="输入 2 2 4 2 9" xfId="3669"/>
    <cellStyle name="Input [yellow] 13 2 2 7" xfId="3670"/>
    <cellStyle name="40% - 强调文字颜色 1 3 2 6" xfId="3671"/>
    <cellStyle name="Accent6 10 6" xfId="3672"/>
    <cellStyle name="Accent1 12 11" xfId="3673"/>
    <cellStyle name="输入 2 2 12 10" xfId="3674"/>
    <cellStyle name="Input [yellow] 13 2 2 8" xfId="3675"/>
    <cellStyle name="40% - 强调文字颜色 1 3 2 7" xfId="3676"/>
    <cellStyle name="Accent6 10 7" xfId="3677"/>
    <cellStyle name="Accent1 12 12" xfId="3678"/>
    <cellStyle name="Accent5 10 3 2" xfId="3679"/>
    <cellStyle name="输入 2 2 12 11" xfId="3680"/>
    <cellStyle name="Input [yellow] 13 2 2 9" xfId="3681"/>
    <cellStyle name="40% - 强调文字颜色 1 3 2 8" xfId="3682"/>
    <cellStyle name="Accent6 10 8" xfId="3683"/>
    <cellStyle name="Accent1 12 13" xfId="3684"/>
    <cellStyle name="Accent5 10 3 3" xfId="3685"/>
    <cellStyle name="输入 2 2 12 12" xfId="3686"/>
    <cellStyle name="40% - 强调文字颜色 1 3 2 9" xfId="3687"/>
    <cellStyle name="Accent6 10 9" xfId="3688"/>
    <cellStyle name="40% - 强调文字颜色 1 3 3" xfId="3689"/>
    <cellStyle name="常规 9 2 3" xfId="3690"/>
    <cellStyle name="Accent6 11" xfId="3691"/>
    <cellStyle name="40% - 强调文字颜色 1 3 3 2" xfId="3692"/>
    <cellStyle name="常规 9 2 3 2" xfId="3693"/>
    <cellStyle name="Accent6 11 2" xfId="3694"/>
    <cellStyle name="40% - 强调文字颜色 1 3 3 3" xfId="3695"/>
    <cellStyle name="常规 9 2 3 3" xfId="3696"/>
    <cellStyle name="Accent6 11 3" xfId="3697"/>
    <cellStyle name="40% - 强调文字颜色 1 3 4" xfId="3698"/>
    <cellStyle name="常规 117 2 4 2 2" xfId="3699"/>
    <cellStyle name="常规 122 2 4 2 2" xfId="3700"/>
    <cellStyle name="常规 9 2 4" xfId="3701"/>
    <cellStyle name="Accent6 12" xfId="3702"/>
    <cellStyle name="40% - 强调文字颜色 1 3 5" xfId="3703"/>
    <cellStyle name="常规 117 2 4 2 3" xfId="3704"/>
    <cellStyle name="常规 122 2 4 2 3" xfId="3705"/>
    <cellStyle name="常规 9 2 5" xfId="3706"/>
    <cellStyle name="Accent6 13" xfId="3707"/>
    <cellStyle name="40% - 强调文字颜色 1 3 6" xfId="3708"/>
    <cellStyle name="常规 9 2 6" xfId="3709"/>
    <cellStyle name="Accent6 14" xfId="3710"/>
    <cellStyle name="40% - 强调文字颜色 1 3 7" xfId="3711"/>
    <cellStyle name="常规 9 2 7" xfId="3712"/>
    <cellStyle name="Accent6 15" xfId="3713"/>
    <cellStyle name="Accent6 20" xfId="3714"/>
    <cellStyle name="40% - 强调文字颜色 1 3 8" xfId="3715"/>
    <cellStyle name="常规 9 2 8" xfId="3716"/>
    <cellStyle name="Accent6 16" xfId="3717"/>
    <cellStyle name="Accent6 21" xfId="3718"/>
    <cellStyle name="40% - 强调文字颜色 1 3 9" xfId="3719"/>
    <cellStyle name="常规 9 2 9" xfId="3720"/>
    <cellStyle name="Accent6 17" xfId="3721"/>
    <cellStyle name="Accent6 22" xfId="3722"/>
    <cellStyle name="计算 3 7 2 5" xfId="3723"/>
    <cellStyle name="Accent2 8 3 2" xfId="3724"/>
    <cellStyle name="汇总 2 5 8" xfId="3725"/>
    <cellStyle name="40% - 强调文字颜色 1 4 10" xfId="3726"/>
    <cellStyle name="计算 3 7 2 6" xfId="3727"/>
    <cellStyle name="Accent2 8 3 3" xfId="3728"/>
    <cellStyle name="汇总 2 5 9" xfId="3729"/>
    <cellStyle name="40% - 强调文字颜色 1 4 11" xfId="3730"/>
    <cellStyle name="常规 11 2 2" xfId="3731"/>
    <cellStyle name="40% - 强调文字颜色 1 4 12" xfId="3732"/>
    <cellStyle name="常规 11 2 3" xfId="3733"/>
    <cellStyle name="常规 9 3 12" xfId="3734"/>
    <cellStyle name="Accent6 9 2" xfId="3735"/>
    <cellStyle name="常规 78 5 2 2" xfId="3736"/>
    <cellStyle name="常规 83 5 2 2" xfId="3737"/>
    <cellStyle name="PSHeading 3 2" xfId="3738"/>
    <cellStyle name="40% - 强调文字颜色 1 4 13" xfId="3739"/>
    <cellStyle name="常规 11 2 4" xfId="3740"/>
    <cellStyle name="常规 9 3 13" xfId="3741"/>
    <cellStyle name="Accent6 9 3" xfId="3742"/>
    <cellStyle name="Accent3 10 3 2 2" xfId="3743"/>
    <cellStyle name="常规 78 5 2 3" xfId="3744"/>
    <cellStyle name="常规 83 5 2 3" xfId="3745"/>
    <cellStyle name="PSHeading 3 3" xfId="3746"/>
    <cellStyle name="40% - 强调文字颜色 1 4 14" xfId="3747"/>
    <cellStyle name="常规 11 2 5" xfId="3748"/>
    <cellStyle name="常规 9 3 14" xfId="3749"/>
    <cellStyle name="Accent6 9 4" xfId="3750"/>
    <cellStyle name="Accent3 10 3 2 3" xfId="3751"/>
    <cellStyle name="40% - 强调文字颜色 1 4 15" xfId="3752"/>
    <cellStyle name="常规 11 2 6" xfId="3753"/>
    <cellStyle name="PSHeading 3 4" xfId="3754"/>
    <cellStyle name="常规 9 3 15" xfId="3755"/>
    <cellStyle name="Accent6 9 5" xfId="3756"/>
    <cellStyle name="40% - 强调文字颜色 1 4 16" xfId="3757"/>
    <cellStyle name="常规 11 2 7" xfId="3758"/>
    <cellStyle name="PSHeading 3 5" xfId="3759"/>
    <cellStyle name="常规 9 3 16" xfId="3760"/>
    <cellStyle name="Accent6 9 6" xfId="3761"/>
    <cellStyle name="40% - 强调文字颜色 1 4 17" xfId="3762"/>
    <cellStyle name="常规 11 2 8" xfId="3763"/>
    <cellStyle name="PSHeading 3 6" xfId="3764"/>
    <cellStyle name="常规 9 3 17" xfId="3765"/>
    <cellStyle name="Accent6 9 7" xfId="3766"/>
    <cellStyle name="计算 2 2 9 2 2" xfId="3767"/>
    <cellStyle name="40% - 强调文字颜色 1 4 18" xfId="3768"/>
    <cellStyle name="常规 11 2 9" xfId="3769"/>
    <cellStyle name="PSHeading 3 7" xfId="3770"/>
    <cellStyle name="常规 9 3 18" xfId="3771"/>
    <cellStyle name="Accent6 9 8" xfId="3772"/>
    <cellStyle name="常规 86 2 11" xfId="3773"/>
    <cellStyle name="常规 91 2 11" xfId="3774"/>
    <cellStyle name="60% - 强调文字颜色 5 3 14" xfId="3775"/>
    <cellStyle name="输出 2 2 4 2 7" xfId="3776"/>
    <cellStyle name="60% - 强调文字颜色 1 3 2 3 2 2" xfId="3777"/>
    <cellStyle name="60% - 强调文字颜色 2 4 7" xfId="3778"/>
    <cellStyle name="40% - 强调文字颜色 1 4 2" xfId="3779"/>
    <cellStyle name="常规 86 2 12" xfId="3780"/>
    <cellStyle name="常规 91 2 12" xfId="3781"/>
    <cellStyle name="60% - 强调文字颜色 5 3 15" xfId="3782"/>
    <cellStyle name="输出 2 2 4 2 8" xfId="3783"/>
    <cellStyle name="60% - 强调文字颜色 1 3 2 3 2 3" xfId="3784"/>
    <cellStyle name="检查单元格 3 2 10" xfId="3785"/>
    <cellStyle name="60% - 强调文字颜色 2 4 8" xfId="3786"/>
    <cellStyle name="常规 158 10" xfId="3787"/>
    <cellStyle name="常规 163 10" xfId="3788"/>
    <cellStyle name="40% - 强调文字颜色 1 4 3" xfId="3789"/>
    <cellStyle name="汇总 2 5 17" xfId="3790"/>
    <cellStyle name="40% - 强调文字颜色 1 4 3 2" xfId="3791"/>
    <cellStyle name="Input [yellow] 3 8 8" xfId="3792"/>
    <cellStyle name="Accent3 - 60% 2 2 11" xfId="3793"/>
    <cellStyle name="40% - 强调文字颜色 1 4 3 2 2" xfId="3794"/>
    <cellStyle name="Input [yellow] 3 8 9" xfId="3795"/>
    <cellStyle name="Accent3 - 60% 2 2 12" xfId="3796"/>
    <cellStyle name="40% - 强调文字颜色 1 4 3 2 3" xfId="3797"/>
    <cellStyle name="汇总 2 5 18" xfId="3798"/>
    <cellStyle name="40% - 强调文字颜色 1 4 3 3" xfId="3799"/>
    <cellStyle name="常规 86 2 13" xfId="3800"/>
    <cellStyle name="常规 91 2 13" xfId="3801"/>
    <cellStyle name="60% - 强调文字颜色 5 3 16" xfId="3802"/>
    <cellStyle name="60% - 强调文字颜色 4 2 5 2 2" xfId="3803"/>
    <cellStyle name="60% - 强调文字颜色 2 4 9" xfId="3804"/>
    <cellStyle name="常规 158 11" xfId="3805"/>
    <cellStyle name="常规 163 11" xfId="3806"/>
    <cellStyle name="40% - 强调文字颜色 1 4 4" xfId="3807"/>
    <cellStyle name="常规 86 2 14" xfId="3808"/>
    <cellStyle name="常规 91 2 14" xfId="3809"/>
    <cellStyle name="60% - 强调文字颜色 5 3 17" xfId="3810"/>
    <cellStyle name="60% - 强调文字颜色 4 2 5 2 3" xfId="3811"/>
    <cellStyle name="常规 158 12" xfId="3812"/>
    <cellStyle name="常规 163 12" xfId="3813"/>
    <cellStyle name="40% - 强调文字颜色 1 4 5" xfId="3814"/>
    <cellStyle name="常规 86 2 15" xfId="3815"/>
    <cellStyle name="常规 91 2 15" xfId="3816"/>
    <cellStyle name="60% - 强调文字颜色 5 3 18" xfId="3817"/>
    <cellStyle name="常规 158 13" xfId="3818"/>
    <cellStyle name="常规 163 13" xfId="3819"/>
    <cellStyle name="40% - 强调文字颜色 1 4 6" xfId="3820"/>
    <cellStyle name="常规 158 14" xfId="3821"/>
    <cellStyle name="常规 163 14" xfId="3822"/>
    <cellStyle name="40% - 强调文字颜色 1 4 7" xfId="3823"/>
    <cellStyle name="常规 158 15" xfId="3824"/>
    <cellStyle name="常规 163 15" xfId="3825"/>
    <cellStyle name="常规 163 20" xfId="3826"/>
    <cellStyle name="40% - 强调文字颜色 1 4 8" xfId="3827"/>
    <cellStyle name="常规 158 16" xfId="3828"/>
    <cellStyle name="常规 163 16" xfId="3829"/>
    <cellStyle name="常规 163 21" xfId="3830"/>
    <cellStyle name="40% - 强调文字颜色 1 4 9" xfId="3831"/>
    <cellStyle name="Accent3 5 9" xfId="3832"/>
    <cellStyle name="Input [yellow] 4 3 2 11" xfId="3833"/>
    <cellStyle name="60% - 强调文字颜色 4 4 11" xfId="3834"/>
    <cellStyle name="6mal 2 14" xfId="3835"/>
    <cellStyle name="输出 2 2 6 2 11" xfId="3836"/>
    <cellStyle name="常规 48 2 10" xfId="3837"/>
    <cellStyle name="常规 53 2 10" xfId="3838"/>
    <cellStyle name="常规 47 2 4 2" xfId="3839"/>
    <cellStyle name="常规 52 2 4 2" xfId="3840"/>
    <cellStyle name="40% - 强调文字颜色 2 2" xfId="3841"/>
    <cellStyle name="40% - 强调文字颜色 2 2 10" xfId="3842"/>
    <cellStyle name="40% - 强调文字颜色 2 2 11" xfId="3843"/>
    <cellStyle name="40% - 强调文字颜色 4 2 2 3 2 2" xfId="3844"/>
    <cellStyle name="40% - 强调文字颜色 2 2 12" xfId="3845"/>
    <cellStyle name="40% - 强调文字颜色 4 2 2 3 2 3" xfId="3846"/>
    <cellStyle name="40% - 强调文字颜色 2 2 13" xfId="3847"/>
    <cellStyle name="Accent4 - 40% 3 10" xfId="3848"/>
    <cellStyle name="40% - 强调文字颜色 2 2 14" xfId="3849"/>
    <cellStyle name="40% - 强调文字颜色 5 2 3 3 2 2" xfId="3850"/>
    <cellStyle name="Accent4 - 40% 3 11" xfId="3851"/>
    <cellStyle name="40% - 强调文字颜色 2 2 20" xfId="3852"/>
    <cellStyle name="40% - 强调文字颜色 2 2 15" xfId="3853"/>
    <cellStyle name="40% - 强调文字颜色 5 2 3 3 2 3" xfId="3854"/>
    <cellStyle name="Accent4 - 40% 3 12" xfId="3855"/>
    <cellStyle name="40% - 强调文字颜色 2 2 21" xfId="3856"/>
    <cellStyle name="40% - 强调文字颜色 2 2 16" xfId="3857"/>
    <cellStyle name="常规 100 5 2 2" xfId="3858"/>
    <cellStyle name="origAmountDrD 2 2 2 3 2" xfId="3859"/>
    <cellStyle name="60% - 强调文字颜色 5 3 2" xfId="3860"/>
    <cellStyle name="Accent4 - 40% 3 13" xfId="3861"/>
    <cellStyle name="40% - 强调文字颜色 2 2 22" xfId="3862"/>
    <cellStyle name="40% - 强调文字颜色 2 2 17" xfId="3863"/>
    <cellStyle name="常规 100 5 2 3" xfId="3864"/>
    <cellStyle name="origAmountDrD 2 2 2 3 3" xfId="3865"/>
    <cellStyle name="60% - 强调文字颜色 5 3 3" xfId="3866"/>
    <cellStyle name="Accent4 - 40% 3 14" xfId="3867"/>
    <cellStyle name="40% - 强调文字颜色 2 2 23" xfId="3868"/>
    <cellStyle name="40% - 强调文字颜色 2 2 18" xfId="3869"/>
    <cellStyle name="60% - 强调文字颜色 5 3 4" xfId="3870"/>
    <cellStyle name="Accent4 - 40% 3 15" xfId="3871"/>
    <cellStyle name="40% - 强调文字颜色 2 2 19" xfId="3872"/>
    <cellStyle name="常规 125 10" xfId="3873"/>
    <cellStyle name="常规 130 10" xfId="3874"/>
    <cellStyle name="60% - 强调文字颜色 2 2 3 5" xfId="3875"/>
    <cellStyle name="常规 3 2 17" xfId="3876"/>
    <cellStyle name="comma zerodec 4" xfId="3877"/>
    <cellStyle name="输入 2 3 6 11" xfId="3878"/>
    <cellStyle name="60% - 强调文字颜色 3 2 7" xfId="3879"/>
    <cellStyle name="常规 155 2 13" xfId="3880"/>
    <cellStyle name="常规 160 2 13" xfId="3881"/>
    <cellStyle name="常规 47 2 4 2 2" xfId="3882"/>
    <cellStyle name="常规 52 2 4 2 2" xfId="3883"/>
    <cellStyle name="40% - 强调文字颜色 2 2 2" xfId="3884"/>
    <cellStyle name="Accent3 2 2 5" xfId="3885"/>
    <cellStyle name="40% - 强调文字颜色 2 2 2 10" xfId="3886"/>
    <cellStyle name="Accent3 2 2 6" xfId="3887"/>
    <cellStyle name="40% - 强调文字颜色 2 2 2 11" xfId="3888"/>
    <cellStyle name="Accent3 2 2 7" xfId="3889"/>
    <cellStyle name="标题 2 3 2 2" xfId="3890"/>
    <cellStyle name="40% - 强调文字颜色 2 2 2 12" xfId="3891"/>
    <cellStyle name="Accent2 - 20% 2 2 3 2" xfId="3892"/>
    <cellStyle name="Accent3 2 2 8" xfId="3893"/>
    <cellStyle name="标题 2 3 2 3" xfId="3894"/>
    <cellStyle name="40% - 强调文字颜色 2 2 2 13" xfId="3895"/>
    <cellStyle name="Accent2 - 20% 2 2 3 3" xfId="3896"/>
    <cellStyle name="Accent3 2 2 9" xfId="3897"/>
    <cellStyle name="标题 2 3 2 4" xfId="3898"/>
    <cellStyle name="40% - 强调文字颜色 2 2 2 14" xfId="3899"/>
    <cellStyle name="标题 2 3 2 5" xfId="3900"/>
    <cellStyle name="40% - 强调文字颜色 2 2 2 15" xfId="3901"/>
    <cellStyle name="Input [yellow] 3 4 2 2" xfId="3902"/>
    <cellStyle name="注释 2 5 6" xfId="3903"/>
    <cellStyle name="标题 2 3 2 6" xfId="3904"/>
    <cellStyle name="40% - 强调文字颜色 2 2 2 16" xfId="3905"/>
    <cellStyle name="Input [yellow] 3 4 2 3" xfId="3906"/>
    <cellStyle name="注释 2 5 7" xfId="3907"/>
    <cellStyle name="标题 2 3 2 7" xfId="3908"/>
    <cellStyle name="40% - 强调文字颜色 2 2 2 17" xfId="3909"/>
    <cellStyle name="Input [yellow] 3 4 2 4" xfId="3910"/>
    <cellStyle name="注释 2 5 8" xfId="3911"/>
    <cellStyle name="标题 2 3 2 8" xfId="3912"/>
    <cellStyle name="40% - 强调文字颜色 2 2 2 18" xfId="3913"/>
    <cellStyle name="Input [yellow] 3 4 2 5" xfId="3914"/>
    <cellStyle name="注释 2 5 9" xfId="3915"/>
    <cellStyle name="origAmountDrD 6 2 2 6" xfId="3916"/>
    <cellStyle name="Accent3 13 15" xfId="3917"/>
    <cellStyle name="origAmountCrD 5 2 2 8" xfId="3918"/>
    <cellStyle name="输入 2 3 3 2 5" xfId="3919"/>
    <cellStyle name="Accent2 3 2 6" xfId="3920"/>
    <cellStyle name="Accent1 8 4" xfId="3921"/>
    <cellStyle name="常规 77 3 11" xfId="3922"/>
    <cellStyle name="常规 82 3 11" xfId="3923"/>
    <cellStyle name="Input [yellow] 7" xfId="3924"/>
    <cellStyle name="40% - 强调文字颜色 2 2 2 2" xfId="3925"/>
    <cellStyle name="60% - 强调文字颜色 1 4 14" xfId="3926"/>
    <cellStyle name="origAmountDrD 6 2 2 7" xfId="3927"/>
    <cellStyle name="Accent3 13 16" xfId="3928"/>
    <cellStyle name="origAmountCrD 5 2 2 9" xfId="3929"/>
    <cellStyle name="输入 2 3 3 2 6" xfId="3930"/>
    <cellStyle name="Accent2 3 2 7" xfId="3931"/>
    <cellStyle name="Accent1 8 5" xfId="3932"/>
    <cellStyle name="常规 77 3 12" xfId="3933"/>
    <cellStyle name="常规 82 3 12" xfId="3934"/>
    <cellStyle name="Input [yellow] 8" xfId="3935"/>
    <cellStyle name="40% - 强调文字颜色 2 2 2 3" xfId="3936"/>
    <cellStyle name="60% - 强调文字颜色 1 4 15" xfId="3937"/>
    <cellStyle name="Header2 8 16" xfId="3938"/>
    <cellStyle name="Input [yellow] 8 2" xfId="3939"/>
    <cellStyle name="40% - 强调文字颜色 2 2 2 3 2" xfId="3940"/>
    <cellStyle name="Header2 4 2 18" xfId="3941"/>
    <cellStyle name="Input [yellow] 8 2 2" xfId="3942"/>
    <cellStyle name="40% - 强调文字颜色 2 2 2 3 2 2" xfId="3943"/>
    <cellStyle name="Input [yellow] 8 2 3" xfId="3944"/>
    <cellStyle name="输出 3 3 2" xfId="3945"/>
    <cellStyle name="40% - 强调文字颜色 2 2 2 3 2 3" xfId="3946"/>
    <cellStyle name="40% - 强调文字颜色 2 2 2 3 3" xfId="3947"/>
    <cellStyle name="常规 44 2 2 3 2 2" xfId="3948"/>
    <cellStyle name="Header2 8 17" xfId="3949"/>
    <cellStyle name="Input [yellow] 8 3" xfId="3950"/>
    <cellStyle name="Header2 4 2 19" xfId="3951"/>
    <cellStyle name="origAmountDrD 6 2 2 8" xfId="3952"/>
    <cellStyle name="Accent3 13 17" xfId="3953"/>
    <cellStyle name="输入 2 3 3 2 7" xfId="3954"/>
    <cellStyle name="Accent2 3 2 8" xfId="3955"/>
    <cellStyle name="Accent1 8 6" xfId="3956"/>
    <cellStyle name="常规 77 3 13" xfId="3957"/>
    <cellStyle name="常规 82 3 13" xfId="3958"/>
    <cellStyle name="Input [yellow] 9" xfId="3959"/>
    <cellStyle name="40% - 强调文字颜色 2 2 2 4" xfId="3960"/>
    <cellStyle name="60% - 强调文字颜色 1 4 16" xfId="3961"/>
    <cellStyle name="origAmountDrD 6 2 2 9" xfId="3962"/>
    <cellStyle name="Accent3 13 18" xfId="3963"/>
    <cellStyle name="输入 2 3 3 2 8" xfId="3964"/>
    <cellStyle name="Accent2 3 2 9" xfId="3965"/>
    <cellStyle name="Accent1 8 7" xfId="3966"/>
    <cellStyle name="常规 77 3 14" xfId="3967"/>
    <cellStyle name="常规 82 3 14" xfId="3968"/>
    <cellStyle name="40% - 强调文字颜色 2 2 2 5" xfId="3969"/>
    <cellStyle name="60% - 强调文字颜色 1 4 17" xfId="3970"/>
    <cellStyle name="Accent1 8 8" xfId="3971"/>
    <cellStyle name="常规 77 3 15" xfId="3972"/>
    <cellStyle name="常规 82 3 15" xfId="3973"/>
    <cellStyle name="40% - 强调文字颜色 2 2 2 6" xfId="3974"/>
    <cellStyle name="60% - 强调文字颜色 1 4 18" xfId="3975"/>
    <cellStyle name="Accent1 8 9" xfId="3976"/>
    <cellStyle name="常规 77 3 16" xfId="3977"/>
    <cellStyle name="常规 82 3 16" xfId="3978"/>
    <cellStyle name="40% - 强调文字颜色 2 2 2 7" xfId="3979"/>
    <cellStyle name="常规 77 3 17" xfId="3980"/>
    <cellStyle name="常规 82 3 17" xfId="3981"/>
    <cellStyle name="40% - 强调文字颜色 2 2 2 8" xfId="3982"/>
    <cellStyle name="常规 77 3 18" xfId="3983"/>
    <cellStyle name="常规 82 3 18" xfId="3984"/>
    <cellStyle name="40% - 强调文字颜色 2 2 2 9" xfId="3985"/>
    <cellStyle name="60% - 强调文字颜色 2 2 3 6" xfId="3986"/>
    <cellStyle name="常规 3 2 18" xfId="3987"/>
    <cellStyle name="comma zerodec 5" xfId="3988"/>
    <cellStyle name="输入 2 3 6 12" xfId="3989"/>
    <cellStyle name="60% - 强调文字颜色 3 2 8" xfId="3990"/>
    <cellStyle name="常规 155 2 14" xfId="3991"/>
    <cellStyle name="常规 160 2 14" xfId="3992"/>
    <cellStyle name="常规 47 2 4 2 3" xfId="3993"/>
    <cellStyle name="常规 52 2 4 2 3" xfId="3994"/>
    <cellStyle name="40% - 强调文字颜色 2 2 3" xfId="3995"/>
    <cellStyle name="Input [yellow] 2 11 2 2 7" xfId="3996"/>
    <cellStyle name="40% - 强调文字颜色 2 2 3 10" xfId="3997"/>
    <cellStyle name="Input [yellow] 2 11 2 2 8" xfId="3998"/>
    <cellStyle name="40% - 强调文字颜色 2 2 3 11" xfId="3999"/>
    <cellStyle name="Input [yellow] 2 11 2 2 9" xfId="4000"/>
    <cellStyle name="40% - 强调文字颜色 2 2 3 12" xfId="4001"/>
    <cellStyle name="40% - 强调文字颜色 2 2 3 13" xfId="4002"/>
    <cellStyle name="40% - 强调文字颜色 2 2 3 14" xfId="4003"/>
    <cellStyle name="Currency1" xfId="4004"/>
    <cellStyle name="40% - 强调文字颜色 2 2 3 15" xfId="4005"/>
    <cellStyle name="40% - 强调文字颜色 2 2 3 16" xfId="4006"/>
    <cellStyle name="40% - 强调文字颜色 2 2 3 17" xfId="4007"/>
    <cellStyle name="40% - 强调文字颜色 2 2 3 18" xfId="4008"/>
    <cellStyle name="常规 8 3 14" xfId="4009"/>
    <cellStyle name="Accent1 9 4" xfId="4010"/>
    <cellStyle name="40% - 强调文字颜色 2 2 3 2" xfId="4011"/>
    <cellStyle name="常规 8 3 15" xfId="4012"/>
    <cellStyle name="Accent1 9 5" xfId="4013"/>
    <cellStyle name="40% - 强调文字颜色 2 2 3 3" xfId="4014"/>
    <cellStyle name="Input [yellow] 2 11 2 2 12" xfId="4015"/>
    <cellStyle name="40% - 强调文字颜色 2 2 3 3 2" xfId="4016"/>
    <cellStyle name="40% - 强调文字颜色 5 2 3 13" xfId="4017"/>
    <cellStyle name="汇总 3 4 4" xfId="4018"/>
    <cellStyle name="40% - 强调文字颜色 2 2 3 3 2 2" xfId="4019"/>
    <cellStyle name="Input [yellow] 3 2 2 3 3" xfId="4020"/>
    <cellStyle name="40% - 强调文字颜色 5 2 3 14" xfId="4021"/>
    <cellStyle name="汇总 3 4 5" xfId="4022"/>
    <cellStyle name="40% - 强调文字颜色 2 2 3 3 2 3" xfId="4023"/>
    <cellStyle name="40% - 强调文字颜色 2 2 3 3 3" xfId="4024"/>
    <cellStyle name="常规 8 3 16" xfId="4025"/>
    <cellStyle name="Accent1 9 6" xfId="4026"/>
    <cellStyle name="40% - 强调文字颜色 2 2 3 4" xfId="4027"/>
    <cellStyle name="常规 8 3 17" xfId="4028"/>
    <cellStyle name="Accent1 9 7" xfId="4029"/>
    <cellStyle name="40% - 强调文字颜色 2 2 3 5" xfId="4030"/>
    <cellStyle name="常规 8 3 18" xfId="4031"/>
    <cellStyle name="Accent1 9 8" xfId="4032"/>
    <cellStyle name="Input [yellow] 2 2 3 2 2 10" xfId="4033"/>
    <cellStyle name="40% - 强调文字颜色 2 2 3 6" xfId="4034"/>
    <cellStyle name="Accent1 9 9" xfId="4035"/>
    <cellStyle name="Input [yellow] 2 2 3 2 2 11" xfId="4036"/>
    <cellStyle name="40% - 强调文字颜色 2 2 3 7" xfId="4037"/>
    <cellStyle name="注释 3 2 2 10" xfId="4038"/>
    <cellStyle name="Input [yellow] 2 2 3 2 2 12" xfId="4039"/>
    <cellStyle name="40% - 强调文字颜色 2 2 3 8" xfId="4040"/>
    <cellStyle name="常规 19 5 3" xfId="4041"/>
    <cellStyle name="常规 24 5 3" xfId="4042"/>
    <cellStyle name="Input [yellow] 3 3 2 2 2 2" xfId="4043"/>
    <cellStyle name="计算 2 2 4 2 5" xfId="4044"/>
    <cellStyle name="60% - 强调文字颜色 2 2 2" xfId="4045"/>
    <cellStyle name="40% - 强调文字颜色 2 2 3 9" xfId="4046"/>
    <cellStyle name="60% - 强调文字颜色 2 2 3 7" xfId="4047"/>
    <cellStyle name="常规 3 2 19" xfId="4048"/>
    <cellStyle name="comma zerodec 6" xfId="4049"/>
    <cellStyle name="60% - 强调文字颜色 3 2 9" xfId="4050"/>
    <cellStyle name="常规 155 2 15" xfId="4051"/>
    <cellStyle name="常规 160 2 15" xfId="4052"/>
    <cellStyle name="origAmountCrD 2 5 2" xfId="4053"/>
    <cellStyle name="40% - 强调文字颜色 2 2 4" xfId="4054"/>
    <cellStyle name="常规 155 2 16" xfId="4055"/>
    <cellStyle name="常规 160 2 16" xfId="4056"/>
    <cellStyle name="origAmountCrD 2 5 3" xfId="4057"/>
    <cellStyle name="comma zerodec 7" xfId="4058"/>
    <cellStyle name="60% - 强调文字颜色 2 2 3 8" xfId="4059"/>
    <cellStyle name="40% - 强调文字颜色 2 2 5" xfId="4060"/>
    <cellStyle name="常规 57 15" xfId="4061"/>
    <cellStyle name="常规 57 20" xfId="4062"/>
    <cellStyle name="常规 62 15" xfId="4063"/>
    <cellStyle name="常规 62 20" xfId="4064"/>
    <cellStyle name="40% - 强调文字颜色 2 2 5 2" xfId="4065"/>
    <cellStyle name="常规 125 3 7" xfId="4066"/>
    <cellStyle name="常规 130 3 7" xfId="4067"/>
    <cellStyle name="Accent6 28" xfId="4068"/>
    <cellStyle name="Accent6 33" xfId="4069"/>
    <cellStyle name="40% - 强调文字颜色 2 2 5 2 2" xfId="4070"/>
    <cellStyle name="e鯪9Y_x000b_ 2 10" xfId="4071"/>
    <cellStyle name="输入 2 2 27" xfId="4072"/>
    <cellStyle name="常规 139 4" xfId="4073"/>
    <cellStyle name="常规 144 4" xfId="4074"/>
    <cellStyle name="40% - 强调文字颜色 6 3 3 2" xfId="4075"/>
    <cellStyle name="40% - 强调文字颜色 2 2 5 2 3" xfId="4076"/>
    <cellStyle name="e鯪9Y_x000b_ 2 11" xfId="4077"/>
    <cellStyle name="常规 57 16" xfId="4078"/>
    <cellStyle name="常规 57 21" xfId="4079"/>
    <cellStyle name="常规 62 16" xfId="4080"/>
    <cellStyle name="常规 62 21" xfId="4081"/>
    <cellStyle name="40% - 强调文字颜色 2 2 5 3" xfId="4082"/>
    <cellStyle name="常规 125 3 8" xfId="4083"/>
    <cellStyle name="常规 130 3 8" xfId="4084"/>
    <cellStyle name="Accent6 29" xfId="4085"/>
    <cellStyle name="常规 155 2 17" xfId="4086"/>
    <cellStyle name="常规 160 2 17" xfId="4087"/>
    <cellStyle name="comma zerodec 8" xfId="4088"/>
    <cellStyle name="60% - 强调文字颜色 2 2 3 9" xfId="4089"/>
    <cellStyle name="40% - 强调文字颜色 2 2 6" xfId="4090"/>
    <cellStyle name="40% - 强调文字颜色 2 3" xfId="4091"/>
    <cellStyle name="常规 52 2 4 3" xfId="4092"/>
    <cellStyle name="常规 48 2 11" xfId="4093"/>
    <cellStyle name="常规 53 2 11" xfId="4094"/>
    <cellStyle name="常规 47 2 4 3" xfId="4095"/>
    <cellStyle name="输出 2 2 6 2 12" xfId="4096"/>
    <cellStyle name="汇总 3 6 10" xfId="4097"/>
    <cellStyle name="60% - 强调文字颜色 4 4 12" xfId="4098"/>
    <cellStyle name="Input [yellow] 4 3 2 12" xfId="4099"/>
    <cellStyle name="6mal 2 15" xfId="4100"/>
    <cellStyle name="40% - 强调文字颜色 2 3 10" xfId="4101"/>
    <cellStyle name="强调文字颜色 6 3 2 5" xfId="4102"/>
    <cellStyle name="Header2 2 4 17" xfId="4103"/>
    <cellStyle name="60% - 强调文字颜色 5 3" xfId="4104"/>
    <cellStyle name="40% - 强调文字颜色 2 3 11" xfId="4105"/>
    <cellStyle name="强调文字颜色 6 3 2 6" xfId="4106"/>
    <cellStyle name="Header2 2 4 18" xfId="4107"/>
    <cellStyle name="60% - 强调文字颜色 5 4" xfId="4108"/>
    <cellStyle name="Input [yellow] 4 4 2" xfId="4109"/>
    <cellStyle name="40% - 强调文字颜色 2 3 12" xfId="4110"/>
    <cellStyle name="强调文字颜色 6 3 2 7" xfId="4111"/>
    <cellStyle name="40% - 强调文字颜色 2 3 13" xfId="4112"/>
    <cellStyle name="强调文字颜色 6 3 2 8" xfId="4113"/>
    <cellStyle name="40% - 强调文字颜色 2 3 14" xfId="4114"/>
    <cellStyle name="强调文字颜色 6 3 2 9" xfId="4115"/>
    <cellStyle name="40% - 强调文字颜色 2 3 15" xfId="4116"/>
    <cellStyle name="40% - 强调文字颜色 2 3 16" xfId="4117"/>
    <cellStyle name="40% - 强调文字颜色 2 3 17" xfId="4118"/>
    <cellStyle name="40% - 强调文字颜色 2 3 18" xfId="4119"/>
    <cellStyle name="40% - 强调文字颜色 2 3 2" xfId="4120"/>
    <cellStyle name="标题 1 2 3 10" xfId="4121"/>
    <cellStyle name="Input [yellow] 3 6 2 2 9" xfId="4122"/>
    <cellStyle name="60% - 强调文字颜色 3 3 7" xfId="4123"/>
    <cellStyle name="Header2 2 6" xfId="4124"/>
    <cellStyle name="40% - 强调文字颜色 2 3 2 10" xfId="4125"/>
    <cellStyle name="常规 150 9" xfId="4126"/>
    <cellStyle name="常规 145 9" xfId="4127"/>
    <cellStyle name="Header2 2 7" xfId="4128"/>
    <cellStyle name="40% - 强调文字颜色 2 3 2 11" xfId="4129"/>
    <cellStyle name="Header2 2 8" xfId="4130"/>
    <cellStyle name="40% - 强调文字颜色 2 3 2 12" xfId="4131"/>
    <cellStyle name="Header2 2 9" xfId="4132"/>
    <cellStyle name="40% - 强调文字颜色 2 3 2 13" xfId="4133"/>
    <cellStyle name="Percent [2] 2 5" xfId="4134"/>
    <cellStyle name="Accent2 2 4 2 2" xfId="4135"/>
    <cellStyle name="PSHeading 15 10" xfId="4136"/>
    <cellStyle name="40% - 强调文字颜色 2 3 2 14" xfId="4137"/>
    <cellStyle name="Percent [2] 2 6" xfId="4138"/>
    <cellStyle name="Accent2 2 4 2 3" xfId="4139"/>
    <cellStyle name="PSHeading 15 11" xfId="4140"/>
    <cellStyle name="40% - 强调文字颜色 2 3 2 15" xfId="4141"/>
    <cellStyle name="Input [yellow] 3 9 2 2" xfId="4142"/>
    <cellStyle name="40% - 强调文字颜色 2 3 2 16" xfId="4143"/>
    <cellStyle name="Input [yellow] 3 9 2 3" xfId="4144"/>
    <cellStyle name="40% - 强调文字颜色 2 3 2 17" xfId="4145"/>
    <cellStyle name="Input [yellow] 3 9 2 4" xfId="4146"/>
    <cellStyle name="40% - 强调文字颜色 2 3 2 18" xfId="4147"/>
    <cellStyle name="Input [yellow] 3 9 2 5" xfId="4148"/>
    <cellStyle name="40% - 强调文字颜色 2 3 2 2" xfId="4149"/>
    <cellStyle name="Accent2 8 4" xfId="4150"/>
    <cellStyle name="40% - 强调文字颜色 2 3 2 3" xfId="4151"/>
    <cellStyle name="解释性文本 2" xfId="4152"/>
    <cellStyle name="Accent2 8 5" xfId="4153"/>
    <cellStyle name="40% - 强调文字颜色 2 3 2 3 2 2" xfId="4154"/>
    <cellStyle name="60% - 强调文字颜色 5 2 5" xfId="4155"/>
    <cellStyle name="60% - 强调文字颜色 2 4 3 3" xfId="4156"/>
    <cellStyle name="计算 2 2 7 2 8" xfId="4157"/>
    <cellStyle name="60% - 强调文字颜色 2 2 3 10" xfId="4158"/>
    <cellStyle name="Accent2 - 20% 3 11" xfId="4159"/>
    <cellStyle name="40% - 强调文字颜色 2 3 2 3 2 3" xfId="4160"/>
    <cellStyle name="60% - 强调文字颜色 5 2 6" xfId="4161"/>
    <cellStyle name="计算 2 2 7 2 9" xfId="4162"/>
    <cellStyle name="60% - 强调文字颜色 2 2 3 11" xfId="4163"/>
    <cellStyle name="Accent2 - 20% 3 12" xfId="4164"/>
    <cellStyle name="40% - 强调文字颜色 2 3 2 4" xfId="4165"/>
    <cellStyle name="解释性文本 3" xfId="4166"/>
    <cellStyle name="Accent2 8 6" xfId="4167"/>
    <cellStyle name="40% - 强调文字颜色 2 3 2 5" xfId="4168"/>
    <cellStyle name="解释性文本 4" xfId="4169"/>
    <cellStyle name="Accent2 8 7" xfId="4170"/>
    <cellStyle name="40% - 强调文字颜色 2 3 2 6" xfId="4171"/>
    <cellStyle name="Accent3 - 40% 2 2 3 2" xfId="4172"/>
    <cellStyle name="Accent2 8 8" xfId="4173"/>
    <cellStyle name="Accent6 - 20% 2 19" xfId="4174"/>
    <cellStyle name="Accent2 12 10" xfId="4175"/>
    <cellStyle name="输入 2 3 4 2 9" xfId="4176"/>
    <cellStyle name="Input [yellow] 14 2 2 7" xfId="4177"/>
    <cellStyle name="40% - 强调文字颜色 2 3 2 7" xfId="4178"/>
    <cellStyle name="Accent3 - 40% 2 2 3 3" xfId="4179"/>
    <cellStyle name="Accent2 8 9" xfId="4180"/>
    <cellStyle name="Accent2 12 11" xfId="4181"/>
    <cellStyle name="Input [yellow] 14 2 2 8" xfId="4182"/>
    <cellStyle name="40% - 强调文字颜色 2 3 2 8" xfId="4183"/>
    <cellStyle name="Accent2 12 12" xfId="4184"/>
    <cellStyle name="Input [yellow] 14 2 2 9" xfId="4185"/>
    <cellStyle name="40% - 强调文字颜色 2 3 2 9" xfId="4186"/>
    <cellStyle name="Accent2 12 13" xfId="4187"/>
    <cellStyle name="40% - 强调文字颜色 2 3 3" xfId="4188"/>
    <cellStyle name="标题 1 2 3 11" xfId="4189"/>
    <cellStyle name="60% - 强调文字颜色 3 3 8" xfId="4190"/>
    <cellStyle name="40% - 强调文字颜色 2 3 3 2" xfId="4191"/>
    <cellStyle name="Accent2 9 4" xfId="4192"/>
    <cellStyle name="40% - 强调文字颜色 2 3 3 3" xfId="4193"/>
    <cellStyle name="40% - 强调文字颜色 2 3 4" xfId="4194"/>
    <cellStyle name="标题 1 2 3 12" xfId="4195"/>
    <cellStyle name="60% - 强调文字颜色 3 3 9" xfId="4196"/>
    <cellStyle name="40% - 强调文字颜色 2 3 5" xfId="4197"/>
    <cellStyle name="标题 1 2 3 13" xfId="4198"/>
    <cellStyle name="40% - 强调文字颜色 2 3 6" xfId="4199"/>
    <cellStyle name="标题 1 2 3 14" xfId="4200"/>
    <cellStyle name="40% - 强调文字颜色 2 4" xfId="4201"/>
    <cellStyle name="常规 53 2 12" xfId="4202"/>
    <cellStyle name="常规 48 2 12" xfId="4203"/>
    <cellStyle name="汇总 3 6 11" xfId="4204"/>
    <cellStyle name="60% - 强调文字颜色 4 4 13" xfId="4205"/>
    <cellStyle name="Input [yellow] 4 3 2 13" xfId="4206"/>
    <cellStyle name="常规 90 3 10" xfId="4207"/>
    <cellStyle name="常规 85 3 10" xfId="4208"/>
    <cellStyle name="6mal 2 16" xfId="4209"/>
    <cellStyle name="40% - 强调文字颜色 2 4 10" xfId="4210"/>
    <cellStyle name="Accent1 11 9" xfId="4211"/>
    <cellStyle name="输出 2 3 2 2 8" xfId="4212"/>
    <cellStyle name="常规 21 2 2" xfId="4213"/>
    <cellStyle name="常规 16 2 2" xfId="4214"/>
    <cellStyle name="40% - 强调文字颜色 2 4 11" xfId="4215"/>
    <cellStyle name="常规 21 2 3" xfId="4216"/>
    <cellStyle name="常规 16 2 3" xfId="4217"/>
    <cellStyle name="40% - 强调文字颜色 2 4 12" xfId="4218"/>
    <cellStyle name="常规 21 2 4" xfId="4219"/>
    <cellStyle name="常规 16 2 4" xfId="4220"/>
    <cellStyle name="40% - 强调文字颜色 2 4 13" xfId="4221"/>
    <cellStyle name="Accent2 6 3 2 2" xfId="4222"/>
    <cellStyle name="常规 21 2 5" xfId="4223"/>
    <cellStyle name="常规 16 2 5" xfId="4224"/>
    <cellStyle name="40% - 强调文字颜色 2 4 14" xfId="4225"/>
    <cellStyle name="Accent2 6 3 2 3" xfId="4226"/>
    <cellStyle name="常规 21 2 6" xfId="4227"/>
    <cellStyle name="常规 16 2 6" xfId="4228"/>
    <cellStyle name="40% - 强调文字颜色 2 4 15" xfId="4229"/>
    <cellStyle name="常规 21 2 7" xfId="4230"/>
    <cellStyle name="常规 16 2 7" xfId="4231"/>
    <cellStyle name="40% - 强调文字颜色 2 4 16" xfId="4232"/>
    <cellStyle name="常规 21 2 8" xfId="4233"/>
    <cellStyle name="常规 16 2 8" xfId="4234"/>
    <cellStyle name="40% - 强调文字颜色 2 4 17" xfId="4235"/>
    <cellStyle name="常规 21 2 9" xfId="4236"/>
    <cellStyle name="常规 16 2 9" xfId="4237"/>
    <cellStyle name="40% - 强调文字颜色 2 4 18" xfId="4238"/>
    <cellStyle name="40% - 强调文字颜色 2 4 2" xfId="4239"/>
    <cellStyle name="60% - 强调文字颜色 3 4 7" xfId="4240"/>
    <cellStyle name="常规 134 2 2 3 2 2" xfId="4241"/>
    <cellStyle name="常规 129 2 2 3 2 2" xfId="4242"/>
    <cellStyle name="Input [yellow] 4 2 2 7" xfId="4243"/>
    <cellStyle name="输出 3 10 2" xfId="4244"/>
    <cellStyle name="40% - 强调文字颜色 2 4 3" xfId="4245"/>
    <cellStyle name="常规 173 10" xfId="4246"/>
    <cellStyle name="常规 168 10" xfId="4247"/>
    <cellStyle name="60% - 强调文字颜色 3 4 8" xfId="4248"/>
    <cellStyle name="常规 134 2 2 3 2 3" xfId="4249"/>
    <cellStyle name="常规 129 2 2 3 2 3" xfId="4250"/>
    <cellStyle name="Input [yellow] 4 2 2 8" xfId="4251"/>
    <cellStyle name="输出 3 10 3" xfId="4252"/>
    <cellStyle name="40% - 强调文字颜色 2 4 3 2" xfId="4253"/>
    <cellStyle name="Accent3 9 4" xfId="4254"/>
    <cellStyle name="40% - 强调文字颜色 2 4 3 2 2" xfId="4255"/>
    <cellStyle name="Accent4 - 40%" xfId="4256"/>
    <cellStyle name="40% - 强调文字颜色 2 4 3 2 3" xfId="4257"/>
    <cellStyle name="Accent5 9 10" xfId="4258"/>
    <cellStyle name="40% - 强调文字颜色 2 4 3 3" xfId="4259"/>
    <cellStyle name="Accent3 9 5" xfId="4260"/>
    <cellStyle name="40% - 强调文字颜色 2 4 4" xfId="4261"/>
    <cellStyle name="常规 173 11" xfId="4262"/>
    <cellStyle name="常规 168 11" xfId="4263"/>
    <cellStyle name="60% - 强调文字颜色 3 4 9" xfId="4264"/>
    <cellStyle name="Input [yellow] 4 2 2 9" xfId="4265"/>
    <cellStyle name="常规 112 5 2 2" xfId="4266"/>
    <cellStyle name="常规 107 5 2 2" xfId="4267"/>
    <cellStyle name="注释 3 4 2 2" xfId="4268"/>
    <cellStyle name="输出 3 10 4" xfId="4269"/>
    <cellStyle name="40% - 强调文字颜色 2 4 5" xfId="4270"/>
    <cellStyle name="常规 173 12" xfId="4271"/>
    <cellStyle name="常规 168 12" xfId="4272"/>
    <cellStyle name="40% - 强调文字颜色 2 4 6" xfId="4273"/>
    <cellStyle name="常规 173 13" xfId="4274"/>
    <cellStyle name="常规 168 13" xfId="4275"/>
    <cellStyle name="40% - 强调文字颜色 3 2" xfId="4276"/>
    <cellStyle name="Header2 3 5 18" xfId="4277"/>
    <cellStyle name="Accent4 - 20% 2 13" xfId="4278"/>
    <cellStyle name="常规 31 2 2" xfId="4279"/>
    <cellStyle name="常规 26 2 2" xfId="4280"/>
    <cellStyle name="40% - 强调文字颜色 3 4 11" xfId="4281"/>
    <cellStyle name="Accent3 6 9" xfId="4282"/>
    <cellStyle name="40% - 强调文字颜色 3 2 10" xfId="4283"/>
    <cellStyle name="40% - 强调文字颜色 3 2 11" xfId="4284"/>
    <cellStyle name="40% - 强调文字颜色 3 2 12" xfId="4285"/>
    <cellStyle name="40% - 强调文字颜色 3 2 13" xfId="4286"/>
    <cellStyle name="40% - 强调文字颜色 3 2 14" xfId="4287"/>
    <cellStyle name="40% - 强调文字颜色 3 2 15" xfId="4288"/>
    <cellStyle name="40% - 强调文字颜色 3 2 20" xfId="4289"/>
    <cellStyle name="输出 2 7 2 6" xfId="4290"/>
    <cellStyle name="Accent4 - 40% 3 3 2 2" xfId="4291"/>
    <cellStyle name="40% - 强调文字颜色 3 2 16" xfId="4292"/>
    <cellStyle name="40% - 强调文字颜色 3 2 21" xfId="4293"/>
    <cellStyle name="输出 2 7 2 7" xfId="4294"/>
    <cellStyle name="Accent4 - 40% 3 3 2 3" xfId="4295"/>
    <cellStyle name="40% - 强调文字颜色 3 2 17" xfId="4296"/>
    <cellStyle name="40% - 强调文字颜色 3 2 22" xfId="4297"/>
    <cellStyle name="40% - 强调文字颜色 3 2 18" xfId="4298"/>
    <cellStyle name="40% - 强调文字颜色 3 2 23" xfId="4299"/>
    <cellStyle name="常规 175 10" xfId="4300"/>
    <cellStyle name="40% - 强调文字颜色 3 2 19" xfId="4301"/>
    <cellStyle name="40% - 强调文字颜色 3 2 2" xfId="4302"/>
    <cellStyle name="60% - 强调文字颜色 4 2 7" xfId="4303"/>
    <cellStyle name="40% - 强调文字颜色 3 2 2 10" xfId="4304"/>
    <cellStyle name="汇总 2 9 2 4" xfId="4305"/>
    <cellStyle name="Accent3 9 3 2" xfId="4306"/>
    <cellStyle name="40% - 强调文字颜色 3 2 2 11" xfId="4307"/>
    <cellStyle name="汇总 2 9 2 5" xfId="4308"/>
    <cellStyle name="Accent3 9 3 3" xfId="4309"/>
    <cellStyle name="40% - 强调文字颜色 3 2 2 12" xfId="4310"/>
    <cellStyle name="40% - 强调文字颜色 3 2 2 13" xfId="4311"/>
    <cellStyle name="40% - 强调文字颜色 3 2 2 14" xfId="4312"/>
    <cellStyle name="40% - 强调文字颜色 3 2 2 15" xfId="4313"/>
    <cellStyle name="40% - 强调文字颜色 3 2 2 16" xfId="4314"/>
    <cellStyle name="40% - 强调文字颜色 3 2 2 17" xfId="4315"/>
    <cellStyle name="40% - 强调文字颜色 3 2 2 18" xfId="4316"/>
    <cellStyle name="常规 120 8" xfId="4317"/>
    <cellStyle name="常规 115 8" xfId="4318"/>
    <cellStyle name="40% - 强调文字颜色 3 2 2 3 2" xfId="4319"/>
    <cellStyle name="汇总 2 2 12 3 3" xfId="4320"/>
    <cellStyle name="40% - 强调文字颜色 3 2 2 3 2 2" xfId="4321"/>
    <cellStyle name="常规 13 10" xfId="4322"/>
    <cellStyle name="40% - 强调文字颜色 3 2 2 3 2 3" xfId="4323"/>
    <cellStyle name="常规 13 11" xfId="4324"/>
    <cellStyle name="常规 120 9" xfId="4325"/>
    <cellStyle name="常规 115 9" xfId="4326"/>
    <cellStyle name="40% - 强调文字颜色 3 2 2 3 3" xfId="4327"/>
    <cellStyle name="注释 3 5 3 3" xfId="4328"/>
    <cellStyle name="Accent2 - 40% 2 4 2 2" xfId="4329"/>
    <cellStyle name="40% - 强调文字颜色 3 2 3" xfId="4330"/>
    <cellStyle name="60% - 强调文字颜色 4 2 8" xfId="4331"/>
    <cellStyle name="40% - 强调文字颜色 3 2 3 16" xfId="4332"/>
    <cellStyle name="计算 3 7 2 2" xfId="4333"/>
    <cellStyle name="40% - 强调文字颜色 3 2 3 17" xfId="4334"/>
    <cellStyle name="计算 3 7 2 3" xfId="4335"/>
    <cellStyle name="40% - 强调文字颜色 3 2 3 18" xfId="4336"/>
    <cellStyle name="计算 3 7 2 4" xfId="4337"/>
    <cellStyle name="常规 51 2 5" xfId="4338"/>
    <cellStyle name="常规 46 2 5" xfId="4339"/>
    <cellStyle name="40% - 强调文字颜色 5 4 14" xfId="4340"/>
    <cellStyle name="40% - 强调文字颜色 3 2 3 2" xfId="4341"/>
    <cellStyle name="origAmountDrD 10 9" xfId="4342"/>
    <cellStyle name="Accent1 2 2 11" xfId="4343"/>
    <cellStyle name="常规 44 2 2 10" xfId="4344"/>
    <cellStyle name="常规 51 2 6" xfId="4345"/>
    <cellStyle name="常规 46 2 6" xfId="4346"/>
    <cellStyle name="40% - 强调文字颜色 5 4 15" xfId="4347"/>
    <cellStyle name="40% - 强调文字颜色 3 2 3 3" xfId="4348"/>
    <cellStyle name="Accent1 2 2 12" xfId="4349"/>
    <cellStyle name="常规 44 2 2 11" xfId="4350"/>
    <cellStyle name="常规 170 8" xfId="4351"/>
    <cellStyle name="常规 165 8" xfId="4352"/>
    <cellStyle name="40% - 强调文字颜色 3 2 3 3 2" xfId="4353"/>
    <cellStyle name="输出 3 3 3" xfId="4354"/>
    <cellStyle name="Input [yellow] 8 2 4" xfId="4355"/>
    <cellStyle name="40% - 强调文字颜色 3 2 3 3 2 2" xfId="4356"/>
    <cellStyle name="常规 3 2 2" xfId="4357"/>
    <cellStyle name="输出 3 3 4" xfId="4358"/>
    <cellStyle name="Input [yellow] 8 2 5" xfId="4359"/>
    <cellStyle name="40% - 强调文字颜色 3 2 3 3 2 3" xfId="4360"/>
    <cellStyle name="常规 170 9" xfId="4361"/>
    <cellStyle name="常规 165 9" xfId="4362"/>
    <cellStyle name="40% - 强调文字颜色 3 2 3 3 3" xfId="4363"/>
    <cellStyle name="常规 51 2 7" xfId="4364"/>
    <cellStyle name="常规 46 2 7" xfId="4365"/>
    <cellStyle name="40% - 强调文字颜色 5 4 16" xfId="4366"/>
    <cellStyle name="40% - 强调文字颜色 3 2 3 4" xfId="4367"/>
    <cellStyle name="Accent1 2 2 13" xfId="4368"/>
    <cellStyle name="常规 44 2 2 12" xfId="4369"/>
    <cellStyle name="常规 51 2 8" xfId="4370"/>
    <cellStyle name="常规 46 2 8" xfId="4371"/>
    <cellStyle name="40% - 强调文字颜色 5 4 17" xfId="4372"/>
    <cellStyle name="40% - 强调文字颜色 3 2 3 5" xfId="4373"/>
    <cellStyle name="Accent1 2 2 14" xfId="4374"/>
    <cellStyle name="常规 44 2 2 13" xfId="4375"/>
    <cellStyle name="常规 51 2 9" xfId="4376"/>
    <cellStyle name="常规 46 2 9" xfId="4377"/>
    <cellStyle name="40% - 强调文字颜色 5 4 18" xfId="4378"/>
    <cellStyle name="计算 2 3 4 2 2" xfId="4379"/>
    <cellStyle name="40% - 强调文字颜色 3 2 3 6" xfId="4380"/>
    <cellStyle name="Input [yellow] 2 3 2 2 2 2" xfId="4381"/>
    <cellStyle name="百分比 2 2 3 2" xfId="4382"/>
    <cellStyle name="常规 44 2 2 14" xfId="4383"/>
    <cellStyle name="输入 2 2 2 2 10" xfId="4384"/>
    <cellStyle name="Accent1 2 2 15" xfId="4385"/>
    <cellStyle name="40% - 强调文字颜色 3 2 3 7" xfId="4386"/>
    <cellStyle name="百分比 2 2 3 3" xfId="4387"/>
    <cellStyle name="常规 44 2 2 15" xfId="4388"/>
    <cellStyle name="常规 74 5 2" xfId="4389"/>
    <cellStyle name="常规 69 5 2" xfId="4390"/>
    <cellStyle name="输入 2 2 2 2 11" xfId="4391"/>
    <cellStyle name="Accent1 2 2 16" xfId="4392"/>
    <cellStyle name="40% - 强调文字颜色 3 2 3 8" xfId="4393"/>
    <cellStyle name="常规 44 2 2 16" xfId="4394"/>
    <cellStyle name="常规 74 5 3" xfId="4395"/>
    <cellStyle name="常规 69 5 3" xfId="4396"/>
    <cellStyle name="输入 2 2 2 2 12" xfId="4397"/>
    <cellStyle name="Accent1 2 2 17" xfId="4398"/>
    <cellStyle name="40% - 强调文字颜色 3 2 3 9" xfId="4399"/>
    <cellStyle name="Accent1 2 2 18" xfId="4400"/>
    <cellStyle name="常规 44 2 2 17" xfId="4401"/>
    <cellStyle name="40% - 强调文字颜色 3 2 4" xfId="4402"/>
    <cellStyle name="60% - 强调文字颜色 4 2 9" xfId="4403"/>
    <cellStyle name="标题 3 2 3 10" xfId="4404"/>
    <cellStyle name="40% - 强调文字颜色 3 2 5" xfId="4405"/>
    <cellStyle name="40% - 强调文字颜色 3 2 5 2" xfId="4406"/>
    <cellStyle name="origAmountDrD 12 9" xfId="4407"/>
    <cellStyle name="Accent1 - 60% 3 18" xfId="4408"/>
    <cellStyle name="汇总 2 3 4 8" xfId="4409"/>
    <cellStyle name="60% - 强调文字颜色 4 2 2 4" xfId="4410"/>
    <cellStyle name="输出 2 2 9 2 9" xfId="4411"/>
    <cellStyle name="40% - 强调文字颜色 3 2 5 2 2" xfId="4412"/>
    <cellStyle name="60% - 强调文字颜色 6 3 16" xfId="4413"/>
    <cellStyle name="常规 92 2 13" xfId="4414"/>
    <cellStyle name="常规 87 2 13" xfId="4415"/>
    <cellStyle name="40% - 强调文字颜色 6 4 4" xfId="4416"/>
    <cellStyle name="Accent4 12 17" xfId="4417"/>
    <cellStyle name="60% - 强调文字颜色 4 2 2 5" xfId="4418"/>
    <cellStyle name="40% - 强调文字颜色 3 2 5 2 3" xfId="4419"/>
    <cellStyle name="60% - 强调文字颜色 6 3 17" xfId="4420"/>
    <cellStyle name="常规 92 2 14" xfId="4421"/>
    <cellStyle name="常规 87 2 14" xfId="4422"/>
    <cellStyle name="40% - 强调文字颜色 6 4 5" xfId="4423"/>
    <cellStyle name="Accent4 12 18" xfId="4424"/>
    <cellStyle name="40% - 强调文字颜色 3 2 5 3" xfId="4425"/>
    <cellStyle name="origAmountDrD 4 10" xfId="4426"/>
    <cellStyle name="40% - 强调文字颜色 3 2 6" xfId="4427"/>
    <cellStyle name="40% - 强调文字颜色 3 3" xfId="4428"/>
    <cellStyle name="Header2 3 5 19" xfId="4429"/>
    <cellStyle name="常规 136 2 10" xfId="4430"/>
    <cellStyle name="常规 141 2 10" xfId="4431"/>
    <cellStyle name="Accent4 - 20% 2 14" xfId="4432"/>
    <cellStyle name="商品名称 5 2 2" xfId="4433"/>
    <cellStyle name="常规 31 2 3" xfId="4434"/>
    <cellStyle name="常规 26 2 3" xfId="4435"/>
    <cellStyle name="40% - 强调文字颜色 3 4 12" xfId="4436"/>
    <cellStyle name="origAmountCrD 9 2 3 2" xfId="4437"/>
    <cellStyle name="常规 80 19" xfId="4438"/>
    <cellStyle name="常规 75 19" xfId="4439"/>
    <cellStyle name="40% - 强调文字颜色 3 3 10" xfId="4440"/>
    <cellStyle name="origAmountCrD 9 2 3 3" xfId="4441"/>
    <cellStyle name="40% - 强调文字颜色 3 3 11" xfId="4442"/>
    <cellStyle name="40% - 强调文字颜色 3 3 12" xfId="4443"/>
    <cellStyle name="40% - 强调文字颜色 3 3 13" xfId="4444"/>
    <cellStyle name="40% - 强调文字颜色 3 3 14" xfId="4445"/>
    <cellStyle name="40% - 强调文字颜色 3 3 16" xfId="4446"/>
    <cellStyle name="40% - 强调文字颜色 6 2 3 2" xfId="4447"/>
    <cellStyle name="40% - 强调文字颜色 3 3 17" xfId="4448"/>
    <cellStyle name="40% - 强调文字颜色 6 2 3 3" xfId="4449"/>
    <cellStyle name="40% - 强调文字颜色 3 3 18" xfId="4450"/>
    <cellStyle name="40% - 强调文字颜色 6 2 3 4" xfId="4451"/>
    <cellStyle name="40% - 强调文字颜色 3 3 2" xfId="4452"/>
    <cellStyle name="60% - 强调文字颜色 4 3 7" xfId="4453"/>
    <cellStyle name="40% - 强调文字颜色 3 3 2 10" xfId="4454"/>
    <cellStyle name="Header2 2 12 8" xfId="4455"/>
    <cellStyle name="Accent5 - 40% 2 2 7" xfId="4456"/>
    <cellStyle name="标题 3 2 9 12" xfId="4457"/>
    <cellStyle name="40% - 强调文字颜色 3 3 2 11" xfId="4458"/>
    <cellStyle name="Header2 2 12 9" xfId="4459"/>
    <cellStyle name="Accent5 - 40% 2 2 8" xfId="4460"/>
    <cellStyle name="标题 3 2 9 13" xfId="4461"/>
    <cellStyle name="40% - 强调文字颜色 3 3 2 12" xfId="4462"/>
    <cellStyle name="Header2 2 4 10" xfId="4463"/>
    <cellStyle name="Accent5 - 40% 2 2 9" xfId="4464"/>
    <cellStyle name="标题 3 2 9 14" xfId="4465"/>
    <cellStyle name="60% - 强调文字颜色 1 3 3 2" xfId="4466"/>
    <cellStyle name="40% - 强调文字颜色 3 3 2 13" xfId="4467"/>
    <cellStyle name="Header2 2 4 11" xfId="4468"/>
    <cellStyle name="标题 3 2 9 15" xfId="4469"/>
    <cellStyle name="60% - 强调文字颜色 1 3 3 3" xfId="4470"/>
    <cellStyle name="40% - 强调文字颜色 3 3 2 14" xfId="4471"/>
    <cellStyle name="Header2 2 4 12" xfId="4472"/>
    <cellStyle name="标题 3 2 9 16" xfId="4473"/>
    <cellStyle name="40% - 强调文字颜色 3 3 2 15" xfId="4474"/>
    <cellStyle name="Header2 2 4 13" xfId="4475"/>
    <cellStyle name="标题 3 2 9 17" xfId="4476"/>
    <cellStyle name="40% - 强调文字颜色 3 3 2 16" xfId="4477"/>
    <cellStyle name="Header2 2 4 14" xfId="4478"/>
    <cellStyle name="40% - 强调文字颜色 3 3 2 17" xfId="4479"/>
    <cellStyle name="Header2 2 4 15" xfId="4480"/>
    <cellStyle name="40% - 强调文字颜色 3 3 2 18" xfId="4481"/>
    <cellStyle name="Header2 2 4 16" xfId="4482"/>
    <cellStyle name="60% - 强调文字颜色 5 2" xfId="4483"/>
    <cellStyle name="Input [yellow] 8 9" xfId="4484"/>
    <cellStyle name="40% - 强调文字颜色 3 3 2 2" xfId="4485"/>
    <cellStyle name="40% - 强调文字颜色 3 3 2 3" xfId="4486"/>
    <cellStyle name="Accent3 2 2 10" xfId="4487"/>
    <cellStyle name="Accent5 - 40% 2 2 12" xfId="4488"/>
    <cellStyle name="40% - 强调文字颜色 3 3 2 3 2" xfId="4489"/>
    <cellStyle name="Header2 2 12 17" xfId="4490"/>
    <cellStyle name="Accent2 7 9" xfId="4491"/>
    <cellStyle name="40% - 强调文字颜色 3 3 2 3 3" xfId="4492"/>
    <cellStyle name="Accent5 - 40% 2 2 13" xfId="4493"/>
    <cellStyle name="40% - 强调文字颜色 3 3 2 4" xfId="4494"/>
    <cellStyle name="Accent3 2 2 11" xfId="4495"/>
    <cellStyle name="常规 51 2 2 10" xfId="4496"/>
    <cellStyle name="常规 46 2 2 10" xfId="4497"/>
    <cellStyle name="40% - 强调文字颜色 3 3 2 5" xfId="4498"/>
    <cellStyle name="Accent3 2 2 12" xfId="4499"/>
    <cellStyle name="常规 51 2 2 11" xfId="4500"/>
    <cellStyle name="常规 46 2 2 11" xfId="4501"/>
    <cellStyle name="40% - 强调文字颜色 3 3 2 6" xfId="4502"/>
    <cellStyle name="Accent3 2 2 13" xfId="4503"/>
    <cellStyle name="常规 51 2 2 12" xfId="4504"/>
    <cellStyle name="常规 46 2 2 12" xfId="4505"/>
    <cellStyle name="Accent3 12 10" xfId="4506"/>
    <cellStyle name="Input [yellow] 15 2 2 7" xfId="4507"/>
    <cellStyle name="常规 30 6" xfId="4508"/>
    <cellStyle name="常规 25 6" xfId="4509"/>
    <cellStyle name="40% - 强调文字颜色 3 3 2 7" xfId="4510"/>
    <cellStyle name="60% - 强调文字颜色 1 3 10" xfId="4511"/>
    <cellStyle name="Accent3 2 2 14" xfId="4512"/>
    <cellStyle name="常规 51 2 2 13" xfId="4513"/>
    <cellStyle name="常规 46 2 2 13" xfId="4514"/>
    <cellStyle name="Accent3 12 11" xfId="4515"/>
    <cellStyle name="Input [yellow] 15 2 2 8" xfId="4516"/>
    <cellStyle name="常规 30 7" xfId="4517"/>
    <cellStyle name="常规 25 7" xfId="4518"/>
    <cellStyle name="40% - 强调文字颜色 3 3 2 8" xfId="4519"/>
    <cellStyle name="60% - 强调文字颜色 1 3 11" xfId="4520"/>
    <cellStyle name="Accent3 2 2 15" xfId="4521"/>
    <cellStyle name="常规 51 2 2 14" xfId="4522"/>
    <cellStyle name="常规 46 2 2 14" xfId="4523"/>
    <cellStyle name="Accent3 12 12" xfId="4524"/>
    <cellStyle name="Input [yellow] 15 2 2 9" xfId="4525"/>
    <cellStyle name="常规 30 8" xfId="4526"/>
    <cellStyle name="常规 25 8" xfId="4527"/>
    <cellStyle name="输入 2 10 10" xfId="4528"/>
    <cellStyle name="40% - 强调文字颜色 3 3 2 9" xfId="4529"/>
    <cellStyle name="60% - 强调文字颜色 1 3 12" xfId="4530"/>
    <cellStyle name="汇总 3 3 3 3 2" xfId="4531"/>
    <cellStyle name="Accent3 2 2 16" xfId="4532"/>
    <cellStyle name="Accent1 3 2" xfId="4533"/>
    <cellStyle name="常规 51 2 2 15" xfId="4534"/>
    <cellStyle name="常规 46 2 2 15" xfId="4535"/>
    <cellStyle name="Accent3 12 13" xfId="4536"/>
    <cellStyle name="常规 30 9" xfId="4537"/>
    <cellStyle name="常规 25 9" xfId="4538"/>
    <cellStyle name="40% - 强调文字颜色 3 3 3" xfId="4539"/>
    <cellStyle name="Input [yellow] 2 13 2 2 2" xfId="4540"/>
    <cellStyle name="60% - 强调文字颜色 4 3 8" xfId="4541"/>
    <cellStyle name="40% - 强调文字颜色 3 3 4" xfId="4542"/>
    <cellStyle name="60% - 强调文字颜色 4 3 9" xfId="4543"/>
    <cellStyle name="40% - 强调文字颜色 3 3 5" xfId="4544"/>
    <cellStyle name="40% - 强调文字颜色 3 4" xfId="4545"/>
    <cellStyle name="常规 136 2 11" xfId="4546"/>
    <cellStyle name="常规 141 2 11" xfId="4547"/>
    <cellStyle name="Accent4 - 20% 2 15" xfId="4548"/>
    <cellStyle name="常规 31 2 4" xfId="4549"/>
    <cellStyle name="常规 26 2 4" xfId="4550"/>
    <cellStyle name="40% - 强调文字颜色 3 4 13" xfId="4551"/>
    <cellStyle name="40% - 强调文字颜色 3 4 10" xfId="4552"/>
    <cellStyle name="常规 25 2 2 3 2 3" xfId="4553"/>
    <cellStyle name="常规 30 2 2 3 2 3" xfId="4554"/>
    <cellStyle name="Accent3 6 8" xfId="4555"/>
    <cellStyle name="Accent2 11 9" xfId="4556"/>
    <cellStyle name="Header2 3 5 17" xfId="4557"/>
    <cellStyle name="Accent4 - 20% 2 12" xfId="4558"/>
    <cellStyle name="常规 31 2 5" xfId="4559"/>
    <cellStyle name="常规 26 2 5" xfId="4560"/>
    <cellStyle name="40% - 强调文字颜色 3 4 14" xfId="4561"/>
    <cellStyle name="40% - 强调文字颜色 3 4 15" xfId="4562"/>
    <cellStyle name="40% - 强调文字颜色 3 4 2" xfId="4563"/>
    <cellStyle name="60% - 强调文字颜色 4 4 7" xfId="4564"/>
    <cellStyle name="Input [yellow] 4 3 2 7" xfId="4565"/>
    <cellStyle name="40% - 强调文字颜色 3 4 3" xfId="4566"/>
    <cellStyle name="常规 178 10" xfId="4567"/>
    <cellStyle name="60% - 强调文字颜色 4 4 8" xfId="4568"/>
    <cellStyle name="Input [yellow] 4 3 2 8" xfId="4569"/>
    <cellStyle name="40% - 强调文字颜色 3 4 3 2" xfId="4570"/>
    <cellStyle name="origAmountDrD 2 3 2 10" xfId="4571"/>
    <cellStyle name="常规 79 2 2 3" xfId="4572"/>
    <cellStyle name="常规 84 2 2 3" xfId="4573"/>
    <cellStyle name="常规 48 2 5" xfId="4574"/>
    <cellStyle name="常规 53 2 5" xfId="4575"/>
    <cellStyle name="Accent3 6 17" xfId="4576"/>
    <cellStyle name="60% - 强调文字颜色 1 3 2 13" xfId="4577"/>
    <cellStyle name="40% - 强调文字颜色 3 4 3 3" xfId="4578"/>
    <cellStyle name="origAmountDrD 2 3 2 11" xfId="4579"/>
    <cellStyle name="常规 79 2 2 4" xfId="4580"/>
    <cellStyle name="常规 84 2 2 4" xfId="4581"/>
    <cellStyle name="常规 48 2 6" xfId="4582"/>
    <cellStyle name="常规 53 2 6" xfId="4583"/>
    <cellStyle name="Accent3 6 18" xfId="4584"/>
    <cellStyle name="60% - 强调文字颜色 1 3 2 14" xfId="4585"/>
    <cellStyle name="40% - 强调文字颜色 3 4 4" xfId="4586"/>
    <cellStyle name="常规 178 11" xfId="4587"/>
    <cellStyle name="60% - 强调文字颜色 4 4 9" xfId="4588"/>
    <cellStyle name="Input [yellow] 4 3 2 9" xfId="4589"/>
    <cellStyle name="40% - 强调文字颜色 3 4 5" xfId="4590"/>
    <cellStyle name="常规 178 12" xfId="4591"/>
    <cellStyle name="40% - 强调文字颜色 3 4 6" xfId="4592"/>
    <cellStyle name="常规 178 13" xfId="4593"/>
    <cellStyle name="60% - 强调文字颜色 5 2 7" xfId="4594"/>
    <cellStyle name="Accent2 - 40% 10" xfId="4595"/>
    <cellStyle name="40% - 强调文字颜色 4 2 2" xfId="4596"/>
    <cellStyle name="60% - 强调文字颜色 2 2 3 12" xfId="4597"/>
    <cellStyle name="Accent2 - 20% 3 13" xfId="4598"/>
    <cellStyle name="40% - 强调文字颜色 4 2 2 10" xfId="4599"/>
    <cellStyle name="40% - 强调文字颜色 4 2 2 11" xfId="4600"/>
    <cellStyle name="40% - 强调文字颜色 4 2 2 12" xfId="4601"/>
    <cellStyle name="40% - 强调文字颜色 4 2 2 13" xfId="4602"/>
    <cellStyle name="40% - 强调文字颜色 4 2 2 14" xfId="4603"/>
    <cellStyle name="40% - 强调文字颜色 4 2 2 15" xfId="4604"/>
    <cellStyle name="40% - 强调文字颜色 4 2 2 17" xfId="4605"/>
    <cellStyle name="40% - 强调文字颜色 4 2 2 18" xfId="4606"/>
    <cellStyle name="40% - 强调文字颜色 4 2 2 2" xfId="4607"/>
    <cellStyle name="输入 2 9 15" xfId="4608"/>
    <cellStyle name="常规 97 3 11" xfId="4609"/>
    <cellStyle name="Accent4 3 2 6" xfId="4610"/>
    <cellStyle name="origAmountCrD 7 2 2 8" xfId="4611"/>
    <cellStyle name="常规 97 23" xfId="4612"/>
    <cellStyle name="常规 97 18" xfId="4613"/>
    <cellStyle name="Accent5 13 15" xfId="4614"/>
    <cellStyle name="Accent1 7 12" xfId="4615"/>
    <cellStyle name="PSHeading 7 16" xfId="4616"/>
    <cellStyle name="origAmountDrD 8 2 2 6" xfId="4617"/>
    <cellStyle name="汇总 2 2 2 2 7" xfId="4618"/>
    <cellStyle name="40% - 强调文字颜色 4 2 2 3" xfId="4619"/>
    <cellStyle name="输入 2 9 16" xfId="4620"/>
    <cellStyle name="常规 97 3 12" xfId="4621"/>
    <cellStyle name="Accent1 - 40% 10" xfId="4622"/>
    <cellStyle name="Accent4 3 2 7" xfId="4623"/>
    <cellStyle name="origAmountCrD 7 2 2 9" xfId="4624"/>
    <cellStyle name="常规 97 19" xfId="4625"/>
    <cellStyle name="Accent5 13 16" xfId="4626"/>
    <cellStyle name="Accent1 7 13" xfId="4627"/>
    <cellStyle name="PSHeading 7 17" xfId="4628"/>
    <cellStyle name="origAmountDrD 8 2 2 7" xfId="4629"/>
    <cellStyle name="汇总 2 2 2 2 8" xfId="4630"/>
    <cellStyle name="40% - 强调文字颜色 4 2 2 3 2" xfId="4631"/>
    <cellStyle name="origAmountCrD 2 22" xfId="4632"/>
    <cellStyle name="origAmountCrD 2 17" xfId="4633"/>
    <cellStyle name="Accent3 - 40% 2 2 14" xfId="4634"/>
    <cellStyle name="Accent1 - 60% 9" xfId="4635"/>
    <cellStyle name="Input [yellow] 14 2 10" xfId="4636"/>
    <cellStyle name="40% - 强调文字颜色 4 2 2 3 3" xfId="4637"/>
    <cellStyle name="origAmountCrD 2 23" xfId="4638"/>
    <cellStyle name="origAmountCrD 2 18" xfId="4639"/>
    <cellStyle name="Accent3 - 40% 2 2 15" xfId="4640"/>
    <cellStyle name="40% - 强调文字颜色 4 2 2 4" xfId="4641"/>
    <cellStyle name="输入 2 9 17" xfId="4642"/>
    <cellStyle name="常规 97 3 13" xfId="4643"/>
    <cellStyle name="Accent1 - 40% 11" xfId="4644"/>
    <cellStyle name="Accent4 3 2 8" xfId="4645"/>
    <cellStyle name="Accent5 13 17" xfId="4646"/>
    <cellStyle name="Accent1 7 14" xfId="4647"/>
    <cellStyle name="origAmountDrD 8 2 2 8" xfId="4648"/>
    <cellStyle name="汇总 2 2 2 2 9" xfId="4649"/>
    <cellStyle name="40% - 强调文字颜色 4 2 2 5" xfId="4650"/>
    <cellStyle name="输入 2 9 18" xfId="4651"/>
    <cellStyle name="常规 97 3 14" xfId="4652"/>
    <cellStyle name="Accent1 - 40% 12" xfId="4653"/>
    <cellStyle name="Accent4 3 2 9" xfId="4654"/>
    <cellStyle name="Accent5 13 18" xfId="4655"/>
    <cellStyle name="Accent1 7 15" xfId="4656"/>
    <cellStyle name="origAmountDrD 8 2 2 9" xfId="4657"/>
    <cellStyle name="60% - 强调文字颜色 6 4 2" xfId="4658"/>
    <cellStyle name="常规 70 2 17" xfId="4659"/>
    <cellStyle name="常规 65 2 17" xfId="4660"/>
    <cellStyle name="Input [yellow] 6 2 10" xfId="4661"/>
    <cellStyle name="Accent1 7 16" xfId="4662"/>
    <cellStyle name="40% - 强调文字颜色 4 2 2 6" xfId="4663"/>
    <cellStyle name="常规 97 3 15" xfId="4664"/>
    <cellStyle name="Accent1 - 40% 13" xfId="4665"/>
    <cellStyle name="60% - 强调文字颜色 6 4 3" xfId="4666"/>
    <cellStyle name="常规 70 2 18" xfId="4667"/>
    <cellStyle name="常规 65 2 18" xfId="4668"/>
    <cellStyle name="Input [yellow] 6 2 11" xfId="4669"/>
    <cellStyle name="Accent1 7 17" xfId="4670"/>
    <cellStyle name="40% - 强调文字颜色 4 2 2 7" xfId="4671"/>
    <cellStyle name="常规 97 3 16" xfId="4672"/>
    <cellStyle name="Accent1 - 40% 14" xfId="4673"/>
    <cellStyle name="60% - 强调文字颜色 6 4 4" xfId="4674"/>
    <cellStyle name="常规 70 2 19" xfId="4675"/>
    <cellStyle name="常规 65 2 19" xfId="4676"/>
    <cellStyle name="Input [yellow] 6 2 12" xfId="4677"/>
    <cellStyle name="Accent1 7 18" xfId="4678"/>
    <cellStyle name="40% - 强调文字颜色 4 2 2 8" xfId="4679"/>
    <cellStyle name="常规 97 3 17" xfId="4680"/>
    <cellStyle name="Accent1 - 40% 15" xfId="4681"/>
    <cellStyle name="Accent1 - 40% 20" xfId="4682"/>
    <cellStyle name="60% - 强调文字颜色 6 4 5" xfId="4683"/>
    <cellStyle name="常规 97 3 18" xfId="4684"/>
    <cellStyle name="Accent1 - 40% 16" xfId="4685"/>
    <cellStyle name="Accent1 - 40% 21" xfId="4686"/>
    <cellStyle name="40% - 强调文字颜色 4 2 2 9" xfId="4687"/>
    <cellStyle name="汇总 2 2 3 3 2 2" xfId="4688"/>
    <cellStyle name="60% - 强调文字颜色 5 2 8" xfId="4689"/>
    <cellStyle name="Accent2 - 40% 11" xfId="4690"/>
    <cellStyle name="40% - 强调文字颜色 4 2 3" xfId="4691"/>
    <cellStyle name="60% - 强调文字颜色 2 2 3 13" xfId="4692"/>
    <cellStyle name="Accent2 - 20% 3 14" xfId="4693"/>
    <cellStyle name="60% - 强调文字颜色 5 2 9" xfId="4694"/>
    <cellStyle name="标题 3 2 8 10" xfId="4695"/>
    <cellStyle name="Accent2 - 40% 12" xfId="4696"/>
    <cellStyle name="40% - 强调文字颜色 4 2 4" xfId="4697"/>
    <cellStyle name="60% - 强调文字颜色 2 2 3 14" xfId="4698"/>
    <cellStyle name="Accent2 - 20% 3 15" xfId="4699"/>
    <cellStyle name="60% - 强调文字颜色 2 2 3 15" xfId="4700"/>
    <cellStyle name="Accent2 - 20% 3 16" xfId="4701"/>
    <cellStyle name="comma zerodec 10" xfId="4702"/>
    <cellStyle name="Accent2 - 40% 13" xfId="4703"/>
    <cellStyle name="40% - 强调文字颜色 4 2 5" xfId="4704"/>
    <cellStyle name="60% - 强调文字颜色 1 2 2 3 2" xfId="4705"/>
    <cellStyle name="Accent2 - 40% 14" xfId="4706"/>
    <cellStyle name="40% - 强调文字颜色 4 2 6" xfId="4707"/>
    <cellStyle name="60% - 强调文字颜色 2 2 3 16" xfId="4708"/>
    <cellStyle name="Accent2 - 20% 3 17" xfId="4709"/>
    <cellStyle name="comma zerodec 11" xfId="4710"/>
    <cellStyle name="注释 2 2 5 13" xfId="4711"/>
    <cellStyle name="40% - 强调文字颜色 4 3 10" xfId="4712"/>
    <cellStyle name="常规 95 2 4 3" xfId="4713"/>
    <cellStyle name="Accent3 - 20% 2 2 15" xfId="4714"/>
    <cellStyle name="注释 2 2 5 14" xfId="4715"/>
    <cellStyle name="40% - 强调文字颜色 4 3 11" xfId="4716"/>
    <cellStyle name="Accent3 - 20% 2 2 16" xfId="4717"/>
    <cellStyle name="Accent6 8 3 2" xfId="4718"/>
    <cellStyle name="40% - 强调文字颜色 4 3 12" xfId="4719"/>
    <cellStyle name="PSHeading 2 2 2" xfId="4720"/>
    <cellStyle name="Accent3 - 20% 2 2 17" xfId="4721"/>
    <cellStyle name="Accent6 8 3 3" xfId="4722"/>
    <cellStyle name="40% - 强调文字颜色 4 3 13" xfId="4723"/>
    <cellStyle name="Accent3 - 20% 2 2 18" xfId="4724"/>
    <cellStyle name="40% - 强调文字颜色 4 3 14" xfId="4725"/>
    <cellStyle name="40% - 强调文字颜色 4 3 15" xfId="4726"/>
    <cellStyle name="40% - 强调文字颜色 4 3 16" xfId="4727"/>
    <cellStyle name="40% - 强调文字颜色 4 3 17" xfId="4728"/>
    <cellStyle name="输入 3 2 6 14" xfId="4729"/>
    <cellStyle name="40% - 强调文字颜色 4 3 2" xfId="4730"/>
    <cellStyle name="Accent6 - 40% 3 3 2 2" xfId="4731"/>
    <cellStyle name="Accent3 - 20% 2 2 3" xfId="4732"/>
    <cellStyle name="60% - 强调文字颜色 5 3 7" xfId="4733"/>
    <cellStyle name="40% - 强调文字颜色 4 3 2 10" xfId="4734"/>
    <cellStyle name="40% - 强调文字颜色 4 3 2 11" xfId="4735"/>
    <cellStyle name="40% - 强调文字颜色 4 3 2 12" xfId="4736"/>
    <cellStyle name="60% - 强调文字颜色 6 3 3 2" xfId="4737"/>
    <cellStyle name="40% - 强调文字颜色 4 3 2 13" xfId="4738"/>
    <cellStyle name="60% - 强调文字颜色 6 3 3 3" xfId="4739"/>
    <cellStyle name="40% - 强调文字颜色 4 3 2 14" xfId="4740"/>
    <cellStyle name="40% - 强调文字颜色 4 3 2 15" xfId="4741"/>
    <cellStyle name="40% - 强调文字颜色 4 3 2 16" xfId="4742"/>
    <cellStyle name="40% - 强调文字颜色 4 3 2 17" xfId="4743"/>
    <cellStyle name="Header2 2 5 2" xfId="4744"/>
    <cellStyle name="40% - 强调文字颜色 4 3 2 3 2" xfId="4745"/>
    <cellStyle name="origAmountCrD 7" xfId="4746"/>
    <cellStyle name="标题 3 3 8 8" xfId="4747"/>
    <cellStyle name="货币 2 3" xfId="4748"/>
    <cellStyle name="40% - 强调文字颜色 4 3 2 3 2 2" xfId="4749"/>
    <cellStyle name="常规 96 2 19" xfId="4750"/>
    <cellStyle name="origAmountCrD 7 2" xfId="4751"/>
    <cellStyle name="货币 2 3 2" xfId="4752"/>
    <cellStyle name="40% - 强调文字颜色 4 3 2 3 2 3" xfId="4753"/>
    <cellStyle name="origAmountCrD 7 3" xfId="4754"/>
    <cellStyle name="货币 2 3 3" xfId="4755"/>
    <cellStyle name="40% - 强调文字颜色 4 3 2 3 3" xfId="4756"/>
    <cellStyle name="origAmountCrD 8" xfId="4757"/>
    <cellStyle name="标题 3 3 8 9" xfId="4758"/>
    <cellStyle name="货币 2 4" xfId="4759"/>
    <cellStyle name="40% - 强调文字颜色 4 3 2 6" xfId="4760"/>
    <cellStyle name="Header2 2 23" xfId="4761"/>
    <cellStyle name="Header2 2 18" xfId="4762"/>
    <cellStyle name="好_Book1 2 2 15" xfId="4763"/>
    <cellStyle name="40% - 强调文字颜色 4 3 2 7" xfId="4764"/>
    <cellStyle name="Header2 2 24" xfId="4765"/>
    <cellStyle name="Header2 2 19" xfId="4766"/>
    <cellStyle name="好_Book1 2 2 16" xfId="4767"/>
    <cellStyle name="60% - 强调文字颜色 6 3 10" xfId="4768"/>
    <cellStyle name="40% - 强调文字颜色 4 3 2 8" xfId="4769"/>
    <cellStyle name="Header2 2 30" xfId="4770"/>
    <cellStyle name="Header2 2 25" xfId="4771"/>
    <cellStyle name="好_Book1 2 2 17" xfId="4772"/>
    <cellStyle name="60% - 强调文字颜色 6 3 11" xfId="4773"/>
    <cellStyle name="40% - 强调文字颜色 4 3 2 9" xfId="4774"/>
    <cellStyle name="输入 3 10 10" xfId="4775"/>
    <cellStyle name="Header2 2 26" xfId="4776"/>
    <cellStyle name="好_Book1 2 2 18" xfId="4777"/>
    <cellStyle name="60% - 强调文字颜色 6 3 12" xfId="4778"/>
    <cellStyle name="输入 3 2 6 15" xfId="4779"/>
    <cellStyle name="40% - 强调文字颜色 4 3 3" xfId="4780"/>
    <cellStyle name="Accent6 - 40% 3 3 2 3" xfId="4781"/>
    <cellStyle name="Accent3 - 20% 2 2 4" xfId="4782"/>
    <cellStyle name="60% - 强调文字颜色 5 3 8" xfId="4783"/>
    <cellStyle name="40% - 强调文字颜色 4 3 3 2" xfId="4784"/>
    <cellStyle name="常规 148 2 2 11" xfId="4785"/>
    <cellStyle name="40% - 强调文字颜色 4 3 3 3" xfId="4786"/>
    <cellStyle name="常规 148 2 2 12" xfId="4787"/>
    <cellStyle name="输入 3 2 6 16" xfId="4788"/>
    <cellStyle name="40% - 强调文字颜色 4 3 4" xfId="4789"/>
    <cellStyle name="origAmountCrD 2 2 2 2 2 2" xfId="4790"/>
    <cellStyle name="Accent3 - 20% 2 2 5" xfId="4791"/>
    <cellStyle name="60% - 强调文字颜色 5 3 9" xfId="4792"/>
    <cellStyle name="输入 3 2 6 17" xfId="4793"/>
    <cellStyle name="40% - 强调文字颜色 4 3 5" xfId="4794"/>
    <cellStyle name="Accent3 - 20% 2 2 6" xfId="4795"/>
    <cellStyle name="40% - 强调文字颜色 4 3 6" xfId="4796"/>
    <cellStyle name="Accent3 - 20% 2 2 7" xfId="4797"/>
    <cellStyle name="Accent6 8 11" xfId="4798"/>
    <cellStyle name="40% - 强调文字颜色 4 3 8" xfId="4799"/>
    <cellStyle name="Accent3 - 20% 2 2 9" xfId="4800"/>
    <cellStyle name="注释 2 2 6 13" xfId="4801"/>
    <cellStyle name="40% - 强调文字颜色 4 4 10" xfId="4802"/>
    <cellStyle name="Accent3 11 9" xfId="4803"/>
    <cellStyle name="汇总 2 2 4 11" xfId="4804"/>
    <cellStyle name="注释 2 2 6 14" xfId="4805"/>
    <cellStyle name="常规 41 2 2" xfId="4806"/>
    <cellStyle name="常规 36 2 2" xfId="4807"/>
    <cellStyle name="40% - 强调文字颜色 4 4 11" xfId="4808"/>
    <cellStyle name="注释 2 2 6 15" xfId="4809"/>
    <cellStyle name="常规 41 2 3" xfId="4810"/>
    <cellStyle name="常规 36 2 3" xfId="4811"/>
    <cellStyle name="40% - 强调文字颜色 4 4 12" xfId="4812"/>
    <cellStyle name="注释 2 2 6 16" xfId="4813"/>
    <cellStyle name="常规 41 2 4" xfId="4814"/>
    <cellStyle name="常规 36 2 4" xfId="4815"/>
    <cellStyle name="40% - 强调文字颜色 4 4 13" xfId="4816"/>
    <cellStyle name="注释 2 2 6 17" xfId="4817"/>
    <cellStyle name="常规 41 2 5" xfId="4818"/>
    <cellStyle name="常规 36 2 5" xfId="4819"/>
    <cellStyle name="40% - 强调文字颜色 4 4 14" xfId="4820"/>
    <cellStyle name="注释 2 2 6 18" xfId="4821"/>
    <cellStyle name="常规 41 2 6" xfId="4822"/>
    <cellStyle name="常规 36 2 6" xfId="4823"/>
    <cellStyle name="40% - 强调文字颜色 4 4 15" xfId="4824"/>
    <cellStyle name="Accent1 2 4 2 2" xfId="4825"/>
    <cellStyle name="汇总 2 2 4 21" xfId="4826"/>
    <cellStyle name="汇总 2 2 4 16" xfId="4827"/>
    <cellStyle name="编号 10 2 2" xfId="4828"/>
    <cellStyle name="常规 41 2 7" xfId="4829"/>
    <cellStyle name="常规 36 2 7" xfId="4830"/>
    <cellStyle name="40% - 强调文字颜色 4 4 16" xfId="4831"/>
    <cellStyle name="Accent1 2 4 2 3" xfId="4832"/>
    <cellStyle name="汇总 2 2 4 17" xfId="4833"/>
    <cellStyle name="常规 41 2 8" xfId="4834"/>
    <cellStyle name="常规 36 2 8" xfId="4835"/>
    <cellStyle name="40% - 强调文字颜色 4 4 17" xfId="4836"/>
    <cellStyle name="常规 41 2 9" xfId="4837"/>
    <cellStyle name="常规 36 2 9" xfId="4838"/>
    <cellStyle name="40% - 强调文字颜色 4 4 18" xfId="4839"/>
    <cellStyle name="常规 60 2" xfId="4840"/>
    <cellStyle name="常规 55 2" xfId="4841"/>
    <cellStyle name="40% - 强调文字颜色 4 4 2" xfId="4842"/>
    <cellStyle name="计算 3 3 3 17" xfId="4843"/>
    <cellStyle name="60% - 强调文字颜色 5 4 7" xfId="4844"/>
    <cellStyle name="Input [yellow] 4 4 2 7" xfId="4845"/>
    <cellStyle name="40% - 强调文字颜色 4 4 3" xfId="4846"/>
    <cellStyle name="常规 6 3 10" xfId="4847"/>
    <cellStyle name="60% - 强调文字颜色 5 4 8" xfId="4848"/>
    <cellStyle name="Input [yellow] 4 4 2 8" xfId="4849"/>
    <cellStyle name="40% - 强调文字颜色 4 4 3 2" xfId="4850"/>
    <cellStyle name="40% - 强调文字颜色 4 4 3 3" xfId="4851"/>
    <cellStyle name="40% - 强调文字颜色 4 4 4" xfId="4852"/>
    <cellStyle name="常规 6 3 11" xfId="4853"/>
    <cellStyle name="60% - 强调文字颜色 5 4 9" xfId="4854"/>
    <cellStyle name="Input [yellow] 4 4 2 9" xfId="4855"/>
    <cellStyle name="40% - 强调文字颜色 4 4 5" xfId="4856"/>
    <cellStyle name="常规 6 3 12" xfId="4857"/>
    <cellStyle name="40% - 强调文字颜色 4 4 6" xfId="4858"/>
    <cellStyle name="常规 6 3 13" xfId="4859"/>
    <cellStyle name="40% - 强调文字颜色 5 2" xfId="4860"/>
    <cellStyle name="编号 2 17" xfId="4861"/>
    <cellStyle name="好 2 3 10" xfId="4862"/>
    <cellStyle name="origAmountDrD 10 16" xfId="4863"/>
    <cellStyle name="40% - 强调文字颜色 5 2 10" xfId="4864"/>
    <cellStyle name="好 2 3 11" xfId="4865"/>
    <cellStyle name="origAmountDrD 10 17" xfId="4866"/>
    <cellStyle name="Accent1 2 2 3 2" xfId="4867"/>
    <cellStyle name="40% - 强调文字颜色 5 2 11" xfId="4868"/>
    <cellStyle name="好 2 3 12" xfId="4869"/>
    <cellStyle name="origAmountDrD 10 18" xfId="4870"/>
    <cellStyle name="Accent1 2 2 3 3" xfId="4871"/>
    <cellStyle name="40% - 强调文字颜色 5 2 12" xfId="4872"/>
    <cellStyle name="40% - 强调文字颜色 5 2 13" xfId="4873"/>
    <cellStyle name="40% - 强调文字颜色 5 2 14" xfId="4874"/>
    <cellStyle name="Accent2 - 60% 3 10" xfId="4875"/>
    <cellStyle name="40% - 强调文字颜色 5 2 15" xfId="4876"/>
    <cellStyle name="40% - 强调文字颜色 5 2 20" xfId="4877"/>
    <cellStyle name="60% - 强调文字颜色 6 2 3 10" xfId="4878"/>
    <cellStyle name="Accent2 - 60% 3 11" xfId="4879"/>
    <cellStyle name="40% - 强调文字颜色 5 2 16" xfId="4880"/>
    <cellStyle name="40% - 强调文字颜色 5 2 21" xfId="4881"/>
    <cellStyle name="常规 44 2 2 3 2" xfId="4882"/>
    <cellStyle name="60% - 强调文字颜色 6 2 3 11" xfId="4883"/>
    <cellStyle name="Accent2 - 60% 3 12" xfId="4884"/>
    <cellStyle name="40% - 强调文字颜色 5 2 17" xfId="4885"/>
    <cellStyle name="40% - 强调文字颜色 5 2 22" xfId="4886"/>
    <cellStyle name="常规 44 2 2 3 3" xfId="4887"/>
    <cellStyle name="60% - 强调文字颜色 6 2 3 12" xfId="4888"/>
    <cellStyle name="Accent2 - 60% 3 13" xfId="4889"/>
    <cellStyle name="40% - 强调文字颜色 5 2 18" xfId="4890"/>
    <cellStyle name="40% - 强调文字颜色 5 2 23" xfId="4891"/>
    <cellStyle name="样式 1 2 2" xfId="4892"/>
    <cellStyle name="Accent2 - 40% 2" xfId="4893"/>
    <cellStyle name="汇总 2 4 4" xfId="4894"/>
    <cellStyle name="60% - 强调文字颜色 6 2 3 13" xfId="4895"/>
    <cellStyle name="Accent2 - 60% 3 14" xfId="4896"/>
    <cellStyle name="40% - 强调文字颜色 5 2 19" xfId="4897"/>
    <cellStyle name="样式 1 2 3" xfId="4898"/>
    <cellStyle name="常规 133 3 3 2 2" xfId="4899"/>
    <cellStyle name="常规 128 3 3 2 2" xfId="4900"/>
    <cellStyle name="常规 111 3 16" xfId="4901"/>
    <cellStyle name="常规 106 3 16" xfId="4902"/>
    <cellStyle name="40% - 强调文字颜色 5 2 2 10" xfId="4903"/>
    <cellStyle name="常规 23 2 4 2" xfId="4904"/>
    <cellStyle name="常规 133 3 3 2 3" xfId="4905"/>
    <cellStyle name="常规 128 3 3 2 3" xfId="4906"/>
    <cellStyle name="常规 111 3 17" xfId="4907"/>
    <cellStyle name="常规 106 3 17" xfId="4908"/>
    <cellStyle name="40% - 强调文字颜色 5 2 2 11" xfId="4909"/>
    <cellStyle name="常规 23 2 4 3" xfId="4910"/>
    <cellStyle name="40% - 强调文字颜色 5 3 2 3 2" xfId="4911"/>
    <cellStyle name="常规 111 3 18" xfId="4912"/>
    <cellStyle name="常规 106 3 18" xfId="4913"/>
    <cellStyle name="40% - 强调文字颜色 5 2 2 12" xfId="4914"/>
    <cellStyle name="40% - 强调文字颜色 5 3 2 3 3" xfId="4915"/>
    <cellStyle name="40% - 强调文字颜色 5 2 2 13" xfId="4916"/>
    <cellStyle name="40% - 强调文字颜色 5 2 2 14" xfId="4917"/>
    <cellStyle name="40% - 强调文字颜色 5 2 2 15" xfId="4918"/>
    <cellStyle name="40% - 强调文字颜色 5 2 2 16" xfId="4919"/>
    <cellStyle name="40% - 强调文字颜色 5 2 2 17" xfId="4920"/>
    <cellStyle name="40% - 强调文字颜色 5 2 2 18" xfId="4921"/>
    <cellStyle name="40% - 强调文字颜色 5 2 2 2" xfId="4922"/>
    <cellStyle name="40% - 强调文字颜色 5 2 2 3" xfId="4923"/>
    <cellStyle name="40% - 强调文字颜色 5 2 2 3 2" xfId="4924"/>
    <cellStyle name="Accent3 13 4" xfId="4925"/>
    <cellStyle name="Accent2 - 60% 9" xfId="4926"/>
    <cellStyle name="注释 2 4 3" xfId="4927"/>
    <cellStyle name="Input [yellow] 12" xfId="4928"/>
    <cellStyle name="常规 111 5 3" xfId="4929"/>
    <cellStyle name="常规 106 5 3" xfId="4930"/>
    <cellStyle name="常规 135 2 2 3 3" xfId="4931"/>
    <cellStyle name="常规 140 2 2 3 3" xfId="4932"/>
    <cellStyle name="60% - 强调文字颜色 5 2 2 10" xfId="4933"/>
    <cellStyle name="40% - 强调文字颜色 5 2 2 3 2 2" xfId="4934"/>
    <cellStyle name="注释 2 4 4" xfId="4935"/>
    <cellStyle name="Input [yellow] 13" xfId="4936"/>
    <cellStyle name="60% - 强调文字颜色 5 2 2 11" xfId="4937"/>
    <cellStyle name="Header2 10 2 2" xfId="4938"/>
    <cellStyle name="常规 141 20" xfId="4939"/>
    <cellStyle name="常规 141 15" xfId="4940"/>
    <cellStyle name="常规 136 20" xfId="4941"/>
    <cellStyle name="常规 136 15" xfId="4942"/>
    <cellStyle name="40% - 强调文字颜色 5 2 2 3 2 3" xfId="4943"/>
    <cellStyle name="40% - 强调文字颜色 5 2 2 3 3" xfId="4944"/>
    <cellStyle name="Accent3 13 5" xfId="4945"/>
    <cellStyle name="40% - 强调文字颜色 5 2 2 4" xfId="4946"/>
    <cellStyle name="40% - 强调文字颜色 5 2 2 5" xfId="4947"/>
    <cellStyle name="40% - 强调文字颜色 5 2 2 6" xfId="4948"/>
    <cellStyle name="40% - 强调文字颜色 5 2 2 7" xfId="4949"/>
    <cellStyle name="40% - 强调文字颜色 5 2 2 8" xfId="4950"/>
    <cellStyle name="汇总 2 2 4 3 2 2" xfId="4951"/>
    <cellStyle name="40% - 强调文字颜色 5 2 2 9" xfId="4952"/>
    <cellStyle name="40% - 强调文字颜色 5 2 3 10" xfId="4953"/>
    <cellStyle name="40% - 强调文字颜色 5 2 3 15" xfId="4954"/>
    <cellStyle name="40% - 强调文字颜色 5 2 3 16" xfId="4955"/>
    <cellStyle name="Accent3 - 20%" xfId="4956"/>
    <cellStyle name="40% - 强调文字颜色 5 2 3 17" xfId="4957"/>
    <cellStyle name="Accent1 - 40% 2 2 3 2" xfId="4958"/>
    <cellStyle name="40% - 强调文字颜色 5 2 3 18" xfId="4959"/>
    <cellStyle name="40% - 强调文字颜色 5 2 3 2" xfId="4960"/>
    <cellStyle name="40% - 强调文字颜色 5 2 3 3" xfId="4961"/>
    <cellStyle name="Input [yellow] 2 8 4" xfId="4962"/>
    <cellStyle name="40% - 强调文字颜色 5 2 3 3 2" xfId="4963"/>
    <cellStyle name="Input [yellow] 2 8 5" xfId="4964"/>
    <cellStyle name="40% - 强调文字颜色 5 2 3 3 3" xfId="4965"/>
    <cellStyle name="40% - 强调文字颜色 5 2 3 4" xfId="4966"/>
    <cellStyle name="40% - 强调文字颜色 5 2 3 5" xfId="4967"/>
    <cellStyle name="40% - 强调文字颜色 5 2 3 6" xfId="4968"/>
    <cellStyle name="40% - 强调文字颜色 5 2 3 7" xfId="4969"/>
    <cellStyle name="40% - 强调文字颜色 5 2 3 8" xfId="4970"/>
    <cellStyle name="Accent4 5 3 2 2" xfId="4971"/>
    <cellStyle name="40% - 强调文字颜色 5 2 3 9" xfId="4972"/>
    <cellStyle name="40% - 强调文字颜色 5 2 5 2" xfId="4973"/>
    <cellStyle name="汇总 2 2 9 3 2 3" xfId="4974"/>
    <cellStyle name="40% - 强调文字颜色 5 2 5 2 2" xfId="4975"/>
    <cellStyle name="40% - 强调文字颜色 5 2 5 2 3" xfId="4976"/>
    <cellStyle name="40% - 强调文字颜色 5 2 5 3" xfId="4977"/>
    <cellStyle name="40% - 强调文字颜色 5 3" xfId="4978"/>
    <cellStyle name="origAmountDrD 11 16" xfId="4979"/>
    <cellStyle name="编号 3 17" xfId="4980"/>
    <cellStyle name="40% - 强调文字颜色 5 3 10" xfId="4981"/>
    <cellStyle name="origAmountDrD 11 17" xfId="4982"/>
    <cellStyle name="40% - 强调文字颜色 5 3 11" xfId="4983"/>
    <cellStyle name="origAmountDrD 11 18" xfId="4984"/>
    <cellStyle name="PSHeading 7 2 2" xfId="4985"/>
    <cellStyle name="40% - 强调文字颜色 5 3 12" xfId="4986"/>
    <cellStyle name="40% - 强调文字颜色 5 3 13" xfId="4987"/>
    <cellStyle name="60% - 强调文字颜色 4 2 3 2" xfId="4988"/>
    <cellStyle name="40% - 强调文字颜色 5 3 14" xfId="4989"/>
    <cellStyle name="60% - 强调文字颜色 4 2 3 3" xfId="4990"/>
    <cellStyle name="40% - 强调文字颜色 5 3 15" xfId="4991"/>
    <cellStyle name="60% - 强调文字颜色 4 2 3 4" xfId="4992"/>
    <cellStyle name="40% - 强调文字颜色 5 3 16" xfId="4993"/>
    <cellStyle name="40% - 强调文字颜色 5 3 17" xfId="4994"/>
    <cellStyle name="40% - 强调文字颜色 5 3 18" xfId="4995"/>
    <cellStyle name="60% - 强调文字颜色 6 3 7" xfId="4996"/>
    <cellStyle name="40% - 强调文字颜色 5 3 2" xfId="4997"/>
    <cellStyle name="40% - 强调文字颜色 5 3 2 10" xfId="4998"/>
    <cellStyle name="常规 107 3 16" xfId="4999"/>
    <cellStyle name="常规 112 3 16" xfId="5000"/>
    <cellStyle name="40% - 强调文字颜色 5 3 2 13" xfId="5001"/>
    <cellStyle name="Accent2 2" xfId="5002"/>
    <cellStyle name="输入 3 2 10 13" xfId="5003"/>
    <cellStyle name="Input [yellow] 3 2 2 2 3 2" xfId="5004"/>
    <cellStyle name="汇总 3 3 4 2" xfId="5005"/>
    <cellStyle name="40% - 强调文字颜色 5 3 2 14" xfId="5006"/>
    <cellStyle name="Accent2 3" xfId="5007"/>
    <cellStyle name="输入 3 2 10 14" xfId="5008"/>
    <cellStyle name="Input [yellow] 3 2 2 2 3 3" xfId="5009"/>
    <cellStyle name="汇总 3 3 4 3" xfId="5010"/>
    <cellStyle name="40% - 强调文字颜色 5 3 2 15" xfId="5011"/>
    <cellStyle name="Accent2 4" xfId="5012"/>
    <cellStyle name="汇总 3 3 4 4" xfId="5013"/>
    <cellStyle name="40% - 强调文字颜色 5 3 2 16" xfId="5014"/>
    <cellStyle name="Accent2 5" xfId="5015"/>
    <cellStyle name="汇总 3 3 4 5" xfId="5016"/>
    <cellStyle name="40% - 强调文字颜色 5 3 2 17" xfId="5017"/>
    <cellStyle name="Input [yellow] 5 3 2" xfId="5018"/>
    <cellStyle name="Accent2 6" xfId="5019"/>
    <cellStyle name="汇总 3 3 4 6" xfId="5020"/>
    <cellStyle name="40% - 强调文字颜色 5 3 2 18" xfId="5021"/>
    <cellStyle name="40% - 强调文字颜色 5 3 2 2" xfId="5022"/>
    <cellStyle name="40% - 强调文字颜色 5 3 2 3" xfId="5023"/>
    <cellStyle name="Grey 10" xfId="5024"/>
    <cellStyle name="计算 3 7 11" xfId="5025"/>
    <cellStyle name="40% - 强调文字颜色 5 3 2 3 2 2" xfId="5026"/>
    <cellStyle name="计算 3 7 12" xfId="5027"/>
    <cellStyle name="40% - 强调文字颜色 5 3 2 3 2 3" xfId="5028"/>
    <cellStyle name="40% - 强调文字颜色 5 3 2 4" xfId="5029"/>
    <cellStyle name="Grey 11" xfId="5030"/>
    <cellStyle name="40% - 强调文字颜色 5 3 2 5" xfId="5031"/>
    <cellStyle name="Grey 12" xfId="5032"/>
    <cellStyle name="40% - 强调文字颜色 5 3 2 6" xfId="5033"/>
    <cellStyle name="Grey 13" xfId="5034"/>
    <cellStyle name="Accent4 - 60% 2 2 10" xfId="5035"/>
    <cellStyle name="40% - 强调文字颜色 5 3 2 7" xfId="5036"/>
    <cellStyle name="Grey 14" xfId="5037"/>
    <cellStyle name="Header2 2 9 2" xfId="5038"/>
    <cellStyle name="Accent4 - 60% 2 2 11" xfId="5039"/>
    <cellStyle name="60% - 强调文字颜色 6 3 8" xfId="5040"/>
    <cellStyle name="40% - 强调文字颜色 5 3 3" xfId="5041"/>
    <cellStyle name="40% - 强调文字颜色 5 3 3 2" xfId="5042"/>
    <cellStyle name="60% - 强调文字颜色 6 3 9" xfId="5043"/>
    <cellStyle name="40% - 强调文字颜色 5 3 4" xfId="5044"/>
    <cellStyle name="40% - 强调文字颜色 5 3 5" xfId="5045"/>
    <cellStyle name="40% - 强调文字颜色 5 3 6" xfId="5046"/>
    <cellStyle name="Accent3 2 2 3 2 2" xfId="5047"/>
    <cellStyle name="40% - 强调文字颜色 5 4" xfId="5048"/>
    <cellStyle name="origAmountDrD 12 16" xfId="5049"/>
    <cellStyle name="编号 4 17" xfId="5050"/>
    <cellStyle name="40% - 强调文字颜色 5 4 10" xfId="5051"/>
    <cellStyle name="origAmountDrD 12 17" xfId="5052"/>
    <cellStyle name="40% - 强调文字颜色 5 4 11" xfId="5053"/>
    <cellStyle name="常规 46 2 2" xfId="5054"/>
    <cellStyle name="常规 51 2 2" xfId="5055"/>
    <cellStyle name="origAmountDrD 12 18" xfId="5056"/>
    <cellStyle name="40% - 强调文字颜色 5 4 12" xfId="5057"/>
    <cellStyle name="常规 46 2 3" xfId="5058"/>
    <cellStyle name="常规 51 2 3" xfId="5059"/>
    <cellStyle name="origAmountDrD 10 8" xfId="5060"/>
    <cellStyle name="Accent1 2 2 10" xfId="5061"/>
    <cellStyle name="40% - 强调文字颜色 5 4 13" xfId="5062"/>
    <cellStyle name="常规 46 2 4" xfId="5063"/>
    <cellStyle name="常规 51 2 4" xfId="5064"/>
    <cellStyle name="60% - 强调文字颜色 6 4 7" xfId="5065"/>
    <cellStyle name="Accent3 - 20% 3 3 3" xfId="5066"/>
    <cellStyle name="Input Cells 12" xfId="5067"/>
    <cellStyle name="Input [yellow] 6 2 15" xfId="5068"/>
    <cellStyle name="好 2 5 2" xfId="5069"/>
    <cellStyle name="40% - 强调文字颜色 5 4 2" xfId="5070"/>
    <cellStyle name="Accent1 - 40% 23" xfId="5071"/>
    <cellStyle name="Accent1 - 40% 18" xfId="5072"/>
    <cellStyle name="Input Cells 13" xfId="5073"/>
    <cellStyle name="Input [yellow] 6 2 16" xfId="5074"/>
    <cellStyle name="好 2 5 3" xfId="5075"/>
    <cellStyle name="40% - 强调文字颜色 5 4 3" xfId="5076"/>
    <cellStyle name="Accent2 - 60% 5 2" xfId="5077"/>
    <cellStyle name="60% - 强调文字颜色 6 4 8" xfId="5078"/>
    <cellStyle name="汇总 2 2 14 2 2" xfId="5079"/>
    <cellStyle name="Accent1 - 40% 19" xfId="5080"/>
    <cellStyle name="40% - 强调文字颜色 5 4 3 2" xfId="5081"/>
    <cellStyle name="Accent2 - 60% 5 2 2" xfId="5082"/>
    <cellStyle name="40% - 强调文字颜色 5 4 3 2 2" xfId="5083"/>
    <cellStyle name="40% - 强调文字颜色 5 4 3 2 3" xfId="5084"/>
    <cellStyle name="40% - 强调文字颜色 5 4 3 3" xfId="5085"/>
    <cellStyle name="Accent2 - 60% 5 2 3" xfId="5086"/>
    <cellStyle name="Input Cells 14" xfId="5087"/>
    <cellStyle name="Input [yellow] 6 2 17" xfId="5088"/>
    <cellStyle name="40% - 强调文字颜色 5 4 4" xfId="5089"/>
    <cellStyle name="Accent2 - 60% 5 3" xfId="5090"/>
    <cellStyle name="60% - 强调文字颜色 6 4 9" xfId="5091"/>
    <cellStyle name="Input Cells 15" xfId="5092"/>
    <cellStyle name="40% - 强调文字颜色 5 4 5" xfId="5093"/>
    <cellStyle name="Input Cells 16" xfId="5094"/>
    <cellStyle name="40% - 强调文字颜色 5 4 6" xfId="5095"/>
    <cellStyle name="40% - 强调文字颜色 6 2" xfId="5096"/>
    <cellStyle name="Input [yellow] 9 16" xfId="5097"/>
    <cellStyle name="Input [yellow] 13 13" xfId="5098"/>
    <cellStyle name="40% - 强调文字颜色 6 2 10" xfId="5099"/>
    <cellStyle name="PSHeading 10 9" xfId="5100"/>
    <cellStyle name="Accent1 10 5" xfId="5101"/>
    <cellStyle name="40% - 强调文字颜色 6 2 19" xfId="5102"/>
    <cellStyle name="计算 3 2 3 2 12" xfId="5103"/>
    <cellStyle name="40% - 强调文字颜色 6 2 2" xfId="5104"/>
    <cellStyle name="常规 28 2 4 2" xfId="5105"/>
    <cellStyle name="40% - 强调文字颜色 6 2 2 10" xfId="5106"/>
    <cellStyle name="Input [yellow] 11 3 2" xfId="5107"/>
    <cellStyle name="常规 28 2 4 3" xfId="5108"/>
    <cellStyle name="40% - 强调文字颜色 6 2 2 11" xfId="5109"/>
    <cellStyle name="40% - 强调文字颜色 6 2 2 12" xfId="5110"/>
    <cellStyle name="40% - 强调文字颜色 6 2 2 13" xfId="5111"/>
    <cellStyle name="注释 4 3 9" xfId="5112"/>
    <cellStyle name="Date 2 2" xfId="5113"/>
    <cellStyle name="40% - 强调文字颜色 6 2 2 14" xfId="5114"/>
    <cellStyle name="Date 2 3" xfId="5115"/>
    <cellStyle name="40% - 强调文字颜色 6 2 2 15" xfId="5116"/>
    <cellStyle name="Date 2 4" xfId="5117"/>
    <cellStyle name="40% - 强调文字颜色 6 2 2 16" xfId="5118"/>
    <cellStyle name="Date 2 5" xfId="5119"/>
    <cellStyle name="40% - 强调文字颜色 6 2 2 17" xfId="5120"/>
    <cellStyle name="Date 2 6" xfId="5121"/>
    <cellStyle name="40% - 强调文字颜色 6 2 2 18" xfId="5122"/>
    <cellStyle name="常规 85 2 13" xfId="5123"/>
    <cellStyle name="常规 90 2 13" xfId="5124"/>
    <cellStyle name="60% - 强调文字颜色 4 3 16" xfId="5125"/>
    <cellStyle name="常规 4 3 4" xfId="5126"/>
    <cellStyle name="40% - 强调文字颜色 6 2 2 2" xfId="5127"/>
    <cellStyle name="常规 85 2 14" xfId="5128"/>
    <cellStyle name="常规 90 2 14" xfId="5129"/>
    <cellStyle name="60% - 强调文字颜色 4 3 17" xfId="5130"/>
    <cellStyle name="常规 4 3 5" xfId="5131"/>
    <cellStyle name="40% - 强调文字颜色 6 2 2 3" xfId="5132"/>
    <cellStyle name="Input [yellow] 3 5 19" xfId="5133"/>
    <cellStyle name="origAmountCrD 2 2 2 15" xfId="5134"/>
    <cellStyle name="Accent3 - 60% 9" xfId="5135"/>
    <cellStyle name="汇总 2 3 16" xfId="5136"/>
    <cellStyle name="汇总 2 3 21" xfId="5137"/>
    <cellStyle name="Accent1 - 60% 3 8" xfId="5138"/>
    <cellStyle name="40% - 强调文字颜色 6 2 2 3 2" xfId="5139"/>
    <cellStyle name="40% - 强调文字颜色 6 2 2 3 2 2" xfId="5140"/>
    <cellStyle name="Header2 4 10" xfId="5141"/>
    <cellStyle name="常规 88 5 2 2" xfId="5142"/>
    <cellStyle name="常规 93 5 2 2" xfId="5143"/>
    <cellStyle name="Accent1 - 20% 2 4 2 2" xfId="5144"/>
    <cellStyle name="40% - 强调文字颜色 6 2 2 3 2 3" xfId="5145"/>
    <cellStyle name="Header2 4 11" xfId="5146"/>
    <cellStyle name="汇总 2 3 17" xfId="5147"/>
    <cellStyle name="汇总 2 3 22" xfId="5148"/>
    <cellStyle name="Accent1 - 60% 3 9" xfId="5149"/>
    <cellStyle name="40% - 强调文字颜色 6 2 2 3 3" xfId="5150"/>
    <cellStyle name="常规 85 2 15" xfId="5151"/>
    <cellStyle name="常规 90 2 15" xfId="5152"/>
    <cellStyle name="60% - 强调文字颜色 4 3 18" xfId="5153"/>
    <cellStyle name="常规 4 3 6" xfId="5154"/>
    <cellStyle name="40% - 强调文字颜色 6 2 2 4" xfId="5155"/>
    <cellStyle name="常规 4 3 7" xfId="5156"/>
    <cellStyle name="40% - 强调文字颜色 6 2 2 5" xfId="5157"/>
    <cellStyle name="Header2 3 12 2" xfId="5158"/>
    <cellStyle name="常规 113 20" xfId="5159"/>
    <cellStyle name="常规 113 15" xfId="5160"/>
    <cellStyle name="常规 108 20" xfId="5161"/>
    <cellStyle name="常规 108 15" xfId="5162"/>
    <cellStyle name="注释 4 10" xfId="5163"/>
    <cellStyle name="输出 2 22" xfId="5164"/>
    <cellStyle name="输出 2 17" xfId="5165"/>
    <cellStyle name="常规 4 3 8" xfId="5166"/>
    <cellStyle name="40% - 强调文字颜色 6 2 2 6" xfId="5167"/>
    <cellStyle name="Header2 3 12 3" xfId="5168"/>
    <cellStyle name="常规 113 21" xfId="5169"/>
    <cellStyle name="常规 113 16" xfId="5170"/>
    <cellStyle name="常规 108 21" xfId="5171"/>
    <cellStyle name="常规 108 16" xfId="5172"/>
    <cellStyle name="注释 4 11" xfId="5173"/>
    <cellStyle name="输出 2 23" xfId="5174"/>
    <cellStyle name="输出 2 18" xfId="5175"/>
    <cellStyle name="常规 4 3 9" xfId="5176"/>
    <cellStyle name="40% - 强调文字颜色 6 2 2 7" xfId="5177"/>
    <cellStyle name="Header2 3 12 4" xfId="5178"/>
    <cellStyle name="常规 113 22" xfId="5179"/>
    <cellStyle name="常规 113 17" xfId="5180"/>
    <cellStyle name="常规 108 22" xfId="5181"/>
    <cellStyle name="常规 108 17" xfId="5182"/>
    <cellStyle name="注释 4 12" xfId="5183"/>
    <cellStyle name="输出 2 24" xfId="5184"/>
    <cellStyle name="输出 2 19" xfId="5185"/>
    <cellStyle name="40% - 强调文字颜色 6 2 2 8" xfId="5186"/>
    <cellStyle name="Header2 3 12 5" xfId="5187"/>
    <cellStyle name="常规 113 23" xfId="5188"/>
    <cellStyle name="常规 113 18" xfId="5189"/>
    <cellStyle name="常规 108 23" xfId="5190"/>
    <cellStyle name="常规 108 18" xfId="5191"/>
    <cellStyle name="注释 4 13" xfId="5192"/>
    <cellStyle name="输出 2 25" xfId="5193"/>
    <cellStyle name="汇总 2 2 5 3 2 2" xfId="5194"/>
    <cellStyle name="40% - 强调文字颜色 6 2 2 9" xfId="5195"/>
    <cellStyle name="40% - 强调文字颜色 6 2 3" xfId="5196"/>
    <cellStyle name="40% - 强调文字颜色 6 2 3 10" xfId="5197"/>
    <cellStyle name="计算 2 2 7 2 11" xfId="5198"/>
    <cellStyle name="常规 28 5" xfId="5199"/>
    <cellStyle name="常规 33 5" xfId="5200"/>
    <cellStyle name="Accent4 - 60% 2 7" xfId="5201"/>
    <cellStyle name="Accent2 - 20% 3 3 2" xfId="5202"/>
    <cellStyle name="40% - 强调文字颜色 6 2 3 11" xfId="5203"/>
    <cellStyle name="计算 2 2 7 2 12" xfId="5204"/>
    <cellStyle name="常规 37 3 3 2 2" xfId="5205"/>
    <cellStyle name="常规 42 3 3 2 2" xfId="5206"/>
    <cellStyle name="标题 3 2 8 2 2" xfId="5207"/>
    <cellStyle name="常规 28 6" xfId="5208"/>
    <cellStyle name="常规 33 6" xfId="5209"/>
    <cellStyle name="Accent4 - 60% 2 8" xfId="5210"/>
    <cellStyle name="千位分隔 2 2 3" xfId="5211"/>
    <cellStyle name="Input [yellow] 3 7 2 3 2" xfId="5212"/>
    <cellStyle name="Accent2 - 20% 3 3 3" xfId="5213"/>
    <cellStyle name="常规 37 3 3 2 3" xfId="5214"/>
    <cellStyle name="常规 42 3 3 2 3" xfId="5215"/>
    <cellStyle name="40% - 强调文字颜色 6 2 3 12" xfId="5216"/>
    <cellStyle name="常规 28 7" xfId="5217"/>
    <cellStyle name="常规 33 7" xfId="5218"/>
    <cellStyle name="Accent4 - 60% 2 9" xfId="5219"/>
    <cellStyle name="Input [yellow] 5 2 2 3" xfId="5220"/>
    <cellStyle name="Accent1 6 3" xfId="5221"/>
    <cellStyle name="40% - 强调文字颜色 6 2 3 15" xfId="5222"/>
    <cellStyle name="60% - 强调文字颜色 3 2 5 2" xfId="5223"/>
    <cellStyle name="60% - 强调文字颜色 2 2 3 3 2" xfId="5224"/>
    <cellStyle name="Input [yellow] 5 2 2 4" xfId="5225"/>
    <cellStyle name="comma zerodec 2 2" xfId="5226"/>
    <cellStyle name="Accent1 6 4" xfId="5227"/>
    <cellStyle name="40% - 强调文字颜色 6 2 3 16" xfId="5228"/>
    <cellStyle name="60% - 强调文字颜色 3 2 5 3" xfId="5229"/>
    <cellStyle name="60% - 强调文字颜色 2 2 3 3 3" xfId="5230"/>
    <cellStyle name="Input [yellow] 5 2 2 5" xfId="5231"/>
    <cellStyle name="comma zerodec 2 3" xfId="5232"/>
    <cellStyle name="Accent1 6 5" xfId="5233"/>
    <cellStyle name="40% - 强调文字颜色 6 2 3 17" xfId="5234"/>
    <cellStyle name="Input [yellow] 5 2 2 6" xfId="5235"/>
    <cellStyle name="comma zerodec 2 4" xfId="5236"/>
    <cellStyle name="Accent1 6 6" xfId="5237"/>
    <cellStyle name="40% - 强调文字颜色 6 2 3 18" xfId="5238"/>
    <cellStyle name="origAmountDrD" xfId="5239"/>
    <cellStyle name="40% - 强调文字颜色 6 2 3 3 2" xfId="5240"/>
    <cellStyle name="Accent4 - 60% 2 12" xfId="5241"/>
    <cellStyle name="Accent5 12 5" xfId="5242"/>
    <cellStyle name="注释 2 4 5" xfId="5243"/>
    <cellStyle name="Input [yellow] 14" xfId="5244"/>
    <cellStyle name="60% - 强调文字颜色 5 2 2 12" xfId="5245"/>
    <cellStyle name="常规 136 16" xfId="5246"/>
    <cellStyle name="常规 136 21" xfId="5247"/>
    <cellStyle name="常规 141 16" xfId="5248"/>
    <cellStyle name="常规 141 21" xfId="5249"/>
    <cellStyle name="40% - 强调文字颜色 6 2 3 3 2 2" xfId="5250"/>
    <cellStyle name="常规 136 17" xfId="5251"/>
    <cellStyle name="常规 136 22" xfId="5252"/>
    <cellStyle name="常规 141 17" xfId="5253"/>
    <cellStyle name="常规 141 22" xfId="5254"/>
    <cellStyle name="40% - 强调文字颜色 6 2 3 3 2 3" xfId="5255"/>
    <cellStyle name="Accent2 3 2 10" xfId="5256"/>
    <cellStyle name="注释 2 4 6" xfId="5257"/>
    <cellStyle name="Input [yellow] 20" xfId="5258"/>
    <cellStyle name="Input [yellow] 15" xfId="5259"/>
    <cellStyle name="60% - 强调文字颜色 5 2 2 13" xfId="5260"/>
    <cellStyle name="40% - 强调文字颜色 6 2 3 3 3" xfId="5261"/>
    <cellStyle name="编号 3 2 2" xfId="5262"/>
    <cellStyle name="Accent4 - 60% 2 13" xfId="5263"/>
    <cellStyle name="Accent5 12 6" xfId="5264"/>
    <cellStyle name="40% - 强调文字颜色 6 2 3 5" xfId="5265"/>
    <cellStyle name="Header2 3 13 2" xfId="5266"/>
    <cellStyle name="40% - 强调文字颜色 6 2 3 6" xfId="5267"/>
    <cellStyle name="40% - 强调文字颜色 6 2 3 7" xfId="5268"/>
    <cellStyle name="常规 115 5 2" xfId="5269"/>
    <cellStyle name="常规 120 5 2" xfId="5270"/>
    <cellStyle name="40% - 强调文字颜色 6 2 3 8" xfId="5271"/>
    <cellStyle name="Accent4 6 3 2 2" xfId="5272"/>
    <cellStyle name="常规 115 5 3" xfId="5273"/>
    <cellStyle name="常规 120 5 3" xfId="5274"/>
    <cellStyle name="40% - 强调文字颜色 6 2 3 9" xfId="5275"/>
    <cellStyle name="40% - 强调文字颜色 6 2 4" xfId="5276"/>
    <cellStyle name="40% - 强调文字颜色 6 2 5" xfId="5277"/>
    <cellStyle name="常规 101 4" xfId="5278"/>
    <cellStyle name="40% - 强调文字颜色 6 2 5 2" xfId="5279"/>
    <cellStyle name="Input [yellow] 2 2 4 2 11" xfId="5280"/>
    <cellStyle name="标题 3 3 2 2 7" xfId="5281"/>
    <cellStyle name="40% - 强调文字颜色 6 2 5 2 2" xfId="5282"/>
    <cellStyle name="Input [yellow] 2 2 4 2 12" xfId="5283"/>
    <cellStyle name="标题 3 3 2 2 8" xfId="5284"/>
    <cellStyle name="40% - 强调文字颜色 6 2 5 2 3" xfId="5285"/>
    <cellStyle name="常规 101 5" xfId="5286"/>
    <cellStyle name="40% - 强调文字颜色 6 2 5 3" xfId="5287"/>
    <cellStyle name="40% - 强调文字颜色 6 2 6" xfId="5288"/>
    <cellStyle name="40% - 强调文字颜色 6 3" xfId="5289"/>
    <cellStyle name="Input [yellow] 14 13" xfId="5290"/>
    <cellStyle name="40% - 强调文字颜色 6 3 10" xfId="5291"/>
    <cellStyle name="Input [yellow] 14 14" xfId="5292"/>
    <cellStyle name="40% - 强调文字颜色 6 3 11" xfId="5293"/>
    <cellStyle name="Input [yellow] 14 15" xfId="5294"/>
    <cellStyle name="40% - 强调文字颜色 6 3 12" xfId="5295"/>
    <cellStyle name="Input [yellow] 14 16" xfId="5296"/>
    <cellStyle name="40% - 强调文字颜色 6 3 13" xfId="5297"/>
    <cellStyle name="Input [yellow] 14 17" xfId="5298"/>
    <cellStyle name="40% - 强调文字颜色 6 3 14" xfId="5299"/>
    <cellStyle name="40% - 强调文字颜色 6 3 15" xfId="5300"/>
    <cellStyle name="输入 3 2 3 2 9" xfId="5301"/>
    <cellStyle name="常规 127 2 2 3 2" xfId="5302"/>
    <cellStyle name="常规 132 2 2 3 2" xfId="5303"/>
    <cellStyle name="PSHeading 15 6" xfId="5304"/>
    <cellStyle name="Accent1 15 2" xfId="5305"/>
    <cellStyle name="40% - 强调文字颜色 6 3 16" xfId="5306"/>
    <cellStyle name="常规 127 2 2 3 3" xfId="5307"/>
    <cellStyle name="常规 132 2 2 3 3" xfId="5308"/>
    <cellStyle name="PSHeading 15 7" xfId="5309"/>
    <cellStyle name="Accent1 15 3" xfId="5310"/>
    <cellStyle name="40% - 强调文字颜色 6 3 17" xfId="5311"/>
    <cellStyle name="40% - 强调文字颜色 6 3 18" xfId="5312"/>
    <cellStyle name="常规 67 2 2 18" xfId="5313"/>
    <cellStyle name="常规 72 2 2 18" xfId="5314"/>
    <cellStyle name="Accent3 - 20% 10" xfId="5315"/>
    <cellStyle name="40% - 强调文字颜色 6 3 2" xfId="5316"/>
    <cellStyle name="40% - 强调文字颜色 6 3 2 10" xfId="5317"/>
    <cellStyle name="Input [yellow] 16 3 2" xfId="5318"/>
    <cellStyle name="40% - 强调文字颜色 6 3 2 11" xfId="5319"/>
    <cellStyle name="Input [yellow] 16 3 3" xfId="5320"/>
    <cellStyle name="40% - 强调文字颜色 6 3 2 12" xfId="5321"/>
    <cellStyle name="40% - 强调文字颜色 6 3 2 13" xfId="5322"/>
    <cellStyle name="Input [yellow] 3 10 2 3 2" xfId="5323"/>
    <cellStyle name="40% - 强调文字颜色 6 3 2 14" xfId="5324"/>
    <cellStyle name="Input [yellow] 3 10 2 3 3" xfId="5325"/>
    <cellStyle name="40% - 强调文字颜色 6 3 2 15" xfId="5326"/>
    <cellStyle name="40% - 强调文字颜色 6 3 2 16" xfId="5327"/>
    <cellStyle name="40% - 强调文字颜色 6 3 2 17" xfId="5328"/>
    <cellStyle name="40% - 强调文字颜色 6 3 2 18" xfId="5329"/>
    <cellStyle name="Dollar (zero dec) 5" xfId="5330"/>
    <cellStyle name="常规 123 11" xfId="5331"/>
    <cellStyle name="常规 118 11" xfId="5332"/>
    <cellStyle name="常规 138 4" xfId="5333"/>
    <cellStyle name="常规 143 4" xfId="5334"/>
    <cellStyle name="常规 5 3 4" xfId="5335"/>
    <cellStyle name="40% - 强调文字颜色 6 3 2 2" xfId="5336"/>
    <cellStyle name="Dollar (zero dec) 6" xfId="5337"/>
    <cellStyle name="常规 123 12" xfId="5338"/>
    <cellStyle name="常规 118 12" xfId="5339"/>
    <cellStyle name="常规 138 5" xfId="5340"/>
    <cellStyle name="常规 143 5" xfId="5341"/>
    <cellStyle name="常规 5 3 5" xfId="5342"/>
    <cellStyle name="40% - 强调文字颜色 6 3 2 3" xfId="5343"/>
    <cellStyle name="常规 138 5 2" xfId="5344"/>
    <cellStyle name="常规 143 5 2" xfId="5345"/>
    <cellStyle name="40% - 强调文字颜色 6 3 2 3 2" xfId="5346"/>
    <cellStyle name="常规 138 5 3" xfId="5347"/>
    <cellStyle name="常规 143 5 3" xfId="5348"/>
    <cellStyle name="40% - 强调文字颜色 6 3 2 3 3" xfId="5349"/>
    <cellStyle name="Dollar (zero dec) 7" xfId="5350"/>
    <cellStyle name="常规 123 13" xfId="5351"/>
    <cellStyle name="常规 118 13" xfId="5352"/>
    <cellStyle name="常规 138 6" xfId="5353"/>
    <cellStyle name="常规 143 6" xfId="5354"/>
    <cellStyle name="常规 5 3 6" xfId="5355"/>
    <cellStyle name="40% - 强调文字颜色 6 3 2 4" xfId="5356"/>
    <cellStyle name="Dollar (zero dec) 8" xfId="5357"/>
    <cellStyle name="常规 123 14" xfId="5358"/>
    <cellStyle name="常规 118 14" xfId="5359"/>
    <cellStyle name="常规 138 7" xfId="5360"/>
    <cellStyle name="常规 143 7" xfId="5361"/>
    <cellStyle name="常规 5 3 7" xfId="5362"/>
    <cellStyle name="40% - 强调文字颜色 6 3 2 5" xfId="5363"/>
    <cellStyle name="Dollar (zero dec) 9" xfId="5364"/>
    <cellStyle name="常规 123 20" xfId="5365"/>
    <cellStyle name="常规 123 15" xfId="5366"/>
    <cellStyle name="常规 118 20" xfId="5367"/>
    <cellStyle name="常规 118 15" xfId="5368"/>
    <cellStyle name="常规 138 8" xfId="5369"/>
    <cellStyle name="常规 143 8" xfId="5370"/>
    <cellStyle name="常规 5 3 8" xfId="5371"/>
    <cellStyle name="40% - 强调文字颜色 6 3 2 6" xfId="5372"/>
    <cellStyle name="常规 138 9" xfId="5373"/>
    <cellStyle name="常规 143 9" xfId="5374"/>
    <cellStyle name="常规 5 3 9" xfId="5375"/>
    <cellStyle name="40% - 强调文字颜色 6 3 2 7" xfId="5376"/>
    <cellStyle name="注释 2 2 5 2 2" xfId="5377"/>
    <cellStyle name="Accent3 - 20% 11" xfId="5378"/>
    <cellStyle name="40% - 强调文字颜色 6 3 3" xfId="5379"/>
    <cellStyle name="注释 2 2 5 2 3" xfId="5380"/>
    <cellStyle name="Accent3 - 20% 12" xfId="5381"/>
    <cellStyle name="40% - 强调文字颜色 6 3 4" xfId="5382"/>
    <cellStyle name="注释 2 2 5 2 4" xfId="5383"/>
    <cellStyle name="Accent3 - 20% 13" xfId="5384"/>
    <cellStyle name="40% - 强调文字颜色 6 3 5" xfId="5385"/>
    <cellStyle name="注释 2 2 5 2 5" xfId="5386"/>
    <cellStyle name="Accent3 - 20% 14" xfId="5387"/>
    <cellStyle name="40% - 强调文字颜色 6 3 6" xfId="5388"/>
    <cellStyle name="计算 2 2 6 2 5" xfId="5389"/>
    <cellStyle name="60% - 强调文字颜色 4 2 2" xfId="5390"/>
    <cellStyle name="40% - 强调文字颜色 6 4" xfId="5391"/>
    <cellStyle name="Accent5 11 9" xfId="5392"/>
    <cellStyle name="Accent2 - 40% 2 11" xfId="5393"/>
    <cellStyle name="60% - 强调文字颜色 4 2 2 10" xfId="5394"/>
    <cellStyle name="汇总 2 8 2 4" xfId="5395"/>
    <cellStyle name="Accent3 8 3 2" xfId="5396"/>
    <cellStyle name="60% - 强调文字颜色 6 2 2 3 2 2" xfId="5397"/>
    <cellStyle name="Input [yellow] 15 13" xfId="5398"/>
    <cellStyle name="40% - 强调文字颜色 6 4 10" xfId="5399"/>
    <cellStyle name="Accent2 - 40% 2 12" xfId="5400"/>
    <cellStyle name="60% - 强调文字颜色 4 2 2 11" xfId="5401"/>
    <cellStyle name="汇总 2 8 2 5" xfId="5402"/>
    <cellStyle name="Accent3 8 3 3" xfId="5403"/>
    <cellStyle name="60% - 强调文字颜色 6 2 2 3 2 3" xfId="5404"/>
    <cellStyle name="40% - 强调文字颜色 6 4 11" xfId="5405"/>
    <cellStyle name="常规 56 2 2" xfId="5406"/>
    <cellStyle name="常规 61 2 2" xfId="5407"/>
    <cellStyle name="Input [yellow] 15 14" xfId="5408"/>
    <cellStyle name="Accent2 - 40% 2 13" xfId="5409"/>
    <cellStyle name="60% - 强调文字颜色 4 2 2 12" xfId="5410"/>
    <cellStyle name="40% - 强调文字颜色 6 4 12" xfId="5411"/>
    <cellStyle name="常规 56 2 3" xfId="5412"/>
    <cellStyle name="常规 61 2 3" xfId="5413"/>
    <cellStyle name="Input [yellow] 15 15" xfId="5414"/>
    <cellStyle name="Accent2 - 40% 2 14" xfId="5415"/>
    <cellStyle name="60% - 强调文字颜色 4 2 2 13" xfId="5416"/>
    <cellStyle name="Accent1 3 2 10" xfId="5417"/>
    <cellStyle name="常规 79 5 2 2" xfId="5418"/>
    <cellStyle name="常规 84 5 2 2" xfId="5419"/>
    <cellStyle name="40% - 强调文字颜色 6 4 13" xfId="5420"/>
    <cellStyle name="常规 56 2 4" xfId="5421"/>
    <cellStyle name="常规 61 2 4" xfId="5422"/>
    <cellStyle name="Input [yellow] 15 16" xfId="5423"/>
    <cellStyle name="Accent2 - 40% 2 15" xfId="5424"/>
    <cellStyle name="60% - 强调文字颜色 4 2 2 14" xfId="5425"/>
    <cellStyle name="Accent3 11 3 2 2" xfId="5426"/>
    <cellStyle name="Accent1 3 2 11" xfId="5427"/>
    <cellStyle name="常规 79 5 2 3" xfId="5428"/>
    <cellStyle name="常规 84 5 2 3" xfId="5429"/>
    <cellStyle name="40% - 强调文字颜色 6 4 14" xfId="5430"/>
    <cellStyle name="常规 56 2 5" xfId="5431"/>
    <cellStyle name="常规 61 2 5" xfId="5432"/>
    <cellStyle name="Input [yellow] 15 17" xfId="5433"/>
    <cellStyle name="Accent2 - 40% 2 16" xfId="5434"/>
    <cellStyle name="60% - 强调文字颜色 4 2 2 15" xfId="5435"/>
    <cellStyle name="Accent3 11 3 2 3" xfId="5436"/>
    <cellStyle name="Accent1 3 2 12" xfId="5437"/>
    <cellStyle name="40% - 强调文字颜色 6 4 15" xfId="5438"/>
    <cellStyle name="常规 56 2 6" xfId="5439"/>
    <cellStyle name="常规 61 2 6" xfId="5440"/>
    <cellStyle name="Accent2 - 40% 2 17" xfId="5441"/>
    <cellStyle name="60% - 强调文字颜色 4 2 2 16" xfId="5442"/>
    <cellStyle name="per.style 2" xfId="5443"/>
    <cellStyle name="Accent1 3 2 13" xfId="5444"/>
    <cellStyle name="40% - 强调文字颜色 6 4 16" xfId="5445"/>
    <cellStyle name="常规 56 2 7" xfId="5446"/>
    <cellStyle name="常规 61 2 7" xfId="5447"/>
    <cellStyle name="Accent2 - 40% 2 18" xfId="5448"/>
    <cellStyle name="60% - 强调文字颜色 4 2 2 17" xfId="5449"/>
    <cellStyle name="per.style 3" xfId="5450"/>
    <cellStyle name="Accent1 3 2 14" xfId="5451"/>
    <cellStyle name="40% - 强调文字颜色 6 4 17" xfId="5452"/>
    <cellStyle name="常规 56 2 8" xfId="5453"/>
    <cellStyle name="常规 61 2 8" xfId="5454"/>
    <cellStyle name="Accent2 - 40% 2 19" xfId="5455"/>
    <cellStyle name="60% - 强调文字颜色 4 2 2 18" xfId="5456"/>
    <cellStyle name="部门 2 2 2" xfId="5457"/>
    <cellStyle name="Accent1 3 2 15" xfId="5458"/>
    <cellStyle name="输入 2 2 3 2 10" xfId="5459"/>
    <cellStyle name="per.style 4" xfId="5460"/>
    <cellStyle name="40% - 强调文字颜色 6 4 18" xfId="5461"/>
    <cellStyle name="常规 56 2 9" xfId="5462"/>
    <cellStyle name="常规 61 2 9" xfId="5463"/>
    <cellStyle name="Header2 2 28" xfId="5464"/>
    <cellStyle name="常规 87 2 11" xfId="5465"/>
    <cellStyle name="常规 92 2 11" xfId="5466"/>
    <cellStyle name="60% - 强调文字颜色 6 3 14" xfId="5467"/>
    <cellStyle name="输出 2 2 9 2 7" xfId="5468"/>
    <cellStyle name="60% - 强调文字颜色 4 2 2 2" xfId="5469"/>
    <cellStyle name="40% - 强调文字颜色 6 4 2" xfId="5470"/>
    <cellStyle name="Accent4 12 15" xfId="5471"/>
    <cellStyle name="Header2 2 29" xfId="5472"/>
    <cellStyle name="常规 87 2 12" xfId="5473"/>
    <cellStyle name="常规 92 2 12" xfId="5474"/>
    <cellStyle name="60% - 强调文字颜色 6 3 15" xfId="5475"/>
    <cellStyle name="输出 2 2 9 2 8" xfId="5476"/>
    <cellStyle name="60% - 强调文字颜色 4 2 2 3" xfId="5477"/>
    <cellStyle name="40% - 强调文字颜色 6 4 3" xfId="5478"/>
    <cellStyle name="Accent4 12 16" xfId="5479"/>
    <cellStyle name="60% - 强调文字颜色 4 2 2 3 2" xfId="5480"/>
    <cellStyle name="40% - 强调文字颜色 6 4 3 2" xfId="5481"/>
    <cellStyle name="60% - 强调文字颜色 4 2 2 3 2 3" xfId="5482"/>
    <cellStyle name="常规 37 2 9" xfId="5483"/>
    <cellStyle name="常规 42 2 9" xfId="5484"/>
    <cellStyle name="40% - 强调文字颜色 6 4 3 2 3" xfId="5485"/>
    <cellStyle name="60% - 强调文字颜色 4 2 2 3 3" xfId="5486"/>
    <cellStyle name="40% - 强调文字颜色 6 4 3 3" xfId="5487"/>
    <cellStyle name="常规 87 2 15" xfId="5488"/>
    <cellStyle name="常规 92 2 15" xfId="5489"/>
    <cellStyle name="60% - 强调文字颜色 6 3 18" xfId="5490"/>
    <cellStyle name="60% - 强调文字颜色 4 2 2 6" xfId="5491"/>
    <cellStyle name="40% - 强调文字颜色 6 4 6" xfId="5492"/>
    <cellStyle name="60% - 强调文字颜色 1 2 23" xfId="5493"/>
    <cellStyle name="60% - 强调文字颜色 1 2 18" xfId="5494"/>
    <cellStyle name="60% - 强调文字颜色 1 2 19" xfId="5495"/>
    <cellStyle name="计算 2 3 5 9" xfId="5496"/>
    <cellStyle name="Accent4 - 40% 3 4" xfId="5497"/>
    <cellStyle name="常规 38 2 2" xfId="5498"/>
    <cellStyle name="常规 43 2 2" xfId="5499"/>
    <cellStyle name="Accent2 - 20% 3 8" xfId="5500"/>
    <cellStyle name="Accent2 6 14" xfId="5501"/>
    <cellStyle name="60% - 强调文字颜色 1 2 2 10" xfId="5502"/>
    <cellStyle name="Accent4 - 40% 3 5" xfId="5503"/>
    <cellStyle name="常规 38 2 3" xfId="5504"/>
    <cellStyle name="常规 43 2 3" xfId="5505"/>
    <cellStyle name="Accent2 - 20% 3 9" xfId="5506"/>
    <cellStyle name="Accent2 6 15" xfId="5507"/>
    <cellStyle name="60% - 强调文字颜色 1 2 2 11" xfId="5508"/>
    <cellStyle name="Accent4 - 40% 3 6" xfId="5509"/>
    <cellStyle name="Accent6 - 60% 3 2" xfId="5510"/>
    <cellStyle name="常规 38 2 4" xfId="5511"/>
    <cellStyle name="常规 43 2 4" xfId="5512"/>
    <cellStyle name="Accent2 6 16" xfId="5513"/>
    <cellStyle name="60% - 强调文字颜色 1 2 2 12" xfId="5514"/>
    <cellStyle name="Accent2 6 17" xfId="5515"/>
    <cellStyle name="常规 49 5 2 2" xfId="5516"/>
    <cellStyle name="常规 54 5 2 2" xfId="5517"/>
    <cellStyle name="Accent6 - 60% 3 3" xfId="5518"/>
    <cellStyle name="常规 38 2 5" xfId="5519"/>
    <cellStyle name="常规 43 2 5" xfId="5520"/>
    <cellStyle name="Accent4 - 40% 3 7" xfId="5521"/>
    <cellStyle name="60% - 强调文字颜色 1 2 2 13" xfId="5522"/>
    <cellStyle name="Accent2 6 18" xfId="5523"/>
    <cellStyle name="常规 49 5 2 3" xfId="5524"/>
    <cellStyle name="常规 54 5 2 3" xfId="5525"/>
    <cellStyle name="Accent6 - 60% 3 4" xfId="5526"/>
    <cellStyle name="常规 38 2 6" xfId="5527"/>
    <cellStyle name="常规 43 2 6" xfId="5528"/>
    <cellStyle name="Accent4 - 40% 3 8" xfId="5529"/>
    <cellStyle name="60% - 强调文字颜色 1 2 2 14" xfId="5530"/>
    <cellStyle name="60% - 强调文字颜色 1 2 2 15" xfId="5531"/>
    <cellStyle name="60% - 强调文字颜色 1 2 2 16" xfId="5532"/>
    <cellStyle name="Input [yellow] 3 2 3 2" xfId="5533"/>
    <cellStyle name="60% - 强调文字颜色 1 2 2 17" xfId="5534"/>
    <cellStyle name="Input [yellow] 3 2 3 3" xfId="5535"/>
    <cellStyle name="60% - 强调文字颜色 1 2 2 18" xfId="5536"/>
    <cellStyle name="Accent1 12 15" xfId="5537"/>
    <cellStyle name="输入 2 2 12 14" xfId="5538"/>
    <cellStyle name="常规 104 3 8" xfId="5539"/>
    <cellStyle name="60% - 强调文字颜色 1 2 2 2" xfId="5540"/>
    <cellStyle name="Input [yellow] 3 27" xfId="5541"/>
    <cellStyle name="常规 89 3 10" xfId="5542"/>
    <cellStyle name="常规 94 3 10" xfId="5543"/>
    <cellStyle name="Accent1 12 16" xfId="5544"/>
    <cellStyle name="常规 104 3 9" xfId="5545"/>
    <cellStyle name="60% - 强调文字颜色 1 2 2 3" xfId="5546"/>
    <cellStyle name="Input [yellow] 3 28" xfId="5547"/>
    <cellStyle name="Accent1 - 40% 2 11" xfId="5548"/>
    <cellStyle name="Header2 3 2 2 3" xfId="5549"/>
    <cellStyle name="Accent3 8" xfId="5550"/>
    <cellStyle name="Accent1 - 60% 2 2 6" xfId="5551"/>
    <cellStyle name="60% - 强调文字颜色 1 2 2 3 2 2" xfId="5552"/>
    <cellStyle name="Accent1 - 40% 2 12" xfId="5553"/>
    <cellStyle name="Accent3 9" xfId="5554"/>
    <cellStyle name="Accent1 - 60% 2 2 7" xfId="5555"/>
    <cellStyle name="60% - 强调文字颜色 1 2 2 3 2 3" xfId="5556"/>
    <cellStyle name="常规 89 3 11" xfId="5557"/>
    <cellStyle name="常规 94 3 11" xfId="5558"/>
    <cellStyle name="Accent1 12 17" xfId="5559"/>
    <cellStyle name="60% - 强调文字颜色 1 2 2 4" xfId="5560"/>
    <cellStyle name="Input [yellow] 3 29" xfId="5561"/>
    <cellStyle name="常规 89 3 12" xfId="5562"/>
    <cellStyle name="常规 94 3 12" xfId="5563"/>
    <cellStyle name="Accent1 12 18" xfId="5564"/>
    <cellStyle name="60% - 强调文字颜色 1 2 2 5" xfId="5565"/>
    <cellStyle name="60% - 强调文字颜色 1 2 2 6" xfId="5566"/>
    <cellStyle name="常规 102 2 4 2 2" xfId="5567"/>
    <cellStyle name="60% - 强调文字颜色 1 2 2 7" xfId="5568"/>
    <cellStyle name="汇总 2 2 7 2 9" xfId="5569"/>
    <cellStyle name="常规 109 2 2 15" xfId="5570"/>
    <cellStyle name="常规 114 2 2 15" xfId="5571"/>
    <cellStyle name="Accent2 7 14" xfId="5572"/>
    <cellStyle name="60% - 强调文字颜色 3 3 2 3 2 2" xfId="5573"/>
    <cellStyle name="常规 38 2 2 3 2" xfId="5574"/>
    <cellStyle name="常规 43 2 2 3 2" xfId="5575"/>
    <cellStyle name="60% - 强调文字颜色 1 2 3 10" xfId="5576"/>
    <cellStyle name="常规 109 2 2 16" xfId="5577"/>
    <cellStyle name="常规 114 2 2 16" xfId="5578"/>
    <cellStyle name="Accent2 7 15" xfId="5579"/>
    <cellStyle name="60% - 强调文字颜色 3 3 2 3 2 3" xfId="5580"/>
    <cellStyle name="常规 38 2 2 3 3" xfId="5581"/>
    <cellStyle name="常规 43 2 2 3 3" xfId="5582"/>
    <cellStyle name="60% - 强调文字颜色 1 2 3 11" xfId="5583"/>
    <cellStyle name="Input [yellow] 7 2 10" xfId="5584"/>
    <cellStyle name="常规 109 2 2 17" xfId="5585"/>
    <cellStyle name="常规 114 2 2 17" xfId="5586"/>
    <cellStyle name="Accent2 7 16" xfId="5587"/>
    <cellStyle name="常规 145 2 4 2" xfId="5588"/>
    <cellStyle name="常规 150 2 4 2" xfId="5589"/>
    <cellStyle name="60% - 强调文字颜色 1 2 3 12" xfId="5590"/>
    <cellStyle name="Input [yellow] 7 2 11" xfId="5591"/>
    <cellStyle name="常规 109 2 2 18" xfId="5592"/>
    <cellStyle name="常规 114 2 2 18" xfId="5593"/>
    <cellStyle name="Accent2 7 17" xfId="5594"/>
    <cellStyle name="常规 66 2 18" xfId="5595"/>
    <cellStyle name="常规 71 2 18" xfId="5596"/>
    <cellStyle name="Accent1 - 40% 2" xfId="5597"/>
    <cellStyle name="常规 145 2 4 3" xfId="5598"/>
    <cellStyle name="常规 150 2 4 3" xfId="5599"/>
    <cellStyle name="60% - 强调文字颜色 1 2 3 13" xfId="5600"/>
    <cellStyle name="Input [yellow] 7 2 12" xfId="5601"/>
    <cellStyle name="Accent2 7 18" xfId="5602"/>
    <cellStyle name="常规 66 2 19" xfId="5603"/>
    <cellStyle name="常规 71 2 19" xfId="5604"/>
    <cellStyle name="Accent1 - 40% 3" xfId="5605"/>
    <cellStyle name="常规 36 2 3 2" xfId="5606"/>
    <cellStyle name="常规 41 2 3 2" xfId="5607"/>
    <cellStyle name="60% - 强调文字颜色 1 2 3 14" xfId="5608"/>
    <cellStyle name="Accent1 - 40% 4" xfId="5609"/>
    <cellStyle name="常规 36 2 3 3" xfId="5610"/>
    <cellStyle name="常规 41 2 3 3" xfId="5611"/>
    <cellStyle name="60% - 强调文字颜色 1 2 3 15" xfId="5612"/>
    <cellStyle name="Accent1 - 40% 5" xfId="5613"/>
    <cellStyle name="60% - 强调文字颜色 1 2 3 16" xfId="5614"/>
    <cellStyle name="Accent1 - 40% 6" xfId="5615"/>
    <cellStyle name="Input [yellow] 3 11 2" xfId="5616"/>
    <cellStyle name="60% - 强调文字颜色 1 2 3 17" xfId="5617"/>
    <cellStyle name="常规 137 5 2 2" xfId="5618"/>
    <cellStyle name="常规 142 5 2 2" xfId="5619"/>
    <cellStyle name="Accent1 - 40% 7" xfId="5620"/>
    <cellStyle name="Input [yellow] 3 11 3" xfId="5621"/>
    <cellStyle name="60% - 强调文字颜色 1 2 3 18" xfId="5622"/>
    <cellStyle name="60% - 强调文字颜色 4 4 3 2 3" xfId="5623"/>
    <cellStyle name="60% - 强调文字颜色 4 3 2 12" xfId="5624"/>
    <cellStyle name="常规 145 2 10" xfId="5625"/>
    <cellStyle name="常规 150 2 10" xfId="5626"/>
    <cellStyle name="Normal - Style1 5" xfId="5627"/>
    <cellStyle name="60% - 强调文字颜色 1 2 3 2" xfId="5628"/>
    <cellStyle name="60% - 强调文字颜色 4 3 2 13" xfId="5629"/>
    <cellStyle name="Accent2 7 3 2 2" xfId="5630"/>
    <cellStyle name="常规 145 2 11" xfId="5631"/>
    <cellStyle name="常规 150 2 11" xfId="5632"/>
    <cellStyle name="Normal - Style1 6" xfId="5633"/>
    <cellStyle name="60% - 强调文字颜色 1 2 3 3" xfId="5634"/>
    <cellStyle name="60% - 强调文字颜色 4 3 2 14" xfId="5635"/>
    <cellStyle name="Accent2 7 3 2 3" xfId="5636"/>
    <cellStyle name="常规 145 2 12" xfId="5637"/>
    <cellStyle name="常规 150 2 12" xfId="5638"/>
    <cellStyle name="Normal - Style1 7" xfId="5639"/>
    <cellStyle name="60% - 强调文字颜色 1 2 3 4" xfId="5640"/>
    <cellStyle name="60% - 强调文字颜色 4 3 2 15" xfId="5641"/>
    <cellStyle name="常规 145 2 13" xfId="5642"/>
    <cellStyle name="常规 150 2 13" xfId="5643"/>
    <cellStyle name="Normal - Style1 8" xfId="5644"/>
    <cellStyle name="60% - 强调文字颜色 1 2 3 5" xfId="5645"/>
    <cellStyle name="60% - 强调文字颜色 4 3 2 16" xfId="5646"/>
    <cellStyle name="常规 145 2 14" xfId="5647"/>
    <cellStyle name="常规 150 2 14" xfId="5648"/>
    <cellStyle name="Normal - Style1 9" xfId="5649"/>
    <cellStyle name="60% - 强调文字颜色 1 2 3 6" xfId="5650"/>
    <cellStyle name="60% - 强调文字颜色 4 3 2 17" xfId="5651"/>
    <cellStyle name="常规 145 2 15" xfId="5652"/>
    <cellStyle name="常规 150 2 15" xfId="5653"/>
    <cellStyle name="60% - 强调文字颜色 1 2 3 7" xfId="5654"/>
    <cellStyle name="60% - 强调文字颜色 4 3 2 18" xfId="5655"/>
    <cellStyle name="常规 145 2 16" xfId="5656"/>
    <cellStyle name="常规 150 2 16" xfId="5657"/>
    <cellStyle name="60% - 强调文字颜色 1 2 3 8" xfId="5658"/>
    <cellStyle name="常规 145 2 17" xfId="5659"/>
    <cellStyle name="常规 150 2 17" xfId="5660"/>
    <cellStyle name="60% - 强调文字颜色 1 2 3 9" xfId="5661"/>
    <cellStyle name="ColLevel_0" xfId="5662"/>
    <cellStyle name="6mal 14" xfId="5663"/>
    <cellStyle name="计算 2 2 3 2 8" xfId="5664"/>
    <cellStyle name="60% - 强调文字颜色 1 2 5" xfId="5665"/>
    <cellStyle name="6mal 15" xfId="5666"/>
    <cellStyle name="计算 2 2 3 2 9" xfId="5667"/>
    <cellStyle name="60% - 强调文字颜色 1 2 6" xfId="5668"/>
    <cellStyle name="6mal 16" xfId="5669"/>
    <cellStyle name="60% - 强调文字颜色 1 2 7" xfId="5670"/>
    <cellStyle name="6mal 17" xfId="5671"/>
    <cellStyle name="60% - 强调文字颜色 1 2 8" xfId="5672"/>
    <cellStyle name="6mal 18" xfId="5673"/>
    <cellStyle name="60% - 强调文字颜色 1 2 9" xfId="5674"/>
    <cellStyle name="常规 46 2 2 16" xfId="5675"/>
    <cellStyle name="常规 51 2 2 16" xfId="5676"/>
    <cellStyle name="Accent1 3 3" xfId="5677"/>
    <cellStyle name="Accent3 2 2 17" xfId="5678"/>
    <cellStyle name="常规 77 2 10" xfId="5679"/>
    <cellStyle name="常规 82 2 10" xfId="5680"/>
    <cellStyle name="汇总 3 3 3 3 3" xfId="5681"/>
    <cellStyle name="60% - 强调文字颜色 1 3 13" xfId="5682"/>
    <cellStyle name="Accent3 12 14" xfId="5683"/>
    <cellStyle name="60% - 强调文字颜色 3 2 2 2" xfId="5684"/>
    <cellStyle name="常规 46 2 2 17" xfId="5685"/>
    <cellStyle name="常规 51 2 2 17" xfId="5686"/>
    <cellStyle name="Accent1 3 4" xfId="5687"/>
    <cellStyle name="Accent3 2 2 18" xfId="5688"/>
    <cellStyle name="常规 77 2 11" xfId="5689"/>
    <cellStyle name="常规 82 2 11" xfId="5690"/>
    <cellStyle name="60% - 强调文字颜色 1 3 14" xfId="5691"/>
    <cellStyle name="Accent3 12 15" xfId="5692"/>
    <cellStyle name="Accent3 12 16" xfId="5693"/>
    <cellStyle name="60% - 强调文字颜色 3 2 2 3" xfId="5694"/>
    <cellStyle name="常规 46 2 2 18" xfId="5695"/>
    <cellStyle name="常规 51 2 2 18" xfId="5696"/>
    <cellStyle name="Accent1 3 5" xfId="5697"/>
    <cellStyle name="常规 77 2 12" xfId="5698"/>
    <cellStyle name="常规 82 2 12" xfId="5699"/>
    <cellStyle name="60% - 强调文字颜色 1 3 15" xfId="5700"/>
    <cellStyle name="Accent3 12 17" xfId="5701"/>
    <cellStyle name="60% - 强调文字颜色 3 2 2 4" xfId="5702"/>
    <cellStyle name="Accent1 3 6" xfId="5703"/>
    <cellStyle name="常规 77 2 13" xfId="5704"/>
    <cellStyle name="常规 82 2 13" xfId="5705"/>
    <cellStyle name="60% - 强调文字颜色 1 3 16" xfId="5706"/>
    <cellStyle name="Accent3 12 18" xfId="5707"/>
    <cellStyle name="60% - 强调文字颜色 3 2 2 5" xfId="5708"/>
    <cellStyle name="Accent1 3 7" xfId="5709"/>
    <cellStyle name="常规 77 2 14" xfId="5710"/>
    <cellStyle name="常规 82 2 14" xfId="5711"/>
    <cellStyle name="60% - 强调文字颜色 1 3 17" xfId="5712"/>
    <cellStyle name="60% - 强调文字颜色 3 2 2 6" xfId="5713"/>
    <cellStyle name="Accent1 3 8" xfId="5714"/>
    <cellStyle name="常规 77 2 15" xfId="5715"/>
    <cellStyle name="常规 82 2 15" xfId="5716"/>
    <cellStyle name="60% - 强调文字颜色 1 3 18" xfId="5717"/>
    <cellStyle name="Header2 4 2 6" xfId="5718"/>
    <cellStyle name="origAmountCrD 2 4 2 9" xfId="5719"/>
    <cellStyle name="60% - 强调文字颜色 1 3 2" xfId="5720"/>
    <cellStyle name="60% - 强调文字颜色 1 3 2 10" xfId="5721"/>
    <cellStyle name="输出 3 7 9" xfId="5722"/>
    <cellStyle name="汇总 2 5 2 5" xfId="5723"/>
    <cellStyle name="Input [yellow] 2 2 3 2 16" xfId="5724"/>
    <cellStyle name="Accent3 5 3 3" xfId="5725"/>
    <cellStyle name="60% - 强调文字颜色 1 3 2 11" xfId="5726"/>
    <cellStyle name="60% - 强调文字颜色 1 3 2 12" xfId="5727"/>
    <cellStyle name="Accent2 2 2 3 2" xfId="5728"/>
    <cellStyle name="常规 76 4" xfId="5729"/>
    <cellStyle name="常规 81 4" xfId="5730"/>
    <cellStyle name="60% - 强调文字颜色 1 3 2 15" xfId="5731"/>
    <cellStyle name="Accent2 2 2 3 3" xfId="5732"/>
    <cellStyle name="常规 76 5" xfId="5733"/>
    <cellStyle name="常规 81 5" xfId="5734"/>
    <cellStyle name="60% - 强调文字颜色 1 3 2 16" xfId="5735"/>
    <cellStyle name="Input [yellow] 3 7 3 2" xfId="5736"/>
    <cellStyle name="60% - 强调文字颜色 1 3 2 17" xfId="5737"/>
    <cellStyle name="60% - 强调文字颜色 1 3 2 18" xfId="5738"/>
    <cellStyle name="常规 105 3 8" xfId="5739"/>
    <cellStyle name="常规 110 3 8" xfId="5740"/>
    <cellStyle name="60% - 强调文字颜色 1 3 2 2" xfId="5741"/>
    <cellStyle name="60% - 强调文字颜色 6 3 2 10" xfId="5742"/>
    <cellStyle name="60% - 强调文字颜色 1 3 2 5" xfId="5743"/>
    <cellStyle name="60% - 强调文字颜色 6 3 2 13" xfId="5744"/>
    <cellStyle name="60% - 强调文字颜色 1 3 2 6" xfId="5745"/>
    <cellStyle name="60% - 强调文字颜色 6 3 2 14" xfId="5746"/>
    <cellStyle name="Accent3 2 2 3 2" xfId="5747"/>
    <cellStyle name="60% - 强调文字颜色 1 3 2 7" xfId="5748"/>
    <cellStyle name="60% - 强调文字颜色 6 3 2 15" xfId="5749"/>
    <cellStyle name="Accent3 2 2 3 3" xfId="5750"/>
    <cellStyle name="Input [yellow] 3 7 10" xfId="5751"/>
    <cellStyle name="60% - 强调文字颜色 1 3 2 8" xfId="5752"/>
    <cellStyle name="60% - 强调文字颜色 4 2" xfId="5753"/>
    <cellStyle name="60% - 强调文字颜色 6 3 2 16" xfId="5754"/>
    <cellStyle name="Input [yellow] 3 7 11" xfId="5755"/>
    <cellStyle name="60% - 强调文字颜色 1 3 2 9" xfId="5756"/>
    <cellStyle name="60% - 强调文字颜色 4 3" xfId="5757"/>
    <cellStyle name="60% - 强调文字颜色 6 3 2 17" xfId="5758"/>
    <cellStyle name="60% - 强调文字颜色 3 3 10" xfId="5759"/>
    <cellStyle name="Header2 4 2 7" xfId="5760"/>
    <cellStyle name="60% - 强调文字颜色 1 3 3" xfId="5761"/>
    <cellStyle name="Header2 4 2 8" xfId="5762"/>
    <cellStyle name="60% - 强调文字颜色 1 3 4" xfId="5763"/>
    <cellStyle name="Header2 4 2 9" xfId="5764"/>
    <cellStyle name="60% - 强调文字颜色 1 3 5" xfId="5765"/>
    <cellStyle name="Header2 12 10" xfId="5766"/>
    <cellStyle name="60% - 强调文字颜色 1 3 6" xfId="5767"/>
    <cellStyle name="常规 8 2 2" xfId="5768"/>
    <cellStyle name="Accent1 10" xfId="5769"/>
    <cellStyle name="汇总 3 3 3 10" xfId="5770"/>
    <cellStyle name="60% - 强调文字颜色 1 3 7" xfId="5771"/>
    <cellStyle name="Input [yellow] 3 2 2 2 2 10" xfId="5772"/>
    <cellStyle name="Accent4 - 20% 3 3 2 2" xfId="5773"/>
    <cellStyle name="Header2 12 11" xfId="5774"/>
    <cellStyle name="常规 8 2 3" xfId="5775"/>
    <cellStyle name="Accent1 11" xfId="5776"/>
    <cellStyle name="汇总 3 3 3 11" xfId="5777"/>
    <cellStyle name="60% - 强调文字颜色 1 3 8" xfId="5778"/>
    <cellStyle name="Input [yellow] 3 2 2 2 2 11" xfId="5779"/>
    <cellStyle name="Accent4 - 20% 3 3 2 3" xfId="5780"/>
    <cellStyle name="Header2 12 12" xfId="5781"/>
    <cellStyle name="常规 8 2 4" xfId="5782"/>
    <cellStyle name="Accent1 12" xfId="5783"/>
    <cellStyle name="Header2 12 13" xfId="5784"/>
    <cellStyle name="Input [yellow] 3 2 2 2 2 12" xfId="5785"/>
    <cellStyle name="汇总 3 3 3 12" xfId="5786"/>
    <cellStyle name="60% - 强调文字颜色 1 3 9" xfId="5787"/>
    <cellStyle name="origAmountDrD 6 2 2 5" xfId="5788"/>
    <cellStyle name="Accent3 13 14" xfId="5789"/>
    <cellStyle name="origAmountCrD 5 2 2 7" xfId="5790"/>
    <cellStyle name="输入 2 3 3 2 4" xfId="5791"/>
    <cellStyle name="Accent2 3 2 5" xfId="5792"/>
    <cellStyle name="Accent1 8 3" xfId="5793"/>
    <cellStyle name="常规 77 3 10" xfId="5794"/>
    <cellStyle name="常规 82 3 10" xfId="5795"/>
    <cellStyle name="Input [yellow] 6" xfId="5796"/>
    <cellStyle name="60% - 强调文字颜色 1 4 13" xfId="5797"/>
    <cellStyle name="Header2 4 3 6" xfId="5798"/>
    <cellStyle name="常规 59 2 17" xfId="5799"/>
    <cellStyle name="常规 64 2 17" xfId="5800"/>
    <cellStyle name="60% - 强调文字颜色 1 4 2" xfId="5801"/>
    <cellStyle name="Header2 4 3 7" xfId="5802"/>
    <cellStyle name="常规 59 2 18" xfId="5803"/>
    <cellStyle name="常规 64 2 18" xfId="5804"/>
    <cellStyle name="60% - 强调文字颜色 1 4 3" xfId="5805"/>
    <cellStyle name="Input [yellow] 2 9 2 2 6" xfId="5806"/>
    <cellStyle name="60% - 强调文字颜色 1 4 3 2 2" xfId="5807"/>
    <cellStyle name="Input [yellow] 2 9 2 2 7" xfId="5808"/>
    <cellStyle name="60% - 强调文字颜色 1 4 3 2 3" xfId="5809"/>
    <cellStyle name="Header2 4 3 8" xfId="5810"/>
    <cellStyle name="常规 59 2 19" xfId="5811"/>
    <cellStyle name="常规 64 2 19" xfId="5812"/>
    <cellStyle name="60% - 强调文字颜色 1 4 4" xfId="5813"/>
    <cellStyle name="Header2 4 3 9" xfId="5814"/>
    <cellStyle name="60% - 强调文字颜色 1 4 5" xfId="5815"/>
    <cellStyle name="60% - 强调文字颜色 1 4 6" xfId="5816"/>
    <cellStyle name="60% - 强调文字颜色 1 4 7" xfId="5817"/>
    <cellStyle name="60% - 强调文字颜色 1 4 8" xfId="5818"/>
    <cellStyle name="60% - 强调文字颜色 1 4 9" xfId="5819"/>
    <cellStyle name="Accent3 - 40% 2 2 16" xfId="5820"/>
    <cellStyle name="origAmountCrD 2 19" xfId="5821"/>
    <cellStyle name="60% - 强调文字颜色 2 2 10" xfId="5822"/>
    <cellStyle name="Accent3 - 40% 2 2 17" xfId="5823"/>
    <cellStyle name="60% - 强调文字颜色 2 2 11" xfId="5824"/>
    <cellStyle name="计算 2 4 2" xfId="5825"/>
    <cellStyle name="Accent3 - 40% 2 2 18" xfId="5826"/>
    <cellStyle name="60% - 强调文字颜色 2 2 12" xfId="5827"/>
    <cellStyle name="60% - 强调文字颜色 2 2 13" xfId="5828"/>
    <cellStyle name="计算 2 2 5 10" xfId="5829"/>
    <cellStyle name="60% - 强调文字颜色 2 2 14" xfId="5830"/>
    <cellStyle name="计算 2 2 5 11" xfId="5831"/>
    <cellStyle name="60% - 强调文字颜色 2 2 20" xfId="5832"/>
    <cellStyle name="60% - 强调文字颜色 2 2 15" xfId="5833"/>
    <cellStyle name="计算 2 2 5 12" xfId="5834"/>
    <cellStyle name="60% - 强调文字颜色 2 2 21" xfId="5835"/>
    <cellStyle name="60% - 强调文字颜色 2 2 16" xfId="5836"/>
    <cellStyle name="计算 2 2 5 13" xfId="5837"/>
    <cellStyle name="60% - 强调文字颜色 2 2 22" xfId="5838"/>
    <cellStyle name="60% - 强调文字颜色 2 2 17" xfId="5839"/>
    <cellStyle name="计算 2 2 5 14" xfId="5840"/>
    <cellStyle name="60% - 强调文字颜色 2 2 23" xfId="5841"/>
    <cellStyle name="60% - 强调文字颜色 2 2 18" xfId="5842"/>
    <cellStyle name="计算 2 2 5 15" xfId="5843"/>
    <cellStyle name="60% - 强调文字颜色 2 2 19" xfId="5844"/>
    <cellStyle name="Accent2 12 15" xfId="5845"/>
    <cellStyle name="常规 149 3 8" xfId="5846"/>
    <cellStyle name="常规 154 3 8" xfId="5847"/>
    <cellStyle name="60% - 强调文字颜色 2 2 2 2" xfId="5848"/>
    <cellStyle name="计算 2 10 2" xfId="5849"/>
    <cellStyle name="Accent3 7 10" xfId="5850"/>
    <cellStyle name="常规 99 3 10" xfId="5851"/>
    <cellStyle name="Accent2 12 16" xfId="5852"/>
    <cellStyle name="常规 149 3 9" xfId="5853"/>
    <cellStyle name="常规 154 3 9" xfId="5854"/>
    <cellStyle name="60% - 强调文字颜色 2 2 2 3" xfId="5855"/>
    <cellStyle name="计算 2 10 3" xfId="5856"/>
    <cellStyle name="Accent3 7 11" xfId="5857"/>
    <cellStyle name="常规 99 3 11" xfId="5858"/>
    <cellStyle name="Accent2 12 17" xfId="5859"/>
    <cellStyle name="60% - 强调文字颜色 2 2 2 4" xfId="5860"/>
    <cellStyle name="计算 2 10 4" xfId="5861"/>
    <cellStyle name="Accent3 7 12" xfId="5862"/>
    <cellStyle name="计算 2 2 4 2 6" xfId="5863"/>
    <cellStyle name="60% - 强调文字颜色 2 2 3" xfId="5864"/>
    <cellStyle name="计算 2 2 5 2 7" xfId="5865"/>
    <cellStyle name="60% - 强调文字颜色 2 2 3 2" xfId="5866"/>
    <cellStyle name="常规 3 2 14" xfId="5867"/>
    <cellStyle name="60% - 强调文字颜色 3 2 4" xfId="5868"/>
    <cellStyle name="常规 155 2 10" xfId="5869"/>
    <cellStyle name="常规 160 2 10" xfId="5870"/>
    <cellStyle name="常规 25 2 2 17" xfId="5871"/>
    <cellStyle name="常规 30 2 2 17" xfId="5872"/>
    <cellStyle name="Accent2 8 3 2 2" xfId="5873"/>
    <cellStyle name="comma zerodec 2" xfId="5874"/>
    <cellStyle name="计算 2 2 5 2 8" xfId="5875"/>
    <cellStyle name="60% - 强调文字颜色 2 2 3 3" xfId="5876"/>
    <cellStyle name="常规 3 2 15" xfId="5877"/>
    <cellStyle name="60% - 强调文字颜色 3 2 5" xfId="5878"/>
    <cellStyle name="常规 155 2 11" xfId="5879"/>
    <cellStyle name="常规 160 2 11" xfId="5880"/>
    <cellStyle name="Accent1 - 40% 2 13" xfId="5881"/>
    <cellStyle name="Accent1 - 60% 2 2 8" xfId="5882"/>
    <cellStyle name="comma zerodec 2 2 2" xfId="5883"/>
    <cellStyle name="60% - 强调文字颜色 2 2 3 3 2 2" xfId="5884"/>
    <cellStyle name="60% - 强调文字颜色 3 2 5 2 2" xfId="5885"/>
    <cellStyle name="Accent1 - 40% 2 14" xfId="5886"/>
    <cellStyle name="Accent1 - 60% 2 2 9" xfId="5887"/>
    <cellStyle name="60% - 强调文字颜色 2 2 3 3 2 3" xfId="5888"/>
    <cellStyle name="60% - 强调文字颜色 3 2 5 2 3" xfId="5889"/>
    <cellStyle name="常规 25 2 2 18" xfId="5890"/>
    <cellStyle name="常规 30 2 2 18" xfId="5891"/>
    <cellStyle name="Accent2 8 3 2 3" xfId="5892"/>
    <cellStyle name="输入 2 3 6 10" xfId="5893"/>
    <cellStyle name="comma zerodec 3" xfId="5894"/>
    <cellStyle name="计算 2 2 5 2 9" xfId="5895"/>
    <cellStyle name="60% - 强调文字颜色 2 2 3 4" xfId="5896"/>
    <cellStyle name="常规 3 2 16" xfId="5897"/>
    <cellStyle name="60% - 强调文字颜色 3 2 6" xfId="5898"/>
    <cellStyle name="常规 155 2 12" xfId="5899"/>
    <cellStyle name="常规 160 2 12" xfId="5900"/>
    <cellStyle name="计算 2 2 4 2 7" xfId="5901"/>
    <cellStyle name="60% - 强调文字颜色 2 2 4" xfId="5902"/>
    <cellStyle name="计算 2 2 4 2 8" xfId="5903"/>
    <cellStyle name="60% - 强调文字颜色 2 2 5" xfId="5904"/>
    <cellStyle name="强调文字颜色 2 2 9" xfId="5905"/>
    <cellStyle name="Accent2 10 5" xfId="5906"/>
    <cellStyle name="Accent3 5 4" xfId="5907"/>
    <cellStyle name="60% - 强调文字颜色 2 2 5 2 2" xfId="5908"/>
    <cellStyle name="Accent2 10 6" xfId="5909"/>
    <cellStyle name="6mal 2 10" xfId="5910"/>
    <cellStyle name="Accent3 5 5" xfId="5911"/>
    <cellStyle name="60% - 强调文字颜色 2 2 5 2 3" xfId="5912"/>
    <cellStyle name="60% - 强调文字颜色 2 2 5 3" xfId="5913"/>
    <cellStyle name="Input [yellow] 4 2 2 5" xfId="5914"/>
    <cellStyle name="60% - 强调文字颜色 3 4 5" xfId="5915"/>
    <cellStyle name="输出 2 2 2 14" xfId="5916"/>
    <cellStyle name="60% - 强调文字颜色 2 3 2" xfId="5917"/>
    <cellStyle name="60% - 强调文字颜色 2 3 2 10" xfId="5918"/>
    <cellStyle name="60% - 强调文字颜色 2 3 2 11" xfId="5919"/>
    <cellStyle name="60% - 强调文字颜色 2 3 2 12" xfId="5920"/>
    <cellStyle name="60% - 强调文字颜色 2 3 2 13" xfId="5921"/>
    <cellStyle name="60% - 强调文字颜色 2 3 2 14" xfId="5922"/>
    <cellStyle name="60% - 强调文字颜色 2 3 2 15" xfId="5923"/>
    <cellStyle name="60% - 强调文字颜色 2 3 2 16" xfId="5924"/>
    <cellStyle name="Accent4 - 20% 2 4 2 2" xfId="5925"/>
    <cellStyle name="输出 3 8 2 2" xfId="5926"/>
    <cellStyle name="60% - 强调文字颜色 2 3 2 17" xfId="5927"/>
    <cellStyle name="Accent4 - 20% 2 4 2 3" xfId="5928"/>
    <cellStyle name="输出 3 8 2 3" xfId="5929"/>
    <cellStyle name="60% - 强调文字颜色 2 3 2 18" xfId="5930"/>
    <cellStyle name="Input [yellow] 2 13" xfId="5931"/>
    <cellStyle name="常规 27 2 2 14" xfId="5932"/>
    <cellStyle name="常规 32 2 2 14" xfId="5933"/>
    <cellStyle name="60% - 强调文字颜色 2 3 2 2" xfId="5934"/>
    <cellStyle name="60% - 强调文字颜色 2 3 2 3 2 2" xfId="5935"/>
    <cellStyle name="60% - 强调文字颜色 2 3 2 3 2 3" xfId="5936"/>
    <cellStyle name="Input [yellow] 2 21" xfId="5937"/>
    <cellStyle name="Input [yellow] 2 16" xfId="5938"/>
    <cellStyle name="常规 27 2 2 17" xfId="5939"/>
    <cellStyle name="常规 32 2 2 17" xfId="5940"/>
    <cellStyle name="60% - 强调文字颜色 2 3 2 5" xfId="5941"/>
    <cellStyle name="Accent1 11 10" xfId="5942"/>
    <cellStyle name="Input [yellow] 2 22" xfId="5943"/>
    <cellStyle name="Input [yellow] 2 17" xfId="5944"/>
    <cellStyle name="常规 27 2 2 18" xfId="5945"/>
    <cellStyle name="常规 32 2 2 18" xfId="5946"/>
    <cellStyle name="60% - 强调文字颜色 2 3 2 6" xfId="5947"/>
    <cellStyle name="Accent3 3 2 3 2" xfId="5948"/>
    <cellStyle name="Input [yellow] 2 23" xfId="5949"/>
    <cellStyle name="Input [yellow] 2 18" xfId="5950"/>
    <cellStyle name="60% - 强调文字颜色 2 3 2 7" xfId="5951"/>
    <cellStyle name="Accent1 11 11" xfId="5952"/>
    <cellStyle name="输入 2 2 11 10" xfId="5953"/>
    <cellStyle name="Accent3 3 2 3 3" xfId="5954"/>
    <cellStyle name="Input [yellow] 2 24" xfId="5955"/>
    <cellStyle name="Input [yellow] 2 19" xfId="5956"/>
    <cellStyle name="60% - 强调文字颜色 2 3 2 8" xfId="5957"/>
    <cellStyle name="Accent1 11 12" xfId="5958"/>
    <cellStyle name="输入 2 2 11 11" xfId="5959"/>
    <cellStyle name="Accent1 11 13" xfId="5960"/>
    <cellStyle name="输入 2 2 11 12" xfId="5961"/>
    <cellStyle name="Input [yellow] 2 30" xfId="5962"/>
    <cellStyle name="Input [yellow] 2 25" xfId="5963"/>
    <cellStyle name="60% - 强调文字颜色 2 3 2 9" xfId="5964"/>
    <cellStyle name="Input [yellow] 2 8 11" xfId="5965"/>
    <cellStyle name="样式 1 2 7" xfId="5966"/>
    <cellStyle name="Accent2 - 60% 3 18" xfId="5967"/>
    <cellStyle name="60% - 强调文字颜色 6 2 3 17" xfId="5968"/>
    <cellStyle name="汇总 2 4 8" xfId="5969"/>
    <cellStyle name="Accent2 - 40% 6" xfId="5970"/>
    <cellStyle name="origAmountCrD 4 19" xfId="5971"/>
    <cellStyle name="60% - 强调文字颜色 2 4 10" xfId="5972"/>
    <cellStyle name="汇总 2 4 9" xfId="5973"/>
    <cellStyle name="Accent2 - 40% 7" xfId="5974"/>
    <cellStyle name="60% - 强调文字颜色 2 4 11" xfId="5975"/>
    <cellStyle name="Input [yellow] 2 8 12" xfId="5976"/>
    <cellStyle name="样式 1 2 8" xfId="5977"/>
    <cellStyle name="60% - 强调文字颜色 6 2 3 18" xfId="5978"/>
    <cellStyle name="Accent6 8 2" xfId="5979"/>
    <cellStyle name="Accent2 - 40% 8" xfId="5980"/>
    <cellStyle name="60% - 强调文字颜色 2 4 12" xfId="5981"/>
    <cellStyle name="Accent6 8 3" xfId="5982"/>
    <cellStyle name="常规 20 2 3 2 2" xfId="5983"/>
    <cellStyle name="常规 15 2 3 2 2" xfId="5984"/>
    <cellStyle name="PSHeading 2 2" xfId="5985"/>
    <cellStyle name="Accent2 - 40% 9" xfId="5986"/>
    <cellStyle name="常规 78 3 10" xfId="5987"/>
    <cellStyle name="常规 83 3 10" xfId="5988"/>
    <cellStyle name="60% - 强调文字颜色 2 4 13" xfId="5989"/>
    <cellStyle name="常规 78 3 11" xfId="5990"/>
    <cellStyle name="常规 83 3 11" xfId="5991"/>
    <cellStyle name="计算 2 2 7 10" xfId="5992"/>
    <cellStyle name="60% - 强调文字颜色 2 4 14" xfId="5993"/>
    <cellStyle name="常规 78 3 12" xfId="5994"/>
    <cellStyle name="常规 83 3 12" xfId="5995"/>
    <cellStyle name="计算 2 2 7 11" xfId="5996"/>
    <cellStyle name="60% - 强调文字颜色 2 4 15" xfId="5997"/>
    <cellStyle name="常规 78 3 13" xfId="5998"/>
    <cellStyle name="常规 83 3 13" xfId="5999"/>
    <cellStyle name="计算 2 2 7 12" xfId="6000"/>
    <cellStyle name="60% - 强调文字颜色 2 4 16" xfId="6001"/>
    <cellStyle name="常规 118 3 3 2" xfId="6002"/>
    <cellStyle name="常规 123 3 3 2" xfId="6003"/>
    <cellStyle name="常规 78 3 14" xfId="6004"/>
    <cellStyle name="常规 83 3 14" xfId="6005"/>
    <cellStyle name="计算 2 2 7 13" xfId="6006"/>
    <cellStyle name="60% - 强调文字颜色 2 4 17" xfId="6007"/>
    <cellStyle name="常规 118 3 3 3" xfId="6008"/>
    <cellStyle name="常规 123 3 3 3" xfId="6009"/>
    <cellStyle name="常规 78 3 15" xfId="6010"/>
    <cellStyle name="常规 83 3 15" xfId="6011"/>
    <cellStyle name="origAmountCrD 13 2" xfId="6012"/>
    <cellStyle name="计算 2 2 7 14" xfId="6013"/>
    <cellStyle name="60% - 强调文字颜色 2 4 18" xfId="6014"/>
    <cellStyle name="60% - 强调文字颜色 2 4 2" xfId="6015"/>
    <cellStyle name="60% - 强调文字颜色 5 3 10" xfId="6016"/>
    <cellStyle name="60% - 强调文字颜色 2 4 3" xfId="6017"/>
    <cellStyle name="60% - 强调文字颜色 3 2 19" xfId="6018"/>
    <cellStyle name="Accent2 - 20% 3 10" xfId="6019"/>
    <cellStyle name="计算 2 2 7 2 7" xfId="6020"/>
    <cellStyle name="60% - 强调文字颜色 2 4 3 2" xfId="6021"/>
    <cellStyle name="60% - 强调文字颜色 5 2 4" xfId="6022"/>
    <cellStyle name="Input [yellow] 3 9 2 2 6" xfId="6023"/>
    <cellStyle name="Input [yellow] 2 3 18" xfId="6024"/>
    <cellStyle name="60% - 强调文字颜色 2 4 3 2 2" xfId="6025"/>
    <cellStyle name="Input [yellow] 3 9 2 2 7" xfId="6026"/>
    <cellStyle name="Input [yellow] 2 3 19" xfId="6027"/>
    <cellStyle name="60% - 强调文字颜色 2 4 3 2 3" xfId="6028"/>
    <cellStyle name="Accent2 - 40% 5 2 2" xfId="6029"/>
    <cellStyle name="60% - 强调文字颜色 5 3 11" xfId="6030"/>
    <cellStyle name="60% - 强调文字颜色 2 4 4" xfId="6031"/>
    <cellStyle name="Accent2 - 40% 5 2 3" xfId="6032"/>
    <cellStyle name="60% - 强调文字颜色 5 3 12" xfId="6033"/>
    <cellStyle name="Accent5 - 20% 2 2 3 2" xfId="6034"/>
    <cellStyle name="60% - 强调文字颜色 2 4 5" xfId="6035"/>
    <cellStyle name="常规 86 2 10" xfId="6036"/>
    <cellStyle name="常规 91 2 10" xfId="6037"/>
    <cellStyle name="60% - 强调文字颜色 5 3 13" xfId="6038"/>
    <cellStyle name="Accent5 - 20% 2 2 3 3" xfId="6039"/>
    <cellStyle name="60% - 强调文字颜色 2 4 6" xfId="6040"/>
    <cellStyle name="60% - 强调文字颜色 3 2" xfId="6041"/>
    <cellStyle name="汇总 3 2 3 4" xfId="6042"/>
    <cellStyle name="Accent4 2 4 2" xfId="6043"/>
    <cellStyle name="计算 3 5 2 9" xfId="6044"/>
    <cellStyle name="60% - 强调文字颜色 3 2 10" xfId="6045"/>
    <cellStyle name="60% - 强调文字颜色 3 2 11" xfId="6046"/>
    <cellStyle name="60% - 强调文字颜色 3 2 12" xfId="6047"/>
    <cellStyle name="60% - 强调文字颜色 3 2 13" xfId="6048"/>
    <cellStyle name="计算 2 3 5 10" xfId="6049"/>
    <cellStyle name="60% - 强调文字颜色 3 2 14" xfId="6050"/>
    <cellStyle name="计算 2 3 5 11" xfId="6051"/>
    <cellStyle name="60% - 强调文字颜色 3 2 20" xfId="6052"/>
    <cellStyle name="60% - 强调文字颜色 3 2 15" xfId="6053"/>
    <cellStyle name="计算 2 3 5 12" xfId="6054"/>
    <cellStyle name="60% - 强调文字颜色 3 2 21" xfId="6055"/>
    <cellStyle name="60% - 强调文字颜色 3 2 16" xfId="6056"/>
    <cellStyle name="Input [yellow] 3 6 18" xfId="6057"/>
    <cellStyle name="计算 2 2 7 2 5" xfId="6058"/>
    <cellStyle name="60% - 强调文字颜色 5 2 2" xfId="6059"/>
    <cellStyle name="计算 2 3 5 13" xfId="6060"/>
    <cellStyle name="60% - 强调文字颜色 3 2 22" xfId="6061"/>
    <cellStyle name="60% - 强调文字颜色 3 2 17" xfId="6062"/>
    <cellStyle name="Input [yellow] 3 6 19" xfId="6063"/>
    <cellStyle name="计算 2 2 7 2 6" xfId="6064"/>
    <cellStyle name="60% - 强调文字颜色 5 2 3" xfId="6065"/>
    <cellStyle name="计算 2 3 5 14" xfId="6066"/>
    <cellStyle name="60% - 强调文字颜色 3 2 23" xfId="6067"/>
    <cellStyle name="60% - 强调文字颜色 3 2 18" xfId="6068"/>
    <cellStyle name="计算 2 2 5 2 5" xfId="6069"/>
    <cellStyle name="常规 3 2 12" xfId="6070"/>
    <cellStyle name="60% - 强调文字颜色 3 2 2" xfId="6071"/>
    <cellStyle name="常规 25 2 2 14" xfId="6072"/>
    <cellStyle name="常规 30 2 2 14" xfId="6073"/>
    <cellStyle name="Accent4 2 4 2 2" xfId="6074"/>
    <cellStyle name="Accent3 - 20% 2 2 3 2 3" xfId="6075"/>
    <cellStyle name="计算 3 3 4 16" xfId="6076"/>
    <cellStyle name="60% - 强调文字颜色 3 2 2 10" xfId="6077"/>
    <cellStyle name="计算 2 2 4 5" xfId="6078"/>
    <cellStyle name="60% - 强调文字颜色 3 2 2 3 2" xfId="6079"/>
    <cellStyle name="标题 6 2 17" xfId="6080"/>
    <cellStyle name="Accent3 - 20% 2 2 11" xfId="6081"/>
    <cellStyle name="60% - 强调文字颜色 3 2 2 3 2 2" xfId="6082"/>
    <cellStyle name="Accent3 - 20% 2 2 12" xfId="6083"/>
    <cellStyle name="60% - 强调文字颜色 3 2 2 3 2 3" xfId="6084"/>
    <cellStyle name="计算 2 2 4 6" xfId="6085"/>
    <cellStyle name="60% - 强调文字颜色 3 2 2 3 3" xfId="6086"/>
    <cellStyle name="60% - 强调文字颜色 3 2 2 7" xfId="6087"/>
    <cellStyle name="Accent1 3 9" xfId="6088"/>
    <cellStyle name="60% - 强调文字颜色 3 2 2 8" xfId="6089"/>
    <cellStyle name="计算 2 2 5 2 6" xfId="6090"/>
    <cellStyle name="常规 3 2 13" xfId="6091"/>
    <cellStyle name="60% - 强调文字颜色 3 2 3" xfId="6092"/>
    <cellStyle name="常规 25 2 2 15" xfId="6093"/>
    <cellStyle name="常规 30 2 2 15" xfId="6094"/>
    <cellStyle name="Accent4 2 4 2 3" xfId="6095"/>
    <cellStyle name="60% - 强调文字颜色 3 2 3 12" xfId="6096"/>
    <cellStyle name="Accent3 - 20% 2 2" xfId="6097"/>
    <cellStyle name="PSHeading 13 2" xfId="6098"/>
    <cellStyle name="60% - 强调文字颜色 3 2 3 13" xfId="6099"/>
    <cellStyle name="Accent3 - 20% 2 3" xfId="6100"/>
    <cellStyle name="PSHeading 13 3" xfId="6101"/>
    <cellStyle name="60% - 强调文字颜色 3 2 3 14" xfId="6102"/>
    <cellStyle name="Accent3 - 20% 2 4" xfId="6103"/>
    <cellStyle name="PSHeading 13 4" xfId="6104"/>
    <cellStyle name="60% - 强调文字颜色 3 2 3 15" xfId="6105"/>
    <cellStyle name="Accent3 - 20% 2 5" xfId="6106"/>
    <cellStyle name="PSHeading 13 5" xfId="6107"/>
    <cellStyle name="60% - 强调文字颜色 3 2 3 16" xfId="6108"/>
    <cellStyle name="Accent5 - 40% 2 2" xfId="6109"/>
    <cellStyle name="Accent3 - 20% 2 6" xfId="6110"/>
    <cellStyle name="60% - 强调文字颜色 3 2 3 17" xfId="6111"/>
    <cellStyle name="PSHeading 13 6" xfId="6112"/>
    <cellStyle name="Accent1 13 2" xfId="6113"/>
    <cellStyle name="Accent5 - 40% 2 3" xfId="6114"/>
    <cellStyle name="Accent3 - 20% 2 7" xfId="6115"/>
    <cellStyle name="60% - 强调文字颜色 3 2 3 18" xfId="6116"/>
    <cellStyle name="PSHeading 13 7" xfId="6117"/>
    <cellStyle name="Accent1 13 3" xfId="6118"/>
    <cellStyle name="计算 2 3 5 2 7" xfId="6119"/>
    <cellStyle name="60% - 强调文字颜色 3 2 3 2" xfId="6120"/>
    <cellStyle name="常规 8 2 14" xfId="6121"/>
    <cellStyle name="常规 165 2 10" xfId="6122"/>
    <cellStyle name="Accent1 4 4" xfId="6123"/>
    <cellStyle name="计算 2 3 5 2 8" xfId="6124"/>
    <cellStyle name="60% - 强调文字颜色 3 2 3 3" xfId="6125"/>
    <cellStyle name="常规 8 2 15" xfId="6126"/>
    <cellStyle name="常规 165 2 11" xfId="6127"/>
    <cellStyle name="Accent1 4 5" xfId="6128"/>
    <cellStyle name="计算 2 3 4 5" xfId="6129"/>
    <cellStyle name="60% - 强调文字颜色 3 2 3 3 2" xfId="6130"/>
    <cellStyle name="Accent2 - 20% 2 4" xfId="6131"/>
    <cellStyle name="6mal 9" xfId="6132"/>
    <cellStyle name="60% - 强调文字颜色 3 2 3 3 2 3" xfId="6133"/>
    <cellStyle name="计算 2 3 4 6" xfId="6134"/>
    <cellStyle name="60% - 强调文字颜色 3 2 3 3 3" xfId="6135"/>
    <cellStyle name="Accent2 - 20% 2 5" xfId="6136"/>
    <cellStyle name="计算 2 3 5 2 9" xfId="6137"/>
    <cellStyle name="60% - 强调文字颜色 3 2 3 4" xfId="6138"/>
    <cellStyle name="常规 8 2 16" xfId="6139"/>
    <cellStyle name="常规 165 2 12" xfId="6140"/>
    <cellStyle name="Accent1 4 6" xfId="6141"/>
    <cellStyle name="60% - 强调文字颜色 3 2 3 5" xfId="6142"/>
    <cellStyle name="常规 8 2 17" xfId="6143"/>
    <cellStyle name="常规 165 2 13" xfId="6144"/>
    <cellStyle name="Accent1 4 7" xfId="6145"/>
    <cellStyle name="60% - 强调文字颜色 3 2 3 6" xfId="6146"/>
    <cellStyle name="常规 8 2 18" xfId="6147"/>
    <cellStyle name="常规 165 2 14" xfId="6148"/>
    <cellStyle name="Accent1 4 8" xfId="6149"/>
    <cellStyle name="60% - 强调文字颜色 3 2 3 7" xfId="6150"/>
    <cellStyle name="常规 165 2 15" xfId="6151"/>
    <cellStyle name="Accent1 4 9" xfId="6152"/>
    <cellStyle name="常规 165 2 16" xfId="6153"/>
    <cellStyle name="60% - 强调文字颜色 3 2 3 8" xfId="6154"/>
    <cellStyle name="常规 165 2 17" xfId="6155"/>
    <cellStyle name="60% - 强调文字颜色 3 2 3 9" xfId="6156"/>
    <cellStyle name="60% - 强调文字颜色 3 3" xfId="6157"/>
    <cellStyle name="汇总 3 2 3 5" xfId="6158"/>
    <cellStyle name="Accent4 2 4 3" xfId="6159"/>
    <cellStyle name="Input [yellow] 3 7 12" xfId="6160"/>
    <cellStyle name="Input [yellow] 4 3 2" xfId="6161"/>
    <cellStyle name="60% - 强调文字颜色 4 4" xfId="6162"/>
    <cellStyle name="60% - 强调文字颜色 6 3 2 18" xfId="6163"/>
    <cellStyle name="60% - 强调文字颜色 3 3 11" xfId="6164"/>
    <cellStyle name="60% - 强调文字颜色 3 3 12" xfId="6165"/>
    <cellStyle name="常规 79 2 10" xfId="6166"/>
    <cellStyle name="常规 84 2 10" xfId="6167"/>
    <cellStyle name="60% - 强调文字颜色 3 3 13" xfId="6168"/>
    <cellStyle name="常规 79 2 11" xfId="6169"/>
    <cellStyle name="常规 84 2 11" xfId="6170"/>
    <cellStyle name="计算 2 3 6 10" xfId="6171"/>
    <cellStyle name="60% - 强调文字颜色 3 3 14" xfId="6172"/>
    <cellStyle name="计算 2 4 2 5" xfId="6173"/>
    <cellStyle name="输出 2 2 6 6" xfId="6174"/>
    <cellStyle name="Accent1 5 3 2" xfId="6175"/>
    <cellStyle name="常规 79 2 12" xfId="6176"/>
    <cellStyle name="常规 84 2 12" xfId="6177"/>
    <cellStyle name="计算 2 3 6 11" xfId="6178"/>
    <cellStyle name="60% - 强调文字颜色 3 3 15" xfId="6179"/>
    <cellStyle name="计算 2 4 2 6" xfId="6180"/>
    <cellStyle name="输出 2 2 6 7" xfId="6181"/>
    <cellStyle name="Accent1 5 3 3" xfId="6182"/>
    <cellStyle name="常规 79 2 13" xfId="6183"/>
    <cellStyle name="常规 84 2 13" xfId="6184"/>
    <cellStyle name="计算 2 3 6 12" xfId="6185"/>
    <cellStyle name="Accent4 - 40% 2" xfId="6186"/>
    <cellStyle name="60% - 强调文字颜色 3 3 16" xfId="6187"/>
    <cellStyle name="常规 79 2 14" xfId="6188"/>
    <cellStyle name="常规 84 2 14" xfId="6189"/>
    <cellStyle name="Accent4 - 40% 3" xfId="6190"/>
    <cellStyle name="60% - 强调文字颜色 3 3 17" xfId="6191"/>
    <cellStyle name="常规 79 2 15" xfId="6192"/>
    <cellStyle name="常规 84 2 15" xfId="6193"/>
    <cellStyle name="Accent4 - 40% 4" xfId="6194"/>
    <cellStyle name="60% - 强调文字颜色 3 3 18" xfId="6195"/>
    <cellStyle name="Input [yellow] 3 6 2 2 4" xfId="6196"/>
    <cellStyle name="输出 2 2 7 14" xfId="6197"/>
    <cellStyle name="60% - 强调文字颜色 3 3 2" xfId="6198"/>
    <cellStyle name="PSHeading 10 13" xfId="6199"/>
    <cellStyle name="60% - 强调文字颜色 3 3 2 16" xfId="6200"/>
    <cellStyle name="PSHeading 10 14" xfId="6201"/>
    <cellStyle name="60% - 强调文字颜色 3 3 2 17" xfId="6202"/>
    <cellStyle name="Accent3 3 2" xfId="6203"/>
    <cellStyle name="常规 104 2 2 9" xfId="6204"/>
    <cellStyle name="PSHeading 10 15" xfId="6205"/>
    <cellStyle name="60% - 强调文字颜色 3 3 2 18" xfId="6206"/>
    <cellStyle name="60% - 强调文字颜色 3 3 2 2" xfId="6207"/>
    <cellStyle name="标题 4 3 2 16" xfId="6208"/>
    <cellStyle name="Accent2 3 4" xfId="6209"/>
    <cellStyle name="60% - 强调文字颜色 3 3 2 5" xfId="6210"/>
    <cellStyle name="Accent2 3 7" xfId="6211"/>
    <cellStyle name="60% - 强调文字颜色 3 3 2 6" xfId="6212"/>
    <cellStyle name="Accent2 3 8" xfId="6213"/>
    <cellStyle name="汇总 3 2 11 6" xfId="6214"/>
    <cellStyle name="Accent2 11 10" xfId="6215"/>
    <cellStyle name="60% - 强调文字颜色 3 3 2 7" xfId="6216"/>
    <cellStyle name="Accent2 3 9" xfId="6217"/>
    <cellStyle name="汇总 3 2 11 7" xfId="6218"/>
    <cellStyle name="Accent2 11 11" xfId="6219"/>
    <cellStyle name="汇总 3 2 11 8" xfId="6220"/>
    <cellStyle name="Accent2 11 12" xfId="6221"/>
    <cellStyle name="60% - 强调文字颜色 3 3 2 8" xfId="6222"/>
    <cellStyle name="Input [yellow] 2 2 3 2 10" xfId="6223"/>
    <cellStyle name="汇总 3 2 11 9" xfId="6224"/>
    <cellStyle name="Accent2 11 13" xfId="6225"/>
    <cellStyle name="60% - 强调文字颜色 3 3 2 9" xfId="6226"/>
    <cellStyle name="Input [yellow] 3 6 2 2 5" xfId="6227"/>
    <cellStyle name="60% - 强调文字颜色 3 3 3" xfId="6228"/>
    <cellStyle name="60% - 强调文字颜色 3 3 3 2" xfId="6229"/>
    <cellStyle name="Accent2 4 4" xfId="6230"/>
    <cellStyle name="输出 3 2 16" xfId="6231"/>
    <cellStyle name="输出 3 2 21" xfId="6232"/>
    <cellStyle name="Accent3 - 40% 2" xfId="6233"/>
    <cellStyle name="60% - 强调文字颜色 3 3 3 3" xfId="6234"/>
    <cellStyle name="Accent2 4 5" xfId="6235"/>
    <cellStyle name="Input [yellow] 3 6 2 2 6" xfId="6236"/>
    <cellStyle name="60% - 强调文字颜色 3 3 4" xfId="6237"/>
    <cellStyle name="Input [yellow] 3 6 2 2 7" xfId="6238"/>
    <cellStyle name="60% - 强调文字颜色 3 3 5" xfId="6239"/>
    <cellStyle name="Input [yellow] 3 6 2 2 8" xfId="6240"/>
    <cellStyle name="60% - 强调文字颜色 3 3 6" xfId="6241"/>
    <cellStyle name="Accent2 3 2 3 2 2" xfId="6242"/>
    <cellStyle name="per.style 2 13" xfId="6243"/>
    <cellStyle name="Input [yellow] 4 2 2" xfId="6244"/>
    <cellStyle name="60% - 强调文字颜色 3 4" xfId="6245"/>
    <cellStyle name="Accent1 10 9" xfId="6246"/>
    <cellStyle name="输出 2 2 5 2 10" xfId="6247"/>
    <cellStyle name="origAmountDrD 2 4 8" xfId="6248"/>
    <cellStyle name="Input [yellow] 4 2 2 10" xfId="6249"/>
    <cellStyle name="60% - 强调文字颜色 3 4 10" xfId="6250"/>
    <cellStyle name="常规 79 3 14" xfId="6251"/>
    <cellStyle name="常规 84 3 14" xfId="6252"/>
    <cellStyle name="Input [yellow] 4 2 2 17" xfId="6253"/>
    <cellStyle name="60% - 强调文字颜色 3 4 17" xfId="6254"/>
    <cellStyle name="常规 79 3 15" xfId="6255"/>
    <cellStyle name="常规 84 3 15" xfId="6256"/>
    <cellStyle name="60% - 强调文字颜色 3 4 18" xfId="6257"/>
    <cellStyle name="60% - 强调文字颜色 3 4 3 2 2" xfId="6258"/>
    <cellStyle name="60% - 强调文字颜色 3 4 3 2 3" xfId="6259"/>
    <cellStyle name="Accent3 4 5" xfId="6260"/>
    <cellStyle name="Input [yellow] 4 2 2 3 3" xfId="6261"/>
    <cellStyle name="60% - 强调文字颜色 3 4 3 3" xfId="6262"/>
    <cellStyle name="Input [yellow] 4 2 2 6" xfId="6263"/>
    <cellStyle name="60% - 强调文字颜色 3 4 6" xfId="6264"/>
    <cellStyle name="Input [yellow] 2 9 5" xfId="6265"/>
    <cellStyle name="输出 2 2 9 11" xfId="6266"/>
    <cellStyle name="60% - 强调文字颜色 4 2 10" xfId="6267"/>
    <cellStyle name="Input [yellow] 2 9 6" xfId="6268"/>
    <cellStyle name="输出 2 2 9 12" xfId="6269"/>
    <cellStyle name="60% - 强调文字颜色 4 2 11" xfId="6270"/>
    <cellStyle name="Input [yellow] 2 9 7" xfId="6271"/>
    <cellStyle name="输出 2 2 9 13" xfId="6272"/>
    <cellStyle name="60% - 强调文字颜色 4 2 12" xfId="6273"/>
    <cellStyle name="Header2 2 11 2 2" xfId="6274"/>
    <cellStyle name="Input [yellow] 2 9 8" xfId="6275"/>
    <cellStyle name="输出 2 2 9 14" xfId="6276"/>
    <cellStyle name="60% - 强调文字颜色 4 2 13" xfId="6277"/>
    <cellStyle name="Header2 2 11 2 3" xfId="6278"/>
    <cellStyle name="Input [yellow] 2 9 9" xfId="6279"/>
    <cellStyle name="60% - 强调文字颜色 4 2 14" xfId="6280"/>
    <cellStyle name="60% - 强调文字颜色 4 2 20" xfId="6281"/>
    <cellStyle name="60% - 强调文字颜色 4 2 15" xfId="6282"/>
    <cellStyle name="60% - 强调文字颜色 4 2 21" xfId="6283"/>
    <cellStyle name="60% - 强调文字颜色 4 2 16" xfId="6284"/>
    <cellStyle name="60% - 强调文字颜色 4 2 22" xfId="6285"/>
    <cellStyle name="60% - 强调文字颜色 4 2 17" xfId="6286"/>
    <cellStyle name="60% - 强调文字颜色 4 2 23" xfId="6287"/>
    <cellStyle name="60% - 强调文字颜色 4 2 18" xfId="6288"/>
    <cellStyle name="60% - 强调文字颜色 4 2 19" xfId="6289"/>
    <cellStyle name="计算 2 2 6 2 6" xfId="6290"/>
    <cellStyle name="60% - 强调文字颜色 4 2 3" xfId="6291"/>
    <cellStyle name="计算 2 2 6 2 7" xfId="6292"/>
    <cellStyle name="60% - 强调文字颜色 4 2 4" xfId="6293"/>
    <cellStyle name="计算 2 2 6 2 8" xfId="6294"/>
    <cellStyle name="60% - 强调文字颜色 4 2 5" xfId="6295"/>
    <cellStyle name="Accent2 - 20% 2 2 15" xfId="6296"/>
    <cellStyle name="Header2 10 15" xfId="6297"/>
    <cellStyle name="Input [yellow] 6 2 2 4" xfId="6298"/>
    <cellStyle name="Accent4 - 60% 8" xfId="6299"/>
    <cellStyle name="60% - 强调文字颜色 4 2 5 2" xfId="6300"/>
    <cellStyle name="常规 127 2 2 3 2 3" xfId="6301"/>
    <cellStyle name="常规 132 2 2 3 2 3" xfId="6302"/>
    <cellStyle name="Accent1 15 2 3" xfId="6303"/>
    <cellStyle name="常规 117 2 4 3" xfId="6304"/>
    <cellStyle name="常规 122 2 4 3" xfId="6305"/>
    <cellStyle name="Accent1 - 60% 2 18" xfId="6306"/>
    <cellStyle name="origAmountDrD 3 10" xfId="6307"/>
    <cellStyle name="Accent2 - 20% 2 2 16" xfId="6308"/>
    <cellStyle name="Header2 10 16" xfId="6309"/>
    <cellStyle name="汇总 2 2 2 2 10" xfId="6310"/>
    <cellStyle name="Input [yellow] 6 2 2 5" xfId="6311"/>
    <cellStyle name="Accent4 - 60% 9" xfId="6312"/>
    <cellStyle name="60% - 强调文字颜色 4 2 5 3" xfId="6313"/>
    <cellStyle name="常规 13 2 3 2" xfId="6314"/>
    <cellStyle name="Accent1 - 60% 2 19" xfId="6315"/>
    <cellStyle name="计算 2 2 6 2 9" xfId="6316"/>
    <cellStyle name="60% - 强调文字颜色 4 2 6" xfId="6317"/>
    <cellStyle name="常规 85 2 12" xfId="6318"/>
    <cellStyle name="常规 90 2 12" xfId="6319"/>
    <cellStyle name="60% - 强调文字颜色 4 3 15" xfId="6320"/>
    <cellStyle name="常规 108 2 2 14" xfId="6321"/>
    <cellStyle name="常规 113 2 2 14" xfId="6322"/>
    <cellStyle name="60% - 强调文字颜色 4 3 2" xfId="6323"/>
    <cellStyle name="Accent6 11 9" xfId="6324"/>
    <cellStyle name="60% - 强调文字颜色 4 3 2 10" xfId="6325"/>
    <cellStyle name="60% - 强调文字颜色 4 4 3 2 2" xfId="6326"/>
    <cellStyle name="60% - 强调文字颜色 4 3 2 11" xfId="6327"/>
    <cellStyle name="60% - 强调文字颜色 4 3 2 2" xfId="6328"/>
    <cellStyle name="60% - 强调文字颜色 4 3 2 3" xfId="6329"/>
    <cellStyle name="常规 79 16" xfId="6330"/>
    <cellStyle name="常规 79 21" xfId="6331"/>
    <cellStyle name="常规 84 16" xfId="6332"/>
    <cellStyle name="常规 84 21" xfId="6333"/>
    <cellStyle name="60% - 强调文字颜色 4 3 2 3 2" xfId="6334"/>
    <cellStyle name="常规 79 17" xfId="6335"/>
    <cellStyle name="常规 79 22" xfId="6336"/>
    <cellStyle name="常规 84 17" xfId="6337"/>
    <cellStyle name="常规 84 22" xfId="6338"/>
    <cellStyle name="60% - 强调文字颜色 4 3 2 3 3" xfId="6339"/>
    <cellStyle name="60% - 强调文字颜色 4 3 2 4" xfId="6340"/>
    <cellStyle name="60% - 强调文字颜色 5 2 2 3 2" xfId="6341"/>
    <cellStyle name="60% - 强调文字颜色 4 3 2 5" xfId="6342"/>
    <cellStyle name="常规 15 6" xfId="6343"/>
    <cellStyle name="常规 20 6" xfId="6344"/>
    <cellStyle name="Accent3 11 10" xfId="6345"/>
    <cellStyle name="60% - 强调文字颜色 5 2 2 3 3" xfId="6346"/>
    <cellStyle name="60% - 强调文字颜色 4 3 2 6" xfId="6347"/>
    <cellStyle name="常规 108 2 2 15" xfId="6348"/>
    <cellStyle name="常规 113 2 2 15" xfId="6349"/>
    <cellStyle name="60% - 强调文字颜色 4 3 3" xfId="6350"/>
    <cellStyle name="Input [yellow] 4 9" xfId="6351"/>
    <cellStyle name="检查单元格 2 2 2 2" xfId="6352"/>
    <cellStyle name="注释 2 4 14" xfId="6353"/>
    <cellStyle name="Accent3 - 60% 2 2 4" xfId="6354"/>
    <cellStyle name="60% - 强调文字颜色 4 3 3 2" xfId="6355"/>
    <cellStyle name="注释 2 4 15" xfId="6356"/>
    <cellStyle name="Accent3 - 60% 2 2 5" xfId="6357"/>
    <cellStyle name="60% - 强调文字颜色 4 3 3 3" xfId="6358"/>
    <cellStyle name="常规 108 2 2 16" xfId="6359"/>
    <cellStyle name="常规 113 2 2 16" xfId="6360"/>
    <cellStyle name="60% - 强调文字颜色 4 3 4" xfId="6361"/>
    <cellStyle name="Accent5 - 20% 2 4 2 2" xfId="6362"/>
    <cellStyle name="常规 108 2 2 17" xfId="6363"/>
    <cellStyle name="常规 113 2 2 17" xfId="6364"/>
    <cellStyle name="60% - 强调文字颜色 4 3 5" xfId="6365"/>
    <cellStyle name="Accent5 - 20% 2 4 2 3" xfId="6366"/>
    <cellStyle name="常规 108 2 2 18" xfId="6367"/>
    <cellStyle name="常规 113 2 2 18" xfId="6368"/>
    <cellStyle name="60% - 强调文字颜色 4 3 6" xfId="6369"/>
    <cellStyle name="Accent2 10 9" xfId="6370"/>
    <cellStyle name="输出 2 2 6 2 10" xfId="6371"/>
    <cellStyle name="6mal 2 13" xfId="6372"/>
    <cellStyle name="Input [yellow] 4 3 2 10" xfId="6373"/>
    <cellStyle name="60% - 强调文字颜色 4 4 10" xfId="6374"/>
    <cellStyle name="Accent3 5 8" xfId="6375"/>
    <cellStyle name="6mal 2 17" xfId="6376"/>
    <cellStyle name="常规 85 3 11" xfId="6377"/>
    <cellStyle name="常规 90 3 11" xfId="6378"/>
    <cellStyle name="Input [yellow] 4 3 2 14" xfId="6379"/>
    <cellStyle name="60% - 强调文字颜色 4 4 14" xfId="6380"/>
    <cellStyle name="常规 85 3 12" xfId="6381"/>
    <cellStyle name="常规 90 3 12" xfId="6382"/>
    <cellStyle name="Input [yellow] 4 3 2 15" xfId="6383"/>
    <cellStyle name="60% - 强调文字颜色 4 4 15" xfId="6384"/>
    <cellStyle name="标题 3 2 2 5" xfId="6385"/>
    <cellStyle name="Input [yellow] 4 3 2 2" xfId="6386"/>
    <cellStyle name="60% - 强调文字颜色 4 4 2" xfId="6387"/>
    <cellStyle name="标题 3 2 2 6" xfId="6388"/>
    <cellStyle name="Input [yellow] 4 3 2 3" xfId="6389"/>
    <cellStyle name="60% - 强调文字颜色 4 4 3" xfId="6390"/>
    <cellStyle name="Input [yellow] 4 3 2 3 2" xfId="6391"/>
    <cellStyle name="60% - 强调文字颜色 4 4 3 2" xfId="6392"/>
    <cellStyle name="Accent6 11 3 2 3" xfId="6393"/>
    <cellStyle name="Accent3 5 17" xfId="6394"/>
    <cellStyle name="Input [yellow] 4 3 2 3 3" xfId="6395"/>
    <cellStyle name="60% - 强调文字颜色 4 4 3 3" xfId="6396"/>
    <cellStyle name="Accent3 5 18" xfId="6397"/>
    <cellStyle name="标题 3 2 2 7" xfId="6398"/>
    <cellStyle name="Input [yellow] 4 3 2 4" xfId="6399"/>
    <cellStyle name="60% - 强调文字颜色 4 4 4" xfId="6400"/>
    <cellStyle name="标题 3 2 2 8" xfId="6401"/>
    <cellStyle name="Input [yellow] 4 3 2 5" xfId="6402"/>
    <cellStyle name="60% - 强调文字颜色 4 4 5" xfId="6403"/>
    <cellStyle name="标题 3 2 2 9" xfId="6404"/>
    <cellStyle name="Input [yellow] 4 3 2 6" xfId="6405"/>
    <cellStyle name="60% - 强调文字颜色 4 4 6" xfId="6406"/>
    <cellStyle name="60% - 强调文字颜色 5 2 10" xfId="6407"/>
    <cellStyle name="60% - 强调文字颜色 5 2 11" xfId="6408"/>
    <cellStyle name="Input [yellow] 2 5 2 3 2" xfId="6409"/>
    <cellStyle name="Accent2 - 40% 3 2" xfId="6410"/>
    <cellStyle name="60% - 强调文字颜色 5 2 12" xfId="6411"/>
    <cellStyle name="Input [yellow] 2 5 2 3 3" xfId="6412"/>
    <cellStyle name="Accent2 - 40% 3 3" xfId="6413"/>
    <cellStyle name="60% - 强调文字颜色 5 2 13" xfId="6414"/>
    <cellStyle name="Accent2 - 40% 3 4" xfId="6415"/>
    <cellStyle name="60% - 强调文字颜色 5 2 14" xfId="6416"/>
    <cellStyle name="60% - 强调文字颜色 5 2 20" xfId="6417"/>
    <cellStyle name="60% - 强调文字颜色 5 2 15" xfId="6418"/>
    <cellStyle name="60% - 强调文字颜色 5 2 21" xfId="6419"/>
    <cellStyle name="60% - 强调文字颜色 5 2 16" xfId="6420"/>
    <cellStyle name="Accent4 - 60% 3 2" xfId="6421"/>
    <cellStyle name="Header2 2 3 2 2" xfId="6422"/>
    <cellStyle name="60% - 强调文字颜色 5 2 22" xfId="6423"/>
    <cellStyle name="60% - 强调文字颜色 5 2 17" xfId="6424"/>
    <cellStyle name="Accent4 - 60% 3 3" xfId="6425"/>
    <cellStyle name="60% - 强调文字颜色 5 2 23" xfId="6426"/>
    <cellStyle name="60% - 强调文字颜色 5 2 18" xfId="6427"/>
    <cellStyle name="常规 29 2" xfId="6428"/>
    <cellStyle name="常规 34 2" xfId="6429"/>
    <cellStyle name="Accent4 - 60% 3 4" xfId="6430"/>
    <cellStyle name="常规 136 18" xfId="6431"/>
    <cellStyle name="常规 136 23" xfId="6432"/>
    <cellStyle name="常规 141 18" xfId="6433"/>
    <cellStyle name="常规 141 23" xfId="6434"/>
    <cellStyle name="Accent2 3 2 11" xfId="6435"/>
    <cellStyle name="注释 2 4 7" xfId="6436"/>
    <cellStyle name="Input [yellow] 21" xfId="6437"/>
    <cellStyle name="Input [yellow] 16" xfId="6438"/>
    <cellStyle name="60% - 强调文字颜色 5 2 2 14" xfId="6439"/>
    <cellStyle name="常规 136 19" xfId="6440"/>
    <cellStyle name="常规 141 19" xfId="6441"/>
    <cellStyle name="Accent2 3 2 12" xfId="6442"/>
    <cellStyle name="注释 2 4 8" xfId="6443"/>
    <cellStyle name="Input [yellow] 22" xfId="6444"/>
    <cellStyle name="Input [yellow] 17" xfId="6445"/>
    <cellStyle name="60% - 强调文字颜色 5 2 2 15" xfId="6446"/>
    <cellStyle name="origAmountCrD 7 2 2 2 2" xfId="6447"/>
    <cellStyle name="常规 73 3 4" xfId="6448"/>
    <cellStyle name="常规 68 3 4" xfId="6449"/>
    <cellStyle name="Accent2 3 2 13" xfId="6450"/>
    <cellStyle name="注释 2 4 9" xfId="6451"/>
    <cellStyle name="Input [yellow] 23" xfId="6452"/>
    <cellStyle name="Input [yellow] 18" xfId="6453"/>
    <cellStyle name="60% - 强调文字颜色 5 2 2 16" xfId="6454"/>
    <cellStyle name="Accent2 3 2 14" xfId="6455"/>
    <cellStyle name="Input [yellow] 24" xfId="6456"/>
    <cellStyle name="Input [yellow] 19" xfId="6457"/>
    <cellStyle name="60% - 强调文字颜色 5 2 2 17" xfId="6458"/>
    <cellStyle name="输入 2 3 3 2 10" xfId="6459"/>
    <cellStyle name="Accent2 3 2 15" xfId="6460"/>
    <cellStyle name="Input [yellow] 30" xfId="6461"/>
    <cellStyle name="Input [yellow] 25" xfId="6462"/>
    <cellStyle name="60% - 强调文字颜色 5 2 2 18" xfId="6463"/>
    <cellStyle name="Accent1 6 12" xfId="6464"/>
    <cellStyle name="Accent5 12 15" xfId="6465"/>
    <cellStyle name="汇总 3 7" xfId="6466"/>
    <cellStyle name="PSHeading 6 16" xfId="6467"/>
    <cellStyle name="Input [yellow] 5 2 2 12" xfId="6468"/>
    <cellStyle name="Accent4 - 60% 2 2 15" xfId="6469"/>
    <cellStyle name="Header2 2 9 6" xfId="6470"/>
    <cellStyle name="60% - 强调文字颜色 5 2 2 2" xfId="6471"/>
    <cellStyle name="Accent1 6 13" xfId="6472"/>
    <cellStyle name="Accent5 12 16" xfId="6473"/>
    <cellStyle name="汇总 3 8" xfId="6474"/>
    <cellStyle name="PSHeading 6 17" xfId="6475"/>
    <cellStyle name="Accent4 - 60% 2 2 16" xfId="6476"/>
    <cellStyle name="Header2 2 9 7" xfId="6477"/>
    <cellStyle name="60% - 强调文字颜色 5 2 2 3" xfId="6478"/>
    <cellStyle name="60% - 强调文字颜色 5 2 2 3 2 2" xfId="6479"/>
    <cellStyle name="Accent3 - 20% 3 18" xfId="6480"/>
    <cellStyle name="60% - 强调文字颜色 5 2 2 3 2 3" xfId="6481"/>
    <cellStyle name="Accent1 6 14" xfId="6482"/>
    <cellStyle name="Accent4 - 60% 2 4 2" xfId="6483"/>
    <cellStyle name="Accent5 12 17" xfId="6484"/>
    <cellStyle name="汇总 3 9" xfId="6485"/>
    <cellStyle name="常规 28 2 2" xfId="6486"/>
    <cellStyle name="常规 33 2 2" xfId="6487"/>
    <cellStyle name="PSHeading 6 18" xfId="6488"/>
    <cellStyle name="Accent4 - 60% 2 2 17" xfId="6489"/>
    <cellStyle name="Header2 2 9 8" xfId="6490"/>
    <cellStyle name="60% - 强调文字颜色 5 2 2 4" xfId="6491"/>
    <cellStyle name="常规 28 2 3" xfId="6492"/>
    <cellStyle name="常规 33 2 3" xfId="6493"/>
    <cellStyle name="商品名称 7 2 2" xfId="6494"/>
    <cellStyle name="Accent1 6 15" xfId="6495"/>
    <cellStyle name="Accent4 - 60% 2 4 3" xfId="6496"/>
    <cellStyle name="Accent5 12 18" xfId="6497"/>
    <cellStyle name="Accent4 - 60% 2 2 18" xfId="6498"/>
    <cellStyle name="Header2 2 9 9" xfId="6499"/>
    <cellStyle name="60% - 强调文字颜色 5 2 2 5" xfId="6500"/>
    <cellStyle name="常规 28 2 4" xfId="6501"/>
    <cellStyle name="常规 33 2 4" xfId="6502"/>
    <cellStyle name="Accent1 6 16" xfId="6503"/>
    <cellStyle name="60% - 强调文字颜色 5 2 2 6" xfId="6504"/>
    <cellStyle name="常规 28 2 5" xfId="6505"/>
    <cellStyle name="常规 33 2 5" xfId="6506"/>
    <cellStyle name="Accent1 6 17" xfId="6507"/>
    <cellStyle name="60% - 强调文字颜色 5 2 2 7" xfId="6508"/>
    <cellStyle name="常规 28 2 6" xfId="6509"/>
    <cellStyle name="常规 33 2 6" xfId="6510"/>
    <cellStyle name="Accent1 6 18" xfId="6511"/>
    <cellStyle name="60% - 强调文字颜色 5 2 2 8" xfId="6512"/>
    <cellStyle name="60% - 强调文字颜色 5 2 3 10" xfId="6513"/>
    <cellStyle name="60% - 强调文字颜色 5 2 3 11" xfId="6514"/>
    <cellStyle name="60% - 强调文字颜色 5 2 3 12" xfId="6515"/>
    <cellStyle name="60% - 强调文字颜色 5 2 3 13" xfId="6516"/>
    <cellStyle name="60% - 强调文字颜色 5 2 3 14" xfId="6517"/>
    <cellStyle name="60% - 强调文字颜色 5 2 3 15" xfId="6518"/>
    <cellStyle name="60% - 强调文字颜色 5 2 3 16" xfId="6519"/>
    <cellStyle name="60% - 强调文字颜色 5 2 3 17" xfId="6520"/>
    <cellStyle name="60% - 强调文字颜色 5 2 3 18" xfId="6521"/>
    <cellStyle name="60% - 强调文字颜色 5 2 3 2" xfId="6522"/>
    <cellStyle name="60% - 强调文字颜色 5 2 3 3" xfId="6523"/>
    <cellStyle name="Accent1 - 20% 9" xfId="6524"/>
    <cellStyle name="强调文字颜色 2 2 2 9" xfId="6525"/>
    <cellStyle name="60% - 强调文字颜色 5 2 3 3 2" xfId="6526"/>
    <cellStyle name="60% - 强调文字颜色 5 2 3 3 2 2" xfId="6527"/>
    <cellStyle name="60% - 强调文字颜色 5 2 3 3 2 3" xfId="6528"/>
    <cellStyle name="60% - 强调文字颜色 5 2 3 3 3" xfId="6529"/>
    <cellStyle name="60% - 强调文字颜色 5 2 3 4" xfId="6530"/>
    <cellStyle name="60% - 强调文字颜色 5 2 3 5" xfId="6531"/>
    <cellStyle name="60% - 强调文字颜色 5 2 3 6" xfId="6532"/>
    <cellStyle name="60% - 强调文字颜色 5 2 3 7" xfId="6533"/>
    <cellStyle name="60% - 强调文字颜色 5 2 3 8" xfId="6534"/>
    <cellStyle name="Input [yellow] 7 2 2 4" xfId="6535"/>
    <cellStyle name="60% - 强调文字颜色 5 2 5 2" xfId="6536"/>
    <cellStyle name="60% - 强调文字颜色 5 2 5 2 2" xfId="6537"/>
    <cellStyle name="60% - 强调文字颜色 5 2 5 2 3" xfId="6538"/>
    <cellStyle name="Input [yellow] 7 2 2 5" xfId="6539"/>
    <cellStyle name="60% - 强调文字颜色 5 2 5 3" xfId="6540"/>
    <cellStyle name="60% - 强调文字颜色 5 3 2 10" xfId="6541"/>
    <cellStyle name="60% - 强调文字颜色 5 3 2 11" xfId="6542"/>
    <cellStyle name="60% - 强调文字颜色 6 2 3 2" xfId="6543"/>
    <cellStyle name="60% - 强调文字颜色 5 3 2 12" xfId="6544"/>
    <cellStyle name="60% - 强调文字颜色 6 2 3 3" xfId="6545"/>
    <cellStyle name="60% - 强调文字颜色 5 3 2 13" xfId="6546"/>
    <cellStyle name="60% - 强调文字颜色 6 2 3 4" xfId="6547"/>
    <cellStyle name="60% - 强调文字颜色 5 3 2 14" xfId="6548"/>
    <cellStyle name="60% - 强调文字颜色 6 2 3 5" xfId="6549"/>
    <cellStyle name="60% - 强调文字颜色 5 3 2 15" xfId="6550"/>
    <cellStyle name="Header2 3 9 6" xfId="6551"/>
    <cellStyle name="60% - 强调文字颜色 5 3 2 2" xfId="6552"/>
    <cellStyle name="Header2 3 9 7" xfId="6553"/>
    <cellStyle name="60% - 强调文字颜色 5 3 2 3" xfId="6554"/>
    <cellStyle name="Header2 3 9 9" xfId="6555"/>
    <cellStyle name="60% - 强调文字颜色 5 3 2 5" xfId="6556"/>
    <cellStyle name="60% - 强调文字颜色 5 3 2 3 2" xfId="6557"/>
    <cellStyle name="60% - 强调文字颜色 5 3 2 3 2 2" xfId="6558"/>
    <cellStyle name="60% - 强调文字颜色 5 3 2 3 2 3" xfId="6559"/>
    <cellStyle name="60% - 强调文字颜色 5 3 2 6" xfId="6560"/>
    <cellStyle name="60% - 强调文字颜色 5 3 2 3 3" xfId="6561"/>
    <cellStyle name="Header2 3 9 8" xfId="6562"/>
    <cellStyle name="60% - 强调文字颜色 5 3 2 4" xfId="6563"/>
    <cellStyle name="常规 25 2 4 2 3" xfId="6564"/>
    <cellStyle name="常规 30 2 4 2 3" xfId="6565"/>
    <cellStyle name="60% - 强调文字颜色 6 2 10" xfId="6566"/>
    <cellStyle name="60% - 强调文字颜色 5 3 2 7" xfId="6567"/>
    <cellStyle name="60% - 强调文字颜色 6 2 11" xfId="6568"/>
    <cellStyle name="60% - 强调文字颜色 5 3 2 8" xfId="6569"/>
    <cellStyle name="60% - 强调文字颜色 6 2 12" xfId="6570"/>
    <cellStyle name="60% - 强调文字颜色 5 3 2 9" xfId="6571"/>
    <cellStyle name="origAmountDrD 10 11" xfId="6572"/>
    <cellStyle name="编号 2 12" xfId="6573"/>
    <cellStyle name="60% - 强调文字颜色 5 3 3 2" xfId="6574"/>
    <cellStyle name="60% - 强调文字颜色 5 3 5" xfId="6575"/>
    <cellStyle name="60% - 强调文字颜色 5 3 6" xfId="6576"/>
    <cellStyle name="Accent3 - 20% 2 2 2" xfId="6577"/>
    <cellStyle name="Accent3 10 9" xfId="6578"/>
    <cellStyle name="输出 2 2 7 2 10" xfId="6579"/>
    <cellStyle name="Input [yellow] 4 4 2 10" xfId="6580"/>
    <cellStyle name="60% - 强调文字颜色 5 4 10" xfId="6581"/>
    <cellStyle name="Input [yellow] 4 4 2 11" xfId="6582"/>
    <cellStyle name="60% - 强调文字颜色 5 4 11" xfId="6583"/>
    <cellStyle name="Input [yellow] 4 4 2 12" xfId="6584"/>
    <cellStyle name="60% - 强调文字颜色 5 4 12" xfId="6585"/>
    <cellStyle name="常规 86 3 10" xfId="6586"/>
    <cellStyle name="常规 91 3 10" xfId="6587"/>
    <cellStyle name="60% - 强调文字颜色 5 4 13" xfId="6588"/>
    <cellStyle name="常规 86 3 11" xfId="6589"/>
    <cellStyle name="常规 91 3 11" xfId="6590"/>
    <cellStyle name="60% - 强调文字颜色 5 4 14" xfId="6591"/>
    <cellStyle name="常规 86 3 12" xfId="6592"/>
    <cellStyle name="常规 91 3 12" xfId="6593"/>
    <cellStyle name="60% - 强调文字颜色 5 4 15" xfId="6594"/>
    <cellStyle name="常规 86 3 13" xfId="6595"/>
    <cellStyle name="常规 91 3 13" xfId="6596"/>
    <cellStyle name="常规 69 2 2 2" xfId="6597"/>
    <cellStyle name="常规 74 2 2 2" xfId="6598"/>
    <cellStyle name="60% - 强调文字颜色 5 4 16" xfId="6599"/>
    <cellStyle name="常规 86 3 14" xfId="6600"/>
    <cellStyle name="常规 91 3 14" xfId="6601"/>
    <cellStyle name="常规 69 2 2 3" xfId="6602"/>
    <cellStyle name="常规 74 2 2 3" xfId="6603"/>
    <cellStyle name="60% - 强调文字颜色 5 4 17" xfId="6604"/>
    <cellStyle name="常规 86 3 15" xfId="6605"/>
    <cellStyle name="常规 91 3 15" xfId="6606"/>
    <cellStyle name="常规 69 2 2 4" xfId="6607"/>
    <cellStyle name="常规 74 2 2 4" xfId="6608"/>
    <cellStyle name="60% - 强调文字颜色 5 4 18" xfId="6609"/>
    <cellStyle name="Accent6 12 3 2 3" xfId="6610"/>
    <cellStyle name="编号 7 12" xfId="6611"/>
    <cellStyle name="60% - 强调文字颜色 5 4 3 2" xfId="6612"/>
    <cellStyle name="Input [yellow] 16 2 4" xfId="6613"/>
    <cellStyle name="常规 123 3 8" xfId="6614"/>
    <cellStyle name="常规 118 3 8" xfId="6615"/>
    <cellStyle name="编号 11 15" xfId="6616"/>
    <cellStyle name="常规 42 21" xfId="6617"/>
    <cellStyle name="常规 42 16" xfId="6618"/>
    <cellStyle name="常规 37 21" xfId="6619"/>
    <cellStyle name="常规 37 16" xfId="6620"/>
    <cellStyle name="60% - 强调文字颜色 5 4 3 2 2" xfId="6621"/>
    <cellStyle name="Input [yellow] 3 10 2 2 2" xfId="6622"/>
    <cellStyle name="Input [yellow] 16 2 5" xfId="6623"/>
    <cellStyle name="常规 123 3 9" xfId="6624"/>
    <cellStyle name="常规 118 3 9" xfId="6625"/>
    <cellStyle name="编号 11 16" xfId="6626"/>
    <cellStyle name="常规 42 22" xfId="6627"/>
    <cellStyle name="常规 42 17" xfId="6628"/>
    <cellStyle name="常规 37 22" xfId="6629"/>
    <cellStyle name="常规 37 17" xfId="6630"/>
    <cellStyle name="60% - 强调文字颜色 5 4 3 2 3" xfId="6631"/>
    <cellStyle name="输出 3 3 4 10" xfId="6632"/>
    <cellStyle name="常规 3 2 2 10" xfId="6633"/>
    <cellStyle name="60% - 强调文字颜色 5 4 3 3" xfId="6634"/>
    <cellStyle name="计算 3 3 3 15" xfId="6635"/>
    <cellStyle name="Accent1 2 19" xfId="6636"/>
    <cellStyle name="Accent5 - 20% 2 2 3 2 3" xfId="6637"/>
    <cellStyle name="标题 3 3 2 8" xfId="6638"/>
    <cellStyle name="Input [yellow] 4 4 2 5" xfId="6639"/>
    <cellStyle name="60% - 强调文字颜色 5 4 5" xfId="6640"/>
    <cellStyle name="标题 3 3 2 9" xfId="6641"/>
    <cellStyle name="Input [yellow] 4 4 2 6" xfId="6642"/>
    <cellStyle name="60% - 强调文字颜色 5 4 6" xfId="6643"/>
    <cellStyle name="Input [yellow] 2 12 2 2 4" xfId="6644"/>
    <cellStyle name="60% - 强调文字颜色 6 2" xfId="6645"/>
    <cellStyle name="输入 2 2 7 2" xfId="6646"/>
    <cellStyle name="60% - 强调文字颜色 6 2 13" xfId="6647"/>
    <cellStyle name="输入 2 2 7 3" xfId="6648"/>
    <cellStyle name="60% - 强调文字颜色 6 2 14" xfId="6649"/>
    <cellStyle name="Accent4 - 60%" xfId="6650"/>
    <cellStyle name="输入 2 2 7 4" xfId="6651"/>
    <cellStyle name="60% - 强调文字颜色 6 2 20" xfId="6652"/>
    <cellStyle name="60% - 强调文字颜色 6 2 15" xfId="6653"/>
    <cellStyle name="输入 2 2 7 5" xfId="6654"/>
    <cellStyle name="60% - 强调文字颜色 6 2 21" xfId="6655"/>
    <cellStyle name="60% - 强调文字颜色 6 2 16" xfId="6656"/>
    <cellStyle name="输入 2 2 7 7" xfId="6657"/>
    <cellStyle name="60% - 强调文字颜色 6 2 23" xfId="6658"/>
    <cellStyle name="60% - 强调文字颜色 6 2 18" xfId="6659"/>
    <cellStyle name="输入 2 2 7 8" xfId="6660"/>
    <cellStyle name="60% - 强调文字颜色 6 2 19" xfId="6661"/>
    <cellStyle name="计算 2 2 8 2 5" xfId="6662"/>
    <cellStyle name="60% - 强调文字颜色 6 2 2" xfId="6663"/>
    <cellStyle name="Accent3 3 2 11" xfId="6664"/>
    <cellStyle name="Accent2 - 60% 2 15" xfId="6665"/>
    <cellStyle name="60% - 强调文字颜色 6 2 2 14" xfId="6666"/>
    <cellStyle name="Accent3 3 2 12" xfId="6667"/>
    <cellStyle name="Accent2 - 60% 2 16" xfId="6668"/>
    <cellStyle name="60% - 强调文字颜色 6 2 2 15" xfId="6669"/>
    <cellStyle name="Accent3 3 2 13" xfId="6670"/>
    <cellStyle name="Input [yellow] 2 7 10" xfId="6671"/>
    <cellStyle name="Accent2 - 60% 2 17" xfId="6672"/>
    <cellStyle name="60% - 强调文字颜色 6 2 2 16" xfId="6673"/>
    <cellStyle name="Accent3 3 2 14" xfId="6674"/>
    <cellStyle name="Input [yellow] 2 7 11" xfId="6675"/>
    <cellStyle name="输出 4 2" xfId="6676"/>
    <cellStyle name="Accent2 - 60% 2 18" xfId="6677"/>
    <cellStyle name="60% - 强调文字颜色 6 2 2 17" xfId="6678"/>
    <cellStyle name="Accent3 3 2 15" xfId="6679"/>
    <cellStyle name="Input [yellow] 2 7 12" xfId="6680"/>
    <cellStyle name="输出 4 3" xfId="6681"/>
    <cellStyle name="Accent2 - 60% 2 19" xfId="6682"/>
    <cellStyle name="60% - 强调文字颜色 6 2 2 18" xfId="6683"/>
    <cellStyle name="60% - 强调文字颜色 6 2 2 2" xfId="6684"/>
    <cellStyle name="60% - 强调文字颜色 6 2 2 3" xfId="6685"/>
    <cellStyle name="输出 3 2 5 9" xfId="6686"/>
    <cellStyle name="输入 2 3 5 2 4" xfId="6687"/>
    <cellStyle name="Accent3 - 40% 14" xfId="6688"/>
    <cellStyle name="PSHeading 11 16" xfId="6689"/>
    <cellStyle name="Accent2 13 4" xfId="6690"/>
    <cellStyle name="常规 100 3 17" xfId="6691"/>
    <cellStyle name="60% - 强调文字颜色 6 2 2 3 2" xfId="6692"/>
    <cellStyle name="输入 2 3 5 2 5" xfId="6693"/>
    <cellStyle name="Accent3 - 40% 20" xfId="6694"/>
    <cellStyle name="Accent3 - 40% 15" xfId="6695"/>
    <cellStyle name="PSHeading 11 17" xfId="6696"/>
    <cellStyle name="Accent2 13 5" xfId="6697"/>
    <cellStyle name="常规 100 3 18" xfId="6698"/>
    <cellStyle name="60% - 强调文字颜色 6 2 2 3 3" xfId="6699"/>
    <cellStyle name="60% - 强调文字颜色 6 2 2 4" xfId="6700"/>
    <cellStyle name="60% - 强调文字颜色 6 2 2 5" xfId="6701"/>
    <cellStyle name="60% - 强调文字颜色 6 2 2 6" xfId="6702"/>
    <cellStyle name="60% - 强调文字颜色 6 2 2 7" xfId="6703"/>
    <cellStyle name="60% - 强调文字颜色 6 2 2 8" xfId="6704"/>
    <cellStyle name="计算 2 2 8 2 6" xfId="6705"/>
    <cellStyle name="60% - 强调文字颜色 6 2 3" xfId="6706"/>
    <cellStyle name="样式 1 2 4" xfId="6707"/>
    <cellStyle name="Accent2 - 60% 3 15" xfId="6708"/>
    <cellStyle name="60% - 强调文字颜色 6 2 3 14" xfId="6709"/>
    <cellStyle name="汇总 2 4 5" xfId="6710"/>
    <cellStyle name="Accent2 - 40% 3" xfId="6711"/>
    <cellStyle name="样式 1 2 5" xfId="6712"/>
    <cellStyle name="Accent2 - 60% 3 16" xfId="6713"/>
    <cellStyle name="60% - 强调文字颜色 6 2 3 15" xfId="6714"/>
    <cellStyle name="汇总 2 4 6" xfId="6715"/>
    <cellStyle name="Accent2 - 40% 4" xfId="6716"/>
    <cellStyle name="Input [yellow] 2 8 10" xfId="6717"/>
    <cellStyle name="样式 1 2 6" xfId="6718"/>
    <cellStyle name="Accent2 - 60% 3 17" xfId="6719"/>
    <cellStyle name="60% - 强调文字颜色 6 2 3 16" xfId="6720"/>
    <cellStyle name="汇总 2 4 7" xfId="6721"/>
    <cellStyle name="Accent2 - 40% 5" xfId="6722"/>
    <cellStyle name="Accent4 8 3" xfId="6723"/>
    <cellStyle name="Accent2 - 20% 9" xfId="6724"/>
    <cellStyle name="60% - 强调文字颜色 6 2 3 3 2" xfId="6725"/>
    <cellStyle name="60% - 强调文字颜色 6 2 3 3 2 2" xfId="6726"/>
    <cellStyle name="60% - 强调文字颜色 6 2 3 3 2 3" xfId="6727"/>
    <cellStyle name="60% - 强调文字颜色 6 2 3 3 3" xfId="6728"/>
    <cellStyle name="计算 2 2 8 2 7" xfId="6729"/>
    <cellStyle name="60% - 强调文字颜色 6 2 4" xfId="6730"/>
    <cellStyle name="Input [yellow] 8 2 2 4" xfId="6731"/>
    <cellStyle name="60% - 强调文字颜色 6 2 5 2" xfId="6732"/>
    <cellStyle name="60% - 强调文字颜色 6 2 5 2 2" xfId="6733"/>
    <cellStyle name="60% - 强调文字颜色 6 2 5 2 3" xfId="6734"/>
    <cellStyle name="Input [yellow] 8 2 2 5" xfId="6735"/>
    <cellStyle name="60% - 强调文字颜色 6 2 5 3" xfId="6736"/>
    <cellStyle name="Header2 2 27" xfId="6737"/>
    <cellStyle name="常规 87 2 10" xfId="6738"/>
    <cellStyle name="常规 92 2 10" xfId="6739"/>
    <cellStyle name="60% - 强调文字颜色 6 3 13" xfId="6740"/>
    <cellStyle name="60% - 强调文字颜色 6 3 2" xfId="6741"/>
    <cellStyle name="60% - 强调文字颜色 6 3 2 2" xfId="6742"/>
    <cellStyle name="60% - 强调文字颜色 6 3 2 3" xfId="6743"/>
    <cellStyle name="常规 105 3 17" xfId="6744"/>
    <cellStyle name="常规 110 3 17" xfId="6745"/>
    <cellStyle name="60% - 强调文字颜色 6 3 2 3 2" xfId="6746"/>
    <cellStyle name="60% - 强调文字颜色 6 3 2 3 2 2" xfId="6747"/>
    <cellStyle name="60% - 强调文字颜色 6 3 2 3 2 3" xfId="6748"/>
    <cellStyle name="常规 105 3 18" xfId="6749"/>
    <cellStyle name="常规 110 3 18" xfId="6750"/>
    <cellStyle name="60% - 强调文字颜色 6 3 2 3 3" xfId="6751"/>
    <cellStyle name="60% - 强调文字颜色 6 3 2 4" xfId="6752"/>
    <cellStyle name="60% - 强调文字颜色 6 3 3" xfId="6753"/>
    <cellStyle name="60% - 强调文字颜色 6 3 4" xfId="6754"/>
    <cellStyle name="60% - 强调文字颜色 6 3 5" xfId="6755"/>
    <cellStyle name="60% - 强调文字颜色 6 3 6" xfId="6756"/>
    <cellStyle name="Accent4 10 9" xfId="6757"/>
    <cellStyle name="输出 2 2 8 2 10" xfId="6758"/>
    <cellStyle name="origAmountCrD 3 3" xfId="6759"/>
    <cellStyle name="origAmountCrD 6 2 2 4" xfId="6760"/>
    <cellStyle name="输入 3 2 11 2 12" xfId="6761"/>
    <cellStyle name="Accent3 3 2 2" xfId="6762"/>
    <cellStyle name="商品名称 13" xfId="6763"/>
    <cellStyle name="origAmountDrD 7 2 2 2" xfId="6764"/>
    <cellStyle name="Accent4 13 11" xfId="6765"/>
    <cellStyle name="Header2 3 24" xfId="6766"/>
    <cellStyle name="Header2 3 19" xfId="6767"/>
    <cellStyle name="60% - 强调文字颜色 6 4 10" xfId="6768"/>
    <cellStyle name="origAmountCrD 3 4" xfId="6769"/>
    <cellStyle name="常规 60 2 10" xfId="6770"/>
    <cellStyle name="常规 55 2 10" xfId="6771"/>
    <cellStyle name="输出 2 2 8 2 11" xfId="6772"/>
    <cellStyle name="Accent2 - 40% 2 2 3 2 2" xfId="6773"/>
    <cellStyle name="origAmountCrD 6 2 2 5" xfId="6774"/>
    <cellStyle name="输入 2 4 3 2 2" xfId="6775"/>
    <cellStyle name="Accent3 3 2 3" xfId="6776"/>
    <cellStyle name="origAmountDrD 7 2 2 3" xfId="6777"/>
    <cellStyle name="Accent4 13 12" xfId="6778"/>
    <cellStyle name="Header2 3 30" xfId="6779"/>
    <cellStyle name="Header2 3 25" xfId="6780"/>
    <cellStyle name="60% - 强调文字颜色 6 4 11" xfId="6781"/>
    <cellStyle name="origAmountCrD 3 5" xfId="6782"/>
    <cellStyle name="常规 60 2 11" xfId="6783"/>
    <cellStyle name="常规 55 2 11" xfId="6784"/>
    <cellStyle name="输出 2 2 8 2 12" xfId="6785"/>
    <cellStyle name="Accent2 - 40% 2 2 3 2 3" xfId="6786"/>
    <cellStyle name="origAmountCrD 6 2 2 6" xfId="6787"/>
    <cellStyle name="输入 2 4 3 2 3" xfId="6788"/>
    <cellStyle name="Accent3 3 2 4" xfId="6789"/>
    <cellStyle name="origAmountDrD 7 2 2 4" xfId="6790"/>
    <cellStyle name="Accent4 13 13" xfId="6791"/>
    <cellStyle name="Header2 3 31" xfId="6792"/>
    <cellStyle name="Header2 3 26" xfId="6793"/>
    <cellStyle name="60% - 强调文字颜色 6 4 12" xfId="6794"/>
    <cellStyle name="60% - 强调文字颜色 6 4 3 2" xfId="6795"/>
    <cellStyle name="常规 13 3 7" xfId="6796"/>
    <cellStyle name="60% - 强调文字颜色 6 4 3 2 2" xfId="6797"/>
    <cellStyle name="Accent3 - 20% 2 4 2 2" xfId="6798"/>
    <cellStyle name="输出 2 6 2 4" xfId="6799"/>
    <cellStyle name="常规 13 3 8" xfId="6800"/>
    <cellStyle name="60% - 强调文字颜色 6 4 3 2 3" xfId="6801"/>
    <cellStyle name="60% - 强调文字颜色 6 4 3 3" xfId="6802"/>
    <cellStyle name="60% - 强调文字颜色 6 4 6" xfId="6803"/>
    <cellStyle name="Accent3 - 20% 3 3 2" xfId="6804"/>
    <cellStyle name="汇总 2 2 3 3 2 3" xfId="6805"/>
    <cellStyle name="Accent1 - 40% 22" xfId="6806"/>
    <cellStyle name="Accent1 - 40% 17" xfId="6807"/>
    <cellStyle name="Input [yellow] 6 2 8" xfId="6808"/>
    <cellStyle name="6mal" xfId="6809"/>
    <cellStyle name="Accent2 10 7" xfId="6810"/>
    <cellStyle name="6mal 2 11" xfId="6811"/>
    <cellStyle name="Accent3 5 6" xfId="6812"/>
    <cellStyle name="Accent2 10 8" xfId="6813"/>
    <cellStyle name="6mal 2 12" xfId="6814"/>
    <cellStyle name="Accent3 5 7" xfId="6815"/>
    <cellStyle name="6mal 2 2 2" xfId="6816"/>
    <cellStyle name="常规 49 10" xfId="6817"/>
    <cellStyle name="常规 54 10" xfId="6818"/>
    <cellStyle name="Accent6 - 20% 2" xfId="6819"/>
    <cellStyle name="Accent3 23" xfId="6820"/>
    <cellStyle name="Accent3 18" xfId="6821"/>
    <cellStyle name="常规 10 2 3 2 2" xfId="6822"/>
    <cellStyle name="差 2 2 8" xfId="6823"/>
    <cellStyle name="6mal 2 4" xfId="6824"/>
    <cellStyle name="差 2 3 6" xfId="6825"/>
    <cellStyle name="6mal 3 2" xfId="6826"/>
    <cellStyle name="Accent5 6 3 3" xfId="6827"/>
    <cellStyle name="常规 10 6" xfId="6828"/>
    <cellStyle name="Accent3 10 10" xfId="6829"/>
    <cellStyle name="Accent1" xfId="6830"/>
    <cellStyle name="常规 99 2 4 3" xfId="6831"/>
    <cellStyle name="Accent1 - 20%" xfId="6832"/>
    <cellStyle name="Accent2 - 60% 2 2 3 2 3" xfId="6833"/>
    <cellStyle name="Accent1 - 20% 10" xfId="6834"/>
    <cellStyle name="常规 95 3 12" xfId="6835"/>
    <cellStyle name="计算 2 8 2 5" xfId="6836"/>
    <cellStyle name="Accent1 - 20% 19" xfId="6837"/>
    <cellStyle name="Accent1 9 3 2" xfId="6838"/>
    <cellStyle name="计算 3 3 4 14" xfId="6839"/>
    <cellStyle name="Accent1 3 18" xfId="6840"/>
    <cellStyle name="Accent1 - 20% 2 19" xfId="6841"/>
    <cellStyle name="Input Cells 8" xfId="6842"/>
    <cellStyle name="好_Book1 2 5" xfId="6843"/>
    <cellStyle name="常规 88 5 2" xfId="6844"/>
    <cellStyle name="常规 93 5 2" xfId="6845"/>
    <cellStyle name="Accent1 - 20% 2 4 2" xfId="6846"/>
    <cellStyle name="常规 88 5 2 3" xfId="6847"/>
    <cellStyle name="常规 93 5 2 3" xfId="6848"/>
    <cellStyle name="Accent1 - 20% 2 4 2 3" xfId="6849"/>
    <cellStyle name="Input Cells 9" xfId="6850"/>
    <cellStyle name="好_Book1 2 6" xfId="6851"/>
    <cellStyle name="origAmountCrD 7 2 10" xfId="6852"/>
    <cellStyle name="常规 88 5 3" xfId="6853"/>
    <cellStyle name="常规 93 5 3" xfId="6854"/>
    <cellStyle name="Accent1 - 20% 2 4 3" xfId="6855"/>
    <cellStyle name="Accent1 - 20% 4" xfId="6856"/>
    <cellStyle name="Accent1 - 20% 5" xfId="6857"/>
    <cellStyle name="origAmountCrD 12 2 16" xfId="6858"/>
    <cellStyle name="常规 96 3" xfId="6859"/>
    <cellStyle name="Accent1 - 20% 5 2" xfId="6860"/>
    <cellStyle name="Accent1 5" xfId="6861"/>
    <cellStyle name="Input [yellow] 2 4 15" xfId="6862"/>
    <cellStyle name="常规 149 2 2 6" xfId="6863"/>
    <cellStyle name="常规 96 3 2" xfId="6864"/>
    <cellStyle name="常规 146 2 2 10" xfId="6865"/>
    <cellStyle name="常规 151 2 2 10" xfId="6866"/>
    <cellStyle name="Accent1 - 20% 5 2 2" xfId="6867"/>
    <cellStyle name="Input [yellow] 5 2 2" xfId="6868"/>
    <cellStyle name="Accent1 6" xfId="6869"/>
    <cellStyle name="Input [yellow] 2 4 16" xfId="6870"/>
    <cellStyle name="常规 149 2 2 7" xfId="6871"/>
    <cellStyle name="输出 2 3 5 2" xfId="6872"/>
    <cellStyle name="常规 96 3 3" xfId="6873"/>
    <cellStyle name="常规 146 2 2 11" xfId="6874"/>
    <cellStyle name="常规 151 2 2 11" xfId="6875"/>
    <cellStyle name="输入 4 10" xfId="6876"/>
    <cellStyle name="Accent1 - 20% 5 2 3" xfId="6877"/>
    <cellStyle name="origAmountCrD 12 2 17" xfId="6878"/>
    <cellStyle name="常规 96 4" xfId="6879"/>
    <cellStyle name="Accent1 - 20% 5 3" xfId="6880"/>
    <cellStyle name="Accent1 - 20% 6" xfId="6881"/>
    <cellStyle name="Accent1 - 20% 7" xfId="6882"/>
    <cellStyle name="Accent1 - 20% 8" xfId="6883"/>
    <cellStyle name="no dec 2 15" xfId="6884"/>
    <cellStyle name="Accent1 - 40%" xfId="6885"/>
    <cellStyle name="Accent1 - 40% 2 10" xfId="6886"/>
    <cellStyle name="Header2 3 2 2 2" xfId="6887"/>
    <cellStyle name="Accent3 7" xfId="6888"/>
    <cellStyle name="Accent1 - 60% 2 2 5" xfId="6889"/>
    <cellStyle name="Accent1 - 40% 2 15" xfId="6890"/>
    <cellStyle name="常规 77 3 3 2" xfId="6891"/>
    <cellStyle name="常规 82 3 3 2" xfId="6892"/>
    <cellStyle name="Accent1 - 40% 2 16" xfId="6893"/>
    <cellStyle name="常规 77 3 3 3" xfId="6894"/>
    <cellStyle name="常规 82 3 3 3" xfId="6895"/>
    <cellStyle name="常规 102 2 4 2" xfId="6896"/>
    <cellStyle name="Accent1 - 40% 2 17" xfId="6897"/>
    <cellStyle name="常规 102 2 4 3" xfId="6898"/>
    <cellStyle name="Accent1 - 40% 2 18" xfId="6899"/>
    <cellStyle name="Accent5 - 40% 3 3 2" xfId="6900"/>
    <cellStyle name="Input [yellow] 10" xfId="6901"/>
    <cellStyle name="Accent1 - 40% 2 19" xfId="6902"/>
    <cellStyle name="Accent1 - 40% 2 2 10" xfId="6903"/>
    <cellStyle name="Accent1 - 40% 2 2 11" xfId="6904"/>
    <cellStyle name="Accent1 - 40% 2 2 12" xfId="6905"/>
    <cellStyle name="Accent1 - 40% 2 2 13" xfId="6906"/>
    <cellStyle name="Accent1 - 40% 2 2 14" xfId="6907"/>
    <cellStyle name="Accent1 - 40% 2 2 15" xfId="6908"/>
    <cellStyle name="Accent1 - 40% 2 2 16" xfId="6909"/>
    <cellStyle name="Accent1 - 40% 2 2 17" xfId="6910"/>
    <cellStyle name="Accent1 - 40% 2 2 18" xfId="6911"/>
    <cellStyle name="Accent1 - 40% 2 2 2" xfId="6912"/>
    <cellStyle name="Accent1 - 40% 2 2 3" xfId="6913"/>
    <cellStyle name="Accent2 - 20% 2 2 8" xfId="6914"/>
    <cellStyle name="Header2 10 8" xfId="6915"/>
    <cellStyle name="Accent1 - 40% 2 2 3 2 2" xfId="6916"/>
    <cellStyle name="Accent2 - 20% 2 2 9" xfId="6917"/>
    <cellStyle name="Header2 10 9" xfId="6918"/>
    <cellStyle name="Accent1 - 40% 2 2 3 2 3" xfId="6919"/>
    <cellStyle name="Header2 3 11 11" xfId="6920"/>
    <cellStyle name="Accent3 - 20% 5 2 2" xfId="6921"/>
    <cellStyle name="Input [yellow] 2 8" xfId="6922"/>
    <cellStyle name="Accent1 - 40% 2 4 3" xfId="6923"/>
    <cellStyle name="Input [yellow] 3 10 2 2 2 2" xfId="6924"/>
    <cellStyle name="Accent1 - 40% 2 9" xfId="6925"/>
    <cellStyle name="常规 102 2 16" xfId="6926"/>
    <cellStyle name="Accent3 - 60% 2 5" xfId="6927"/>
    <cellStyle name="Accent1 - 40% 3 10" xfId="6928"/>
    <cellStyle name="Accent1 - 40% 3 11" xfId="6929"/>
    <cellStyle name="Accent1 - 40% 3 12" xfId="6930"/>
    <cellStyle name="Accent1 - 40% 3 13" xfId="6931"/>
    <cellStyle name="Accent1 - 40% 3 14" xfId="6932"/>
    <cellStyle name="Accent1 - 40% 3 15" xfId="6933"/>
    <cellStyle name="Input [yellow] 2 2 3 2 2 2 2" xfId="6934"/>
    <cellStyle name="Accent1 - 40% 3 16" xfId="6935"/>
    <cellStyle name="Accent1 - 40% 3 17" xfId="6936"/>
    <cellStyle name="Accent1 - 40% 3 18" xfId="6937"/>
    <cellStyle name="常规 101 2 2 13" xfId="6938"/>
    <cellStyle name="Accent1 - 40% 3 2" xfId="6939"/>
    <cellStyle name="常规 101 2 2 14" xfId="6940"/>
    <cellStyle name="Accent1 - 40% 3 3" xfId="6941"/>
    <cellStyle name="Accent1 - 40% 3 3 2" xfId="6942"/>
    <cellStyle name="汇总 2 2 10 17" xfId="6943"/>
    <cellStyle name="编号 19" xfId="6944"/>
    <cellStyle name="编号 24" xfId="6945"/>
    <cellStyle name="Accent2 15 2 3" xfId="6946"/>
    <cellStyle name="注释 3 2 3 5" xfId="6947"/>
    <cellStyle name="常规 18 3 16" xfId="6948"/>
    <cellStyle name="常规 23 3 16" xfId="6949"/>
    <cellStyle name="Accent1 - 40% 3 3 2 2" xfId="6950"/>
    <cellStyle name="注释 3 2 3 6" xfId="6951"/>
    <cellStyle name="常规 18 3 17" xfId="6952"/>
    <cellStyle name="常规 23 3 17" xfId="6953"/>
    <cellStyle name="Accent1 - 40% 3 3 2 3" xfId="6954"/>
    <cellStyle name="Accent1 - 40% 3 3 3" xfId="6955"/>
    <cellStyle name="常规 101 2 2 15" xfId="6956"/>
    <cellStyle name="Accent1 - 40% 3 4" xfId="6957"/>
    <cellStyle name="常规 101 2 2 16" xfId="6958"/>
    <cellStyle name="Accent1 - 40% 3 5" xfId="6959"/>
    <cellStyle name="常规 101 2 2 17" xfId="6960"/>
    <cellStyle name="Accent1 - 40% 3 6" xfId="6961"/>
    <cellStyle name="Accent3 - 60% 3 2" xfId="6962"/>
    <cellStyle name="常规 101 2 2 18" xfId="6963"/>
    <cellStyle name="Accent1 - 40% 3 7" xfId="6964"/>
    <cellStyle name="Accent3 - 60% 3 3" xfId="6965"/>
    <cellStyle name="Accent1 - 40% 3 8" xfId="6966"/>
    <cellStyle name="Accent3 - 60% 3 4" xfId="6967"/>
    <cellStyle name="Accent1 - 40% 3 9" xfId="6968"/>
    <cellStyle name="Accent3 - 60% 3 5" xfId="6969"/>
    <cellStyle name="Accent1 - 40% 5 2" xfId="6970"/>
    <cellStyle name="Accent3 - 60% 2 2 18" xfId="6971"/>
    <cellStyle name="Accent1 - 40% 5 2 2" xfId="6972"/>
    <cellStyle name="标题 3 2 5 11" xfId="6973"/>
    <cellStyle name="Accent2 13 3 2 2" xfId="6974"/>
    <cellStyle name="Accent1 - 40% 5 2 3" xfId="6975"/>
    <cellStyle name="Accent1 - 40% 5 3" xfId="6976"/>
    <cellStyle name="Input [yellow] 3 11 4" xfId="6977"/>
    <cellStyle name="Accent3 - 20% 3 10" xfId="6978"/>
    <cellStyle name="常规 137 5 2 3" xfId="6979"/>
    <cellStyle name="常规 142 5 2 3" xfId="6980"/>
    <cellStyle name="Accent1 - 40% 8" xfId="6981"/>
    <cellStyle name="Input [yellow] 3 11 5" xfId="6982"/>
    <cellStyle name="Accent3 - 20% 3 11" xfId="6983"/>
    <cellStyle name="Accent1 - 40% 9" xfId="6984"/>
    <cellStyle name="Accent1 11 15" xfId="6985"/>
    <cellStyle name="输入 2 2 11 14" xfId="6986"/>
    <cellStyle name="输出 2 3 2 2 10" xfId="6987"/>
    <cellStyle name="Accent1 - 60%" xfId="6988"/>
    <cellStyle name="Accent1 - 60% 10" xfId="6989"/>
    <cellStyle name="常规 99 3 12" xfId="6990"/>
    <cellStyle name="Accent2 12 18" xfId="6991"/>
    <cellStyle name="Accent1 - 60% 11" xfId="6992"/>
    <cellStyle name="常规 99 3 13" xfId="6993"/>
    <cellStyle name="Accent1 - 60% 12" xfId="6994"/>
    <cellStyle name="常规 99 3 14" xfId="6995"/>
    <cellStyle name="Accent1 - 60% 13" xfId="6996"/>
    <cellStyle name="常规 99 3 15" xfId="6997"/>
    <cellStyle name="计算 3 3 2 2" xfId="6998"/>
    <cellStyle name="Accent1 - 60% 21" xfId="6999"/>
    <cellStyle name="Accent1 - 60% 16" xfId="7000"/>
    <cellStyle name="常规 99 3 18" xfId="7001"/>
    <cellStyle name="计算 3 3 2 3" xfId="7002"/>
    <cellStyle name="Accent1 - 60% 22" xfId="7003"/>
    <cellStyle name="Accent1 - 60% 17" xfId="7004"/>
    <cellStyle name="计算 3 3 2 4" xfId="7005"/>
    <cellStyle name="Accent1 - 60% 23" xfId="7006"/>
    <cellStyle name="Accent1 - 60% 18" xfId="7007"/>
    <cellStyle name="计算 3 3 2 5" xfId="7008"/>
    <cellStyle name="Accent1 - 60% 19" xfId="7009"/>
    <cellStyle name="Accent2 4 3 2" xfId="7010"/>
    <cellStyle name="Input [yellow] 2 2 3 3 3" xfId="7011"/>
    <cellStyle name="Accent1 - 60% 2" xfId="7012"/>
    <cellStyle name="常规 102 2 18" xfId="7013"/>
    <cellStyle name="Accent1 - 60% 2 10" xfId="7014"/>
    <cellStyle name="Accent3 - 60% 2 7" xfId="7015"/>
    <cellStyle name="常规 102 2 19" xfId="7016"/>
    <cellStyle name="Accent1 - 60% 2 11" xfId="7017"/>
    <cellStyle name="Accent3 - 60% 2 8" xfId="7018"/>
    <cellStyle name="t_HVAC Equipment (3) 6" xfId="7019"/>
    <cellStyle name="计算 2 6 2 5" xfId="7020"/>
    <cellStyle name="Accent1 7 3 2" xfId="7021"/>
    <cellStyle name="Accent1 - 60% 2 12" xfId="7022"/>
    <cellStyle name="Accent3 - 60% 2 9" xfId="7023"/>
    <cellStyle name="t_HVAC Equipment (3) 7" xfId="7024"/>
    <cellStyle name="计算 2 6 2 6" xfId="7025"/>
    <cellStyle name="Accent1 7 3 3" xfId="7026"/>
    <cellStyle name="常规 129 3 18" xfId="7027"/>
    <cellStyle name="常规 134 3 18" xfId="7028"/>
    <cellStyle name="Accent4 - 60% 2" xfId="7029"/>
    <cellStyle name="Accent2 - 20% 2 2 10" xfId="7030"/>
    <cellStyle name="PSSpacer" xfId="7031"/>
    <cellStyle name="计算 2 6 2 7" xfId="7032"/>
    <cellStyle name="t_HVAC Equipment (3) 8" xfId="7033"/>
    <cellStyle name="Header2 10 10" xfId="7034"/>
    <cellStyle name="Accent4 - 60% 3" xfId="7035"/>
    <cellStyle name="Accent1 - 60% 2 13" xfId="7036"/>
    <cellStyle name="Accent2 - 20% 2 2 11" xfId="7037"/>
    <cellStyle name="Input [yellow] 3 8 2 3 2" xfId="7038"/>
    <cellStyle name="计算 2 6 2 8" xfId="7039"/>
    <cellStyle name="t_HVAC Equipment (3) 9" xfId="7040"/>
    <cellStyle name="Header2 10 11" xfId="7041"/>
    <cellStyle name="origAmountCrD 7 2 2 10" xfId="7042"/>
    <cellStyle name="Accent4 - 60% 4" xfId="7043"/>
    <cellStyle name="Accent1 - 60% 2 14" xfId="7044"/>
    <cellStyle name="Accent2 - 20% 2 2 12" xfId="7045"/>
    <cellStyle name="Input [yellow] 3 8 2 3 3" xfId="7046"/>
    <cellStyle name="计算 2 6 2 9" xfId="7047"/>
    <cellStyle name="Header2 10 12" xfId="7048"/>
    <cellStyle name="origAmountCrD 7 2 2 11" xfId="7049"/>
    <cellStyle name="Accent4 - 60% 5" xfId="7050"/>
    <cellStyle name="Accent1 - 60% 2 15" xfId="7051"/>
    <cellStyle name="Accent2 - 20% 2 2 13" xfId="7052"/>
    <cellStyle name="Header2 10 13" xfId="7053"/>
    <cellStyle name="origAmountCrD 7 2 2 12" xfId="7054"/>
    <cellStyle name="Input [yellow] 6 2 2 2" xfId="7055"/>
    <cellStyle name="Accent4 - 60% 6" xfId="7056"/>
    <cellStyle name="常规 97 3 3 2" xfId="7057"/>
    <cellStyle name="Accent1 - 60% 2 16" xfId="7058"/>
    <cellStyle name="Accent2 - 20% 2 2 14" xfId="7059"/>
    <cellStyle name="Header2 10 14" xfId="7060"/>
    <cellStyle name="Input [yellow] 6 2 2 3" xfId="7061"/>
    <cellStyle name="Accent4 - 60% 7" xfId="7062"/>
    <cellStyle name="常规 127 2 2 3 2 2" xfId="7063"/>
    <cellStyle name="常规 132 2 2 3 2 2" xfId="7064"/>
    <cellStyle name="Accent1 15 2 2" xfId="7065"/>
    <cellStyle name="常规 97 3 3 3" xfId="7066"/>
    <cellStyle name="常规 117 2 4 2" xfId="7067"/>
    <cellStyle name="常规 122 2 4 2" xfId="7068"/>
    <cellStyle name="Accent1 - 60% 2 17" xfId="7069"/>
    <cellStyle name="Accent1 - 60% 2 2" xfId="7070"/>
    <cellStyle name="Accent1 - 60% 2 2 18" xfId="7071"/>
    <cellStyle name="origAmountDrD 7 4" xfId="7072"/>
    <cellStyle name="Header2 2 9 17" xfId="7073"/>
    <cellStyle name="Accent3 5" xfId="7074"/>
    <cellStyle name="Accent1 - 60% 2 2 3" xfId="7075"/>
    <cellStyle name="强调文字颜色 2 2 7" xfId="7076"/>
    <cellStyle name="Accent2 10 3" xfId="7077"/>
    <cellStyle name="Accent3 5 2" xfId="7078"/>
    <cellStyle name="Accent1 - 60% 2 2 3 2" xfId="7079"/>
    <cellStyle name="强调文字颜色 2 2 8" xfId="7080"/>
    <cellStyle name="Accent2 10 4" xfId="7081"/>
    <cellStyle name="Accent3 5 3" xfId="7082"/>
    <cellStyle name="Accent1 - 60% 2 2 3 3" xfId="7083"/>
    <cellStyle name="Accent3 6" xfId="7084"/>
    <cellStyle name="Accent1 - 60% 2 2 4" xfId="7085"/>
    <cellStyle name="常规 117 2 10" xfId="7086"/>
    <cellStyle name="常规 122 2 10" xfId="7087"/>
    <cellStyle name="Accent1 - 60% 2 3" xfId="7088"/>
    <cellStyle name="常规 117 2 11" xfId="7089"/>
    <cellStyle name="常规 122 2 11" xfId="7090"/>
    <cellStyle name="Accent1 - 60% 2 4" xfId="7091"/>
    <cellStyle name="Accent5 4" xfId="7092"/>
    <cellStyle name="Input [yellow] 3 12 10" xfId="7093"/>
    <cellStyle name="Accent1 - 60% 2 4 2" xfId="7094"/>
    <cellStyle name="origAmountCrD 12 2 3 3" xfId="7095"/>
    <cellStyle name="per.style 7" xfId="7096"/>
    <cellStyle name="Accent1 3 2 18" xfId="7097"/>
    <cellStyle name="Accent5 4 2" xfId="7098"/>
    <cellStyle name="Accent1 - 60% 2 4 2 2" xfId="7099"/>
    <cellStyle name="Accent5 4 3" xfId="7100"/>
    <cellStyle name="Accent1 - 60% 2 4 2 3" xfId="7101"/>
    <cellStyle name="origAmountDrD 3 2 8" xfId="7102"/>
    <cellStyle name="Accent3 - 40% 5 2 2" xfId="7103"/>
    <cellStyle name="常规 27 2 2 3 2 2" xfId="7104"/>
    <cellStyle name="常规 32 2 2 3 2 2" xfId="7105"/>
    <cellStyle name="Accent5 5" xfId="7106"/>
    <cellStyle name="Input [yellow] 3 12 11" xfId="7107"/>
    <cellStyle name="Accent1 - 60% 2 4 3" xfId="7108"/>
    <cellStyle name="常规 117 2 12" xfId="7109"/>
    <cellStyle name="常规 122 2 12" xfId="7110"/>
    <cellStyle name="Accent1 - 60% 2 5" xfId="7111"/>
    <cellStyle name="常规 117 2 13" xfId="7112"/>
    <cellStyle name="常规 122 2 13" xfId="7113"/>
    <cellStyle name="Accent1 - 60% 2 6" xfId="7114"/>
    <cellStyle name="常规 117 2 14" xfId="7115"/>
    <cellStyle name="常规 122 2 14" xfId="7116"/>
    <cellStyle name="Accent1 - 60% 2 7" xfId="7117"/>
    <cellStyle name="常规 117 2 15" xfId="7118"/>
    <cellStyle name="常规 122 2 15" xfId="7119"/>
    <cellStyle name="Accent1 - 60% 2 8" xfId="7120"/>
    <cellStyle name="常规 117 2 16" xfId="7121"/>
    <cellStyle name="常规 122 2 16" xfId="7122"/>
    <cellStyle name="Accent1 - 60% 2 9" xfId="7123"/>
    <cellStyle name="Accent1 - 60% 3" xfId="7124"/>
    <cellStyle name="Accent1 - 60% 3 11" xfId="7125"/>
    <cellStyle name="Accent3 - 60% 21" xfId="7126"/>
    <cellStyle name="Accent3 - 60% 16" xfId="7127"/>
    <cellStyle name="Accent4 13 6" xfId="7128"/>
    <cellStyle name="汇总 2 3 4 2" xfId="7129"/>
    <cellStyle name="Accent1 - 60% 3 12" xfId="7130"/>
    <cellStyle name="Accent3 - 60% 22" xfId="7131"/>
    <cellStyle name="Accent3 - 60% 17" xfId="7132"/>
    <cellStyle name="Accent4 13 7" xfId="7133"/>
    <cellStyle name="汇总 2 3 4 3" xfId="7134"/>
    <cellStyle name="Accent1 - 60% 3 13" xfId="7135"/>
    <cellStyle name="Accent3 - 60% 23" xfId="7136"/>
    <cellStyle name="Accent3 - 60% 18" xfId="7137"/>
    <cellStyle name="origAmountCrD 6 2" xfId="7138"/>
    <cellStyle name="货币 2 2 2" xfId="7139"/>
    <cellStyle name="Accent4 13 8" xfId="7140"/>
    <cellStyle name="汇总 2 3 4 4" xfId="7141"/>
    <cellStyle name="Accent1 - 60% 3 14" xfId="7142"/>
    <cellStyle name="Accent3 - 60% 19" xfId="7143"/>
    <cellStyle name="origAmountCrD 6 3" xfId="7144"/>
    <cellStyle name="货币 2 2 3" xfId="7145"/>
    <cellStyle name="Accent4 13 9" xfId="7146"/>
    <cellStyle name="汇总 2 3 4 5" xfId="7147"/>
    <cellStyle name="Accent1 - 60% 3 15" xfId="7148"/>
    <cellStyle name="汇总 2 3 4 6" xfId="7149"/>
    <cellStyle name="Accent1 - 60% 3 16" xfId="7150"/>
    <cellStyle name="汇总 2 3 4 7" xfId="7151"/>
    <cellStyle name="Accent1 - 60% 3 17" xfId="7152"/>
    <cellStyle name="差 4 5" xfId="7153"/>
    <cellStyle name="Accent1 - 60% 3 3 2" xfId="7154"/>
    <cellStyle name="Accent1 - 60% 3 3 2 2" xfId="7155"/>
    <cellStyle name="Accent1 - 60% 3 3 2 3" xfId="7156"/>
    <cellStyle name="差 4 6" xfId="7157"/>
    <cellStyle name="Accent1 - 60% 3 3 3" xfId="7158"/>
    <cellStyle name="Input [yellow] 3 5 17" xfId="7159"/>
    <cellStyle name="origAmountCrD 2 2 2 13" xfId="7160"/>
    <cellStyle name="Accent3 - 60% 7" xfId="7161"/>
    <cellStyle name="汇总 2 3 14" xfId="7162"/>
    <cellStyle name="Accent1 - 60% 3 6" xfId="7163"/>
    <cellStyle name="Input [yellow] 3 5 18" xfId="7164"/>
    <cellStyle name="origAmountCrD 2 2 2 14" xfId="7165"/>
    <cellStyle name="Accent3 - 60% 8" xfId="7166"/>
    <cellStyle name="汇总 2 3 15" xfId="7167"/>
    <cellStyle name="汇总 2 3 20" xfId="7168"/>
    <cellStyle name="Accent1 - 60% 3 7" xfId="7169"/>
    <cellStyle name="Accent1 - 60% 4" xfId="7170"/>
    <cellStyle name="origAmountCrD 2 13" xfId="7171"/>
    <cellStyle name="输出 2 2 11 2 12" xfId="7172"/>
    <cellStyle name="Accent3 - 40% 2 2 10" xfId="7173"/>
    <cellStyle name="Accent1 - 60% 5" xfId="7174"/>
    <cellStyle name="Accent1 - 60% 5 2" xfId="7175"/>
    <cellStyle name="Accent1 - 60% 5 3" xfId="7176"/>
    <cellStyle name="origAmountCrD 2 14" xfId="7177"/>
    <cellStyle name="常规 62 2 2 3 2" xfId="7178"/>
    <cellStyle name="常规 57 2 2 3 2" xfId="7179"/>
    <cellStyle name="Accent3 - 40% 2 2 11" xfId="7180"/>
    <cellStyle name="Accent1 - 60% 6" xfId="7181"/>
    <cellStyle name="origAmountCrD 2 20" xfId="7182"/>
    <cellStyle name="origAmountCrD 2 15" xfId="7183"/>
    <cellStyle name="常规 62 2 2 3 3" xfId="7184"/>
    <cellStyle name="常规 57 2 2 3 3" xfId="7185"/>
    <cellStyle name="Accent3 - 40% 2 2 12" xfId="7186"/>
    <cellStyle name="Accent1 - 60% 7" xfId="7187"/>
    <cellStyle name="origAmountCrD 2 21" xfId="7188"/>
    <cellStyle name="origAmountCrD 2 16" xfId="7189"/>
    <cellStyle name="Accent3 - 40% 2 2 13" xfId="7190"/>
    <cellStyle name="Accent1 - 60% 8" xfId="7191"/>
    <cellStyle name="Accent3 6 3 3" xfId="7192"/>
    <cellStyle name="汇总 2 6 2 5" xfId="7193"/>
    <cellStyle name="Accent1 10 10" xfId="7194"/>
    <cellStyle name="Accent1 10 11" xfId="7195"/>
    <cellStyle name="输入 2 2 10 10" xfId="7196"/>
    <cellStyle name="汇总 2 6 2 6" xfId="7197"/>
    <cellStyle name="Accent1 10 12" xfId="7198"/>
    <cellStyle name="输入 2 2 10 11" xfId="7199"/>
    <cellStyle name="汇总 2 6 2 7" xfId="7200"/>
    <cellStyle name="Accent1 10 13" xfId="7201"/>
    <cellStyle name="输入 2 2 10 12" xfId="7202"/>
    <cellStyle name="汇总 2 6 2 8" xfId="7203"/>
    <cellStyle name="Accent1 10 14" xfId="7204"/>
    <cellStyle name="输入 2 2 10 13" xfId="7205"/>
    <cellStyle name="汇总 2 6 2 9" xfId="7206"/>
    <cellStyle name="Accent1 10 15" xfId="7207"/>
    <cellStyle name="输入 2 2 10 14" xfId="7208"/>
    <cellStyle name="Accent1 10 16" xfId="7209"/>
    <cellStyle name="Accent1 10 17" xfId="7210"/>
    <cellStyle name="Accent1 10 18" xfId="7211"/>
    <cellStyle name="差 3 2 11" xfId="7212"/>
    <cellStyle name="Accent1 10 3 2" xfId="7213"/>
    <cellStyle name="Accent1 10 3 2 3" xfId="7214"/>
    <cellStyle name="PSHeading 9 2 2" xfId="7215"/>
    <cellStyle name="Accent3 5 15" xfId="7216"/>
    <cellStyle name="差 3 2 12" xfId="7217"/>
    <cellStyle name="Accent1 10 3 3" xfId="7218"/>
    <cellStyle name="Accent1 10 6" xfId="7219"/>
    <cellStyle name="origAmountDrD 2 4 6" xfId="7220"/>
    <cellStyle name="Input [yellow] 12 2 2 8" xfId="7221"/>
    <cellStyle name="Accent2 - 20% 2 2 3 2 2" xfId="7222"/>
    <cellStyle name="Accent1 10 7" xfId="7223"/>
    <cellStyle name="origAmountDrD 2 4 7" xfId="7224"/>
    <cellStyle name="Input [yellow] 12 2 2 9" xfId="7225"/>
    <cellStyle name="Accent2 - 20% 2 2 3 2 3" xfId="7226"/>
    <cellStyle name="Accent1 10 8" xfId="7227"/>
    <cellStyle name="Accent1 11 14" xfId="7228"/>
    <cellStyle name="输入 2 2 11 13" xfId="7229"/>
    <cellStyle name="标题 3 3 10 2 2" xfId="7230"/>
    <cellStyle name="Accent2 - 60% 2 4 2" xfId="7231"/>
    <cellStyle name="常规 89 2 10" xfId="7232"/>
    <cellStyle name="常规 94 2 10" xfId="7233"/>
    <cellStyle name="输出 2 3 2 2 11" xfId="7234"/>
    <cellStyle name="Accent1 11 16" xfId="7235"/>
    <cellStyle name="常规 77 2 2 3 2 2" xfId="7236"/>
    <cellStyle name="常规 82 2 2 3 2 2" xfId="7237"/>
    <cellStyle name="Accent2 - 60% 2 4 3" xfId="7238"/>
    <cellStyle name="常规 89 2 11" xfId="7239"/>
    <cellStyle name="常规 94 2 11" xfId="7240"/>
    <cellStyle name="输出 2 3 2 2 12" xfId="7241"/>
    <cellStyle name="Accent1 11 17" xfId="7242"/>
    <cellStyle name="计算 3 4 2 5" xfId="7243"/>
    <cellStyle name="输出 3 2 6 6" xfId="7244"/>
    <cellStyle name="Accent2 5 3 2" xfId="7245"/>
    <cellStyle name="常规 89 2 12" xfId="7246"/>
    <cellStyle name="常规 94 2 12" xfId="7247"/>
    <cellStyle name="Accent1 11 18" xfId="7248"/>
    <cellStyle name="Input [yellow] 3 2 2 2 10" xfId="7249"/>
    <cellStyle name="Accent1 11 3 2" xfId="7250"/>
    <cellStyle name="Accent1 11 3 2 2" xfId="7251"/>
    <cellStyle name="Accent1 11 3 2 3" xfId="7252"/>
    <cellStyle name="输出 2 3 2 2 6" xfId="7253"/>
    <cellStyle name="Accent1 11 7" xfId="7254"/>
    <cellStyle name="输出 2 3 2 2 7" xfId="7255"/>
    <cellStyle name="Accent1 11 8" xfId="7256"/>
    <cellStyle name="Accent1 12 14" xfId="7257"/>
    <cellStyle name="输入 2 2 12 13" xfId="7258"/>
    <cellStyle name="常规 56 2 2 5" xfId="7259"/>
    <cellStyle name="常规 61 2 2 5" xfId="7260"/>
    <cellStyle name="常规 11 3 16" xfId="7261"/>
    <cellStyle name="PSHeading 12 6" xfId="7262"/>
    <cellStyle name="Accent1 12 2" xfId="7263"/>
    <cellStyle name="常规 56 2 2 6" xfId="7264"/>
    <cellStyle name="常规 61 2 2 6" xfId="7265"/>
    <cellStyle name="常规 11 3 17" xfId="7266"/>
    <cellStyle name="PSHeading 12 7" xfId="7267"/>
    <cellStyle name="Accent1 12 3" xfId="7268"/>
    <cellStyle name="Input [yellow] 13 2 2 12" xfId="7269"/>
    <cellStyle name="Accent1 12 3 2" xfId="7270"/>
    <cellStyle name="Accent1 12 3 2 3" xfId="7271"/>
    <cellStyle name="Accent6 - 60% 2" xfId="7272"/>
    <cellStyle name="常规 94 10" xfId="7273"/>
    <cellStyle name="常规 89 10" xfId="7274"/>
    <cellStyle name="常规 56 2 2 7" xfId="7275"/>
    <cellStyle name="常规 61 2 2 7" xfId="7276"/>
    <cellStyle name="常规 11 3 18" xfId="7277"/>
    <cellStyle name="PSHeading 12 8" xfId="7278"/>
    <cellStyle name="Accent1 12 4" xfId="7279"/>
    <cellStyle name="Accent6 - 60% 3" xfId="7280"/>
    <cellStyle name="常规 94 11" xfId="7281"/>
    <cellStyle name="常规 89 11" xfId="7282"/>
    <cellStyle name="常规 56 2 2 8" xfId="7283"/>
    <cellStyle name="常规 61 2 2 8" xfId="7284"/>
    <cellStyle name="PSHeading 12 9" xfId="7285"/>
    <cellStyle name="Accent1 12 5" xfId="7286"/>
    <cellStyle name="Accent6 - 60% 4" xfId="7287"/>
    <cellStyle name="常规 94 12" xfId="7288"/>
    <cellStyle name="常规 89 12" xfId="7289"/>
    <cellStyle name="常规 56 2 2 9" xfId="7290"/>
    <cellStyle name="常规 61 2 2 9" xfId="7291"/>
    <cellStyle name="PSHeading 4 10" xfId="7292"/>
    <cellStyle name="Accent1 12 6" xfId="7293"/>
    <cellStyle name="Accent6 - 60% 5" xfId="7294"/>
    <cellStyle name="常规 94 13" xfId="7295"/>
    <cellStyle name="常规 89 13" xfId="7296"/>
    <cellStyle name="PSHeading 4 11" xfId="7297"/>
    <cellStyle name="Accent1 12 7" xfId="7298"/>
    <cellStyle name="Accent5 10 10" xfId="7299"/>
    <cellStyle name="Accent6 - 60% 6" xfId="7300"/>
    <cellStyle name="常规 94 14" xfId="7301"/>
    <cellStyle name="常规 89 14" xfId="7302"/>
    <cellStyle name="PSHeading 4 12" xfId="7303"/>
    <cellStyle name="Accent1 12 8" xfId="7304"/>
    <cellStyle name="Accent5 10 11" xfId="7305"/>
    <cellStyle name="常规 8 2 5" xfId="7306"/>
    <cellStyle name="Accent1 13" xfId="7307"/>
    <cellStyle name="origAmountCrD 3 2 2 3" xfId="7308"/>
    <cellStyle name="输入 2 2 5 16" xfId="7309"/>
    <cellStyle name="Accent1 13 10" xfId="7310"/>
    <cellStyle name="常规 38 3 6" xfId="7311"/>
    <cellStyle name="常规 43 3 6" xfId="7312"/>
    <cellStyle name="origAmountCrD 3 2 2 4" xfId="7313"/>
    <cellStyle name="输入 2 2 5 17" xfId="7314"/>
    <cellStyle name="Accent1 13 11" xfId="7315"/>
    <cellStyle name="常规 38 3 7" xfId="7316"/>
    <cellStyle name="常规 43 3 7" xfId="7317"/>
    <cellStyle name="输入 2 2 13 10" xfId="7318"/>
    <cellStyle name="origAmountDrD 4 2 2 2" xfId="7319"/>
    <cellStyle name="origAmountCrD 3 2 2 5" xfId="7320"/>
    <cellStyle name="Accent1 13 12" xfId="7321"/>
    <cellStyle name="常规 38 3 8" xfId="7322"/>
    <cellStyle name="常规 43 3 8" xfId="7323"/>
    <cellStyle name="输入 2 2 13 11" xfId="7324"/>
    <cellStyle name="origAmountDrD 4 2 2 3" xfId="7325"/>
    <cellStyle name="origAmountCrD 3 2 2 6" xfId="7326"/>
    <cellStyle name="Accent1 13 13" xfId="7327"/>
    <cellStyle name="常规 38 3 9" xfId="7328"/>
    <cellStyle name="常规 43 3 9" xfId="7329"/>
    <cellStyle name="输入 2 2 13 12" xfId="7330"/>
    <cellStyle name="origAmountDrD 4 2 2 4" xfId="7331"/>
    <cellStyle name="origAmountCrD 3 2 2 7" xfId="7332"/>
    <cellStyle name="origAmountDrD 4 2 2 5" xfId="7333"/>
    <cellStyle name="Accent1 13 14" xfId="7334"/>
    <cellStyle name="origAmountCrD 3 2 2 8" xfId="7335"/>
    <cellStyle name="origAmountDrD 4 2 2 6" xfId="7336"/>
    <cellStyle name="Accent1 13 15" xfId="7337"/>
    <cellStyle name="origAmountCrD 3 2 2 9" xfId="7338"/>
    <cellStyle name="常规 103 3 3 2 2" xfId="7339"/>
    <cellStyle name="origAmountDrD 4 2 2 7" xfId="7340"/>
    <cellStyle name="Accent1 13 16" xfId="7341"/>
    <cellStyle name="origAmountDrD 4 2 2 8" xfId="7342"/>
    <cellStyle name="Accent1 13 17" xfId="7343"/>
    <cellStyle name="origAmountDrD 4 2 2 9" xfId="7344"/>
    <cellStyle name="Accent1 13 18" xfId="7345"/>
    <cellStyle name="Input [yellow] 3 6 2 10" xfId="7346"/>
    <cellStyle name="Accent1 13 3 2" xfId="7347"/>
    <cellStyle name="Input [yellow] 3 6 2 11" xfId="7348"/>
    <cellStyle name="Accent1 13 3 3" xfId="7349"/>
    <cellStyle name="Accent3 - 40% 3 10" xfId="7350"/>
    <cellStyle name="PSHeading 13 8" xfId="7351"/>
    <cellStyle name="Accent1 13 4" xfId="7352"/>
    <cellStyle name="Accent5 - 40% 2 4" xfId="7353"/>
    <cellStyle name="Accent3 - 20% 2 8" xfId="7354"/>
    <cellStyle name="Accent3 - 40% 3 11" xfId="7355"/>
    <cellStyle name="PSHeading 13 9" xfId="7356"/>
    <cellStyle name="Accent1 13 5" xfId="7357"/>
    <cellStyle name="Accent5 - 40% 2 5" xfId="7358"/>
    <cellStyle name="Accent3 - 20% 2 9" xfId="7359"/>
    <cellStyle name="Accent3 - 40% 3 12" xfId="7360"/>
    <cellStyle name="Accent1 13 6" xfId="7361"/>
    <cellStyle name="计算 2 2 11 2 2" xfId="7362"/>
    <cellStyle name="Accent3 - 40% 3 13" xfId="7363"/>
    <cellStyle name="Accent1 13 7" xfId="7364"/>
    <cellStyle name="计算 2 2 11 2 3" xfId="7365"/>
    <cellStyle name="Accent3 - 40% 3 14" xfId="7366"/>
    <cellStyle name="Accent1 13 8" xfId="7367"/>
    <cellStyle name="常规 8 2 8" xfId="7368"/>
    <cellStyle name="常规 127 2 2 4" xfId="7369"/>
    <cellStyle name="常规 132 2 2 4" xfId="7370"/>
    <cellStyle name="Accent1 21" xfId="7371"/>
    <cellStyle name="Accent1 16" xfId="7372"/>
    <cellStyle name="输出 3 4 3 2 2" xfId="7373"/>
    <cellStyle name="常规 8 2 9" xfId="7374"/>
    <cellStyle name="常规 127 2 2 5" xfId="7375"/>
    <cellStyle name="常规 132 2 2 5" xfId="7376"/>
    <cellStyle name="Accent1 22" xfId="7377"/>
    <cellStyle name="Accent1 17" xfId="7378"/>
    <cellStyle name="输出 3 4 3 2 3" xfId="7379"/>
    <cellStyle name="常规 47 10" xfId="7380"/>
    <cellStyle name="常规 52 10" xfId="7381"/>
    <cellStyle name="常规 119 3 2" xfId="7382"/>
    <cellStyle name="常规 124 3 2" xfId="7383"/>
    <cellStyle name="常规 127 2 2 6" xfId="7384"/>
    <cellStyle name="常规 132 2 2 6" xfId="7385"/>
    <cellStyle name="Accent1 23" xfId="7386"/>
    <cellStyle name="Accent1 18" xfId="7387"/>
    <cellStyle name="Header2 16 2" xfId="7388"/>
    <cellStyle name="Accent4 - 40% 2 4 2" xfId="7389"/>
    <cellStyle name="常规 47 11" xfId="7390"/>
    <cellStyle name="常规 52 11" xfId="7391"/>
    <cellStyle name="常规 119 3 3" xfId="7392"/>
    <cellStyle name="常规 124 3 3" xfId="7393"/>
    <cellStyle name="常规 127 2 2 7" xfId="7394"/>
    <cellStyle name="常规 132 2 2 7" xfId="7395"/>
    <cellStyle name="Accent1 24" xfId="7396"/>
    <cellStyle name="Accent1 19" xfId="7397"/>
    <cellStyle name="Accent4 - 40% 2 4 3" xfId="7398"/>
    <cellStyle name="Accent1 2" xfId="7399"/>
    <cellStyle name="Header2 7 17" xfId="7400"/>
    <cellStyle name="Input [yellow] 3 3" xfId="7401"/>
    <cellStyle name="Accent1 2 2 3 2 2" xfId="7402"/>
    <cellStyle name="百分比 3 4 2 2" xfId="7403"/>
    <cellStyle name="Header2 7 18" xfId="7404"/>
    <cellStyle name="Input [yellow] 3 4" xfId="7405"/>
    <cellStyle name="Accent1 2 2 3 2 3" xfId="7406"/>
    <cellStyle name="Accent1 2 2 5" xfId="7407"/>
    <cellStyle name="输入 2 2 2 2 4" xfId="7408"/>
    <cellStyle name="Accent3 3 10" xfId="7409"/>
    <cellStyle name="Accent1 2 2 6" xfId="7410"/>
    <cellStyle name="输入 2 2 2 2 5" xfId="7411"/>
    <cellStyle name="Accent3 3 11" xfId="7412"/>
    <cellStyle name="Accent1 2 2 7" xfId="7413"/>
    <cellStyle name="输入 2 2 2 2 6" xfId="7414"/>
    <cellStyle name="Input [yellow] 12 2 2 2 2" xfId="7415"/>
    <cellStyle name="Accent3 3 12" xfId="7416"/>
    <cellStyle name="Accent1 2 2 8" xfId="7417"/>
    <cellStyle name="输入 2 2 2 2 7" xfId="7418"/>
    <cellStyle name="常规 102 3 2" xfId="7419"/>
    <cellStyle name="Accent3 3 13" xfId="7420"/>
    <cellStyle name="Accent1 2 2 9" xfId="7421"/>
    <cellStyle name="输入 2 2 2 2 8" xfId="7422"/>
    <cellStyle name="常规 8 16" xfId="7423"/>
    <cellStyle name="常规 8 21" xfId="7424"/>
    <cellStyle name="Accent1 2 4 2" xfId="7425"/>
    <cellStyle name="Input [yellow] 2 10 2 2 10" xfId="7426"/>
    <cellStyle name="常规 8 17" xfId="7427"/>
    <cellStyle name="常规 8 22" xfId="7428"/>
    <cellStyle name="Accent1 2 4 3" xfId="7429"/>
    <cellStyle name="Accent1 2 5" xfId="7430"/>
    <cellStyle name="Accent1 2 6" xfId="7431"/>
    <cellStyle name="Accent1 2 7" xfId="7432"/>
    <cellStyle name="Accent1 2 8" xfId="7433"/>
    <cellStyle name="Accent1 2 9" xfId="7434"/>
    <cellStyle name="常规 47 12" xfId="7435"/>
    <cellStyle name="常规 52 12" xfId="7436"/>
    <cellStyle name="常规 119 3 4" xfId="7437"/>
    <cellStyle name="常规 124 3 4" xfId="7438"/>
    <cellStyle name="常规 127 2 2 8" xfId="7439"/>
    <cellStyle name="常规 132 2 2 8" xfId="7440"/>
    <cellStyle name="Accent1 30" xfId="7441"/>
    <cellStyle name="Accent1 25" xfId="7442"/>
    <cellStyle name="常规 47 13" xfId="7443"/>
    <cellStyle name="常规 52 13" xfId="7444"/>
    <cellStyle name="常规 119 3 5" xfId="7445"/>
    <cellStyle name="常规 124 3 5" xfId="7446"/>
    <cellStyle name="常规 127 2 2 9" xfId="7447"/>
    <cellStyle name="常规 132 2 2 9" xfId="7448"/>
    <cellStyle name="Accent1 31" xfId="7449"/>
    <cellStyle name="Accent1 26" xfId="7450"/>
    <cellStyle name="常规 47 14" xfId="7451"/>
    <cellStyle name="常规 52 14" xfId="7452"/>
    <cellStyle name="常规 119 3 6" xfId="7453"/>
    <cellStyle name="常规 124 3 6" xfId="7454"/>
    <cellStyle name="Accent1 32" xfId="7455"/>
    <cellStyle name="Accent1 27" xfId="7456"/>
    <cellStyle name="常规 47 15" xfId="7457"/>
    <cellStyle name="常规 47 20" xfId="7458"/>
    <cellStyle name="常规 52 15" xfId="7459"/>
    <cellStyle name="常规 52 20" xfId="7460"/>
    <cellStyle name="常规 119 3 7" xfId="7461"/>
    <cellStyle name="常规 124 3 7" xfId="7462"/>
    <cellStyle name="Accent1 33" xfId="7463"/>
    <cellStyle name="Accent1 28" xfId="7464"/>
    <cellStyle name="常规 47 16" xfId="7465"/>
    <cellStyle name="常规 47 21" xfId="7466"/>
    <cellStyle name="常规 52 16" xfId="7467"/>
    <cellStyle name="常规 52 21" xfId="7468"/>
    <cellStyle name="常规 119 3 8" xfId="7469"/>
    <cellStyle name="常规 124 3 8" xfId="7470"/>
    <cellStyle name="Accent1 29" xfId="7471"/>
    <cellStyle name="Accent1 3" xfId="7472"/>
    <cellStyle name="Accent3 - 20% 2 2 3 2 2" xfId="7473"/>
    <cellStyle name="计算 3 3 4 15" xfId="7474"/>
    <cellStyle name="Accent1 3 19" xfId="7475"/>
    <cellStyle name="Accent1 3 2 16" xfId="7476"/>
    <cellStyle name="输入 2 2 3 2 11" xfId="7477"/>
    <cellStyle name="per.style 5" xfId="7478"/>
    <cellStyle name="常规 79 5 2" xfId="7479"/>
    <cellStyle name="常规 84 5 2" xfId="7480"/>
    <cellStyle name="Accent1 3 2 17" xfId="7481"/>
    <cellStyle name="输入 2 2 3 2 12" xfId="7482"/>
    <cellStyle name="per.style 6" xfId="7483"/>
    <cellStyle name="常规 79 5 3" xfId="7484"/>
    <cellStyle name="常规 84 5 3" xfId="7485"/>
    <cellStyle name="origAmountCrD 12 2 3 2" xfId="7486"/>
    <cellStyle name="常规 105 9" xfId="7487"/>
    <cellStyle name="常规 110 9" xfId="7488"/>
    <cellStyle name="Accent1 3 2 3 2 2" xfId="7489"/>
    <cellStyle name="Accent1 3 2 3 2 3" xfId="7490"/>
    <cellStyle name="origAmountDrD 5 2 2 5" xfId="7491"/>
    <cellStyle name="Accent2 13 14" xfId="7492"/>
    <cellStyle name="Accent1 3 2 5" xfId="7493"/>
    <cellStyle name="输入 2 2 3 2 4" xfId="7494"/>
    <cellStyle name="origAmountCrD 4 2 2 7" xfId="7495"/>
    <cellStyle name="计算 2 2 3 5" xfId="7496"/>
    <cellStyle name="origAmountCrD 7 2 14" xfId="7497"/>
    <cellStyle name="Accent1 3 4 2" xfId="7498"/>
    <cellStyle name="计算 2 2 3 6" xfId="7499"/>
    <cellStyle name="Accent1 3 4 3" xfId="7500"/>
    <cellStyle name="汇总 3 3 10" xfId="7501"/>
    <cellStyle name="origAmountCrD 7 2 15" xfId="7502"/>
    <cellStyle name="Accent1 4" xfId="7503"/>
    <cellStyle name="Accent1 4 18" xfId="7504"/>
    <cellStyle name="计算 2 3 5 2 5" xfId="7505"/>
    <cellStyle name="常规 8 2 12" xfId="7506"/>
    <cellStyle name="Accent1 4 2" xfId="7507"/>
    <cellStyle name="计算 2 3 5 2 6" xfId="7508"/>
    <cellStyle name="常规 8 2 13" xfId="7509"/>
    <cellStyle name="Accent1 4 3" xfId="7510"/>
    <cellStyle name="输入 2 2 13 8" xfId="7511"/>
    <cellStyle name="Accent6 - 60% 22" xfId="7512"/>
    <cellStyle name="Accent6 - 60% 17" xfId="7513"/>
    <cellStyle name="计算 2 3 2 5" xfId="7514"/>
    <cellStyle name="Accent1 4 3 2" xfId="7515"/>
    <cellStyle name="计算 3 2 4 2 12" xfId="7516"/>
    <cellStyle name="Accent1 4 3 2 2" xfId="7517"/>
    <cellStyle name="Accent1 4 3 2 3" xfId="7518"/>
    <cellStyle name="输入 2 2 13 9" xfId="7519"/>
    <cellStyle name="Accent6 - 60% 23" xfId="7520"/>
    <cellStyle name="Accent6 - 60% 18" xfId="7521"/>
    <cellStyle name="计算 2 3 2 6" xfId="7522"/>
    <cellStyle name="Accent1 4 3 3" xfId="7523"/>
    <cellStyle name="Input [yellow] 3 12 2 2 3" xfId="7524"/>
    <cellStyle name="Accent3 9 3 2 2" xfId="7525"/>
    <cellStyle name="Accent1 5 14" xfId="7526"/>
    <cellStyle name="Accent5 11 17" xfId="7527"/>
    <cellStyle name="Accent1 5 15" xfId="7528"/>
    <cellStyle name="Accent5 11 18" xfId="7529"/>
    <cellStyle name="Accent1 5 16" xfId="7530"/>
    <cellStyle name="Accent1 5 17" xfId="7531"/>
    <cellStyle name="Accent1 5 18" xfId="7532"/>
    <cellStyle name="Input [yellow] 3 7 2 2 4" xfId="7533"/>
    <cellStyle name="常规 127 2 2 17" xfId="7534"/>
    <cellStyle name="常规 132 2 2 17" xfId="7535"/>
    <cellStyle name="Accent1 5 2" xfId="7536"/>
    <cellStyle name="Input [yellow] 3 7 2 2 5" xfId="7537"/>
    <cellStyle name="常规 127 2 2 18" xfId="7538"/>
    <cellStyle name="常规 132 2 2 18" xfId="7539"/>
    <cellStyle name="Accent1 5 3" xfId="7540"/>
    <cellStyle name="计算 3 2 9 2 12" xfId="7541"/>
    <cellStyle name="Accent1 5 3 2 2" xfId="7542"/>
    <cellStyle name="Accent1 5 3 2 3" xfId="7543"/>
    <cellStyle name="Input [yellow] 3 7 2 2 6" xfId="7544"/>
    <cellStyle name="Accent1 5 4" xfId="7545"/>
    <cellStyle name="Accent5 - 20% 3 3 2 2" xfId="7546"/>
    <cellStyle name="Input [yellow] 3 7 2 2 7" xfId="7547"/>
    <cellStyle name="Accent1 5 5" xfId="7548"/>
    <cellStyle name="Accent5 - 20% 3 3 2 3" xfId="7549"/>
    <cellStyle name="Input [yellow] 3 7 2 2 8" xfId="7550"/>
    <cellStyle name="Accent1 5 6" xfId="7551"/>
    <cellStyle name="Input [yellow] 3 7 2 2 9" xfId="7552"/>
    <cellStyle name="Accent1 5 7" xfId="7553"/>
    <cellStyle name="Accent1 5 8" xfId="7554"/>
    <cellStyle name="Accent1 5 9" xfId="7555"/>
    <cellStyle name="Accent1 6 11" xfId="7556"/>
    <cellStyle name="Accent5 12 14" xfId="7557"/>
    <cellStyle name="汇总 3 6" xfId="7558"/>
    <cellStyle name="PSHeading 6 15" xfId="7559"/>
    <cellStyle name="Input [yellow] 5 2 2 11" xfId="7560"/>
    <cellStyle name="计算 2 5 2 5" xfId="7561"/>
    <cellStyle name="输出 2 3 6 6" xfId="7562"/>
    <cellStyle name="Accent1 6 3 2" xfId="7563"/>
    <cellStyle name="常规 45 2 2 9" xfId="7564"/>
    <cellStyle name="常规 50 2 2 9" xfId="7565"/>
    <cellStyle name="计算 2 5 2 6" xfId="7566"/>
    <cellStyle name="输出 2 3 6 7" xfId="7567"/>
    <cellStyle name="Accent1 6 3 3" xfId="7568"/>
    <cellStyle name="Input [yellow] 5 2 2 7" xfId="7569"/>
    <cellStyle name="comma zerodec 2 5" xfId="7570"/>
    <cellStyle name="Accent1 6 7" xfId="7571"/>
    <cellStyle name="Input [yellow] 5 2 2 8" xfId="7572"/>
    <cellStyle name="comma zerodec 2 6" xfId="7573"/>
    <cellStyle name="Accent1 6 8" xfId="7574"/>
    <cellStyle name="常规 108 5 2 2" xfId="7575"/>
    <cellStyle name="常规 113 5 2 2" xfId="7576"/>
    <cellStyle name="Input [yellow] 5 2 2 9" xfId="7577"/>
    <cellStyle name="comma zerodec 2 7" xfId="7578"/>
    <cellStyle name="Accent1 6 9" xfId="7579"/>
    <cellStyle name="Input [yellow] 5 2 3" xfId="7580"/>
    <cellStyle name="origAmountCrD 2 3 2 3 2" xfId="7581"/>
    <cellStyle name="Accent1 7" xfId="7582"/>
    <cellStyle name="Accent4 3 2 5" xfId="7583"/>
    <cellStyle name="常规 134 3 9" xfId="7584"/>
    <cellStyle name="常规 129 3 9" xfId="7585"/>
    <cellStyle name="origAmountCrD 7 2 2 7" xfId="7586"/>
    <cellStyle name="常规 97 22" xfId="7587"/>
    <cellStyle name="常规 97 17" xfId="7588"/>
    <cellStyle name="汇总 2 2 2 2 6" xfId="7589"/>
    <cellStyle name="origAmountDrD 8 2 2 5" xfId="7590"/>
    <cellStyle name="PSHeading 7 15" xfId="7591"/>
    <cellStyle name="Accent1 7 11" xfId="7592"/>
    <cellStyle name="Accent5 13 14" xfId="7593"/>
    <cellStyle name="Accent1 7 3 2 2" xfId="7594"/>
    <cellStyle name="Accent1 7 3 2 3" xfId="7595"/>
    <cellStyle name="Accent1 7 5" xfId="7596"/>
    <cellStyle name="Accent2 - 60% 21" xfId="7597"/>
    <cellStyle name="Accent2 - 60% 16" xfId="7598"/>
    <cellStyle name="Accent1 7 6" xfId="7599"/>
    <cellStyle name="Accent2 - 60% 22" xfId="7600"/>
    <cellStyle name="Accent2 - 60% 17" xfId="7601"/>
    <cellStyle name="Accent1 7 7" xfId="7602"/>
    <cellStyle name="Accent2 - 60% 23" xfId="7603"/>
    <cellStyle name="Accent2 - 60% 18" xfId="7604"/>
    <cellStyle name="Accent1 7 8" xfId="7605"/>
    <cellStyle name="Accent2 - 60% 19" xfId="7606"/>
    <cellStyle name="Accent1 7 9" xfId="7607"/>
    <cellStyle name="Input [yellow] 5 2 4" xfId="7608"/>
    <cellStyle name="origAmountCrD 2 3 2 3 3" xfId="7609"/>
    <cellStyle name="Accent1 8" xfId="7610"/>
    <cellStyle name="Accent4 6" xfId="7611"/>
    <cellStyle name="Accent3 - 60% 2 14" xfId="7612"/>
    <cellStyle name="常规 89 2 2 16" xfId="7613"/>
    <cellStyle name="常规 94 2 2 16" xfId="7614"/>
    <cellStyle name="PSHeading 8 14" xfId="7615"/>
    <cellStyle name="输入 3 2 2 2 12" xfId="7616"/>
    <cellStyle name="Accent1 8 10" xfId="7617"/>
    <cellStyle name="Header2 3 2 3 2" xfId="7618"/>
    <cellStyle name="Accent4 7" xfId="7619"/>
    <cellStyle name="Accent3 - 60% 2 15" xfId="7620"/>
    <cellStyle name="常规 89 2 2 17" xfId="7621"/>
    <cellStyle name="常规 94 2 2 17" xfId="7622"/>
    <cellStyle name="PSHeading 8 15" xfId="7623"/>
    <cellStyle name="Accent1 8 11" xfId="7624"/>
    <cellStyle name="计算 2 7 2 5" xfId="7625"/>
    <cellStyle name="Accent1 8 3 2" xfId="7626"/>
    <cellStyle name="Accent1 8 3 2 2" xfId="7627"/>
    <cellStyle name="Accent1 8 3 2 3" xfId="7628"/>
    <cellStyle name="计算 2 7 2 6" xfId="7629"/>
    <cellStyle name="Accent1 8 3 3" xfId="7630"/>
    <cellStyle name="Input [yellow] 5 2 5" xfId="7631"/>
    <cellStyle name="Accent1 9" xfId="7632"/>
    <cellStyle name="Accent3 - 60% 3 14" xfId="7633"/>
    <cellStyle name="Accent1 9 10" xfId="7634"/>
    <cellStyle name="计算 2 2 5" xfId="7635"/>
    <cellStyle name="PSHeading 9 14" xfId="7636"/>
    <cellStyle name="Accent3 - 60% 3 15" xfId="7637"/>
    <cellStyle name="Accent1 9 11" xfId="7638"/>
    <cellStyle name="计算 2 2 6" xfId="7639"/>
    <cellStyle name="PSHeading 9 15" xfId="7640"/>
    <cellStyle name="Accent3 - 60% 3 16" xfId="7641"/>
    <cellStyle name="Accent1 9 12" xfId="7642"/>
    <cellStyle name="计算 2 2 7" xfId="7643"/>
    <cellStyle name="PSHeading 9 16" xfId="7644"/>
    <cellStyle name="Accent3 - 60% 3 17" xfId="7645"/>
    <cellStyle name="Accent1 9 13" xfId="7646"/>
    <cellStyle name="计算 2 2 8" xfId="7647"/>
    <cellStyle name="PSHeading 9 17" xfId="7648"/>
    <cellStyle name="Accent3 - 60% 3 18" xfId="7649"/>
    <cellStyle name="Accent1 9 14" xfId="7650"/>
    <cellStyle name="计算 2 2 9" xfId="7651"/>
    <cellStyle name="PSHeading 9 18" xfId="7652"/>
    <cellStyle name="汇总 2 2 6 2" xfId="7653"/>
    <cellStyle name="Accent1 9 15" xfId="7654"/>
    <cellStyle name="汇总 2 2 6 3" xfId="7655"/>
    <cellStyle name="Accent1 9 16" xfId="7656"/>
    <cellStyle name="汇总 2 2 6 4" xfId="7657"/>
    <cellStyle name="Accent1 9 17" xfId="7658"/>
    <cellStyle name="汇总 2 2 6 5" xfId="7659"/>
    <cellStyle name="Accent1 9 18" xfId="7660"/>
    <cellStyle name="常规 8 3 12" xfId="7661"/>
    <cellStyle name="Accent1 9 2" xfId="7662"/>
    <cellStyle name="常规 8 3 13" xfId="7663"/>
    <cellStyle name="Accent1 9 3" xfId="7664"/>
    <cellStyle name="计算 3 3 4 2 12" xfId="7665"/>
    <cellStyle name="Accent1 9 3 2 2" xfId="7666"/>
    <cellStyle name="origAmountDrD 11 2 10" xfId="7667"/>
    <cellStyle name="Accent1 9 3 2 3" xfId="7668"/>
    <cellStyle name="计算 2 8 2 6" xfId="7669"/>
    <cellStyle name="Accent1 9 3 3" xfId="7670"/>
    <cellStyle name="常规 10 7" xfId="7671"/>
    <cellStyle name="Accent3 10 11" xfId="7672"/>
    <cellStyle name="Accent2" xfId="7673"/>
    <cellStyle name="注释 3 2 5 13" xfId="7674"/>
    <cellStyle name="Accent2 - 20%" xfId="7675"/>
    <cellStyle name="Accent2 - 20% 2" xfId="7676"/>
    <cellStyle name="计算 2 3 4 3" xfId="7677"/>
    <cellStyle name="Accent2 - 20% 2 2" xfId="7678"/>
    <cellStyle name="origAmountDrD 3 11" xfId="7679"/>
    <cellStyle name="Accent2 - 20% 2 2 17" xfId="7680"/>
    <cellStyle name="origAmountDrD 3 12" xfId="7681"/>
    <cellStyle name="Accent2 - 20% 2 2 18" xfId="7682"/>
    <cellStyle name="Accent2 - 20% 2 2 3" xfId="7683"/>
    <cellStyle name="输出 2 7 2 12" xfId="7684"/>
    <cellStyle name="Accent2 - 20% 2 2 4" xfId="7685"/>
    <cellStyle name="Accent2 - 20% 2 2 5" xfId="7686"/>
    <cellStyle name="Accent2 - 20% 2 2 6" xfId="7687"/>
    <cellStyle name="Accent2 - 20% 2 2 7" xfId="7688"/>
    <cellStyle name="计算 2 3 4 4" xfId="7689"/>
    <cellStyle name="Accent2 - 20% 2 3" xfId="7690"/>
    <cellStyle name="Accent2 - 20% 3" xfId="7691"/>
    <cellStyle name="计算 2 3 5 3" xfId="7692"/>
    <cellStyle name="Accent2 - 20% 3 2" xfId="7693"/>
    <cellStyle name="计算 2 3 5 4" xfId="7694"/>
    <cellStyle name="Accent2 - 20% 3 3" xfId="7695"/>
    <cellStyle name="Accent2 - 20% 3 3 2 2" xfId="7696"/>
    <cellStyle name="输出 2 3 2 6" xfId="7697"/>
    <cellStyle name="Accent2 - 20% 3 3 2 3" xfId="7698"/>
    <cellStyle name="输出 2 3 2 7" xfId="7699"/>
    <cellStyle name="计算 2 3 5 5" xfId="7700"/>
    <cellStyle name="Accent2 - 20% 3 4" xfId="7701"/>
    <cellStyle name="Accent2 6 10" xfId="7702"/>
    <cellStyle name="计算 2 3 5 6" xfId="7703"/>
    <cellStyle name="Accent2 - 20% 3 5" xfId="7704"/>
    <cellStyle name="Accent2 6 11" xfId="7705"/>
    <cellStyle name="计算 2 3 5 7" xfId="7706"/>
    <cellStyle name="Accent4 - 40% 3 2" xfId="7707"/>
    <cellStyle name="Accent2 - 20% 3 6" xfId="7708"/>
    <cellStyle name="Accent2 6 12" xfId="7709"/>
    <cellStyle name="计算 2 3 5 8" xfId="7710"/>
    <cellStyle name="Accent4 - 40% 3 3" xfId="7711"/>
    <cellStyle name="Accent2 - 20% 3 7" xfId="7712"/>
    <cellStyle name="Accent2 6 13" xfId="7713"/>
    <cellStyle name="输出 2 2 10 2 8" xfId="7714"/>
    <cellStyle name="Accent2 - 60% 3 3 2" xfId="7715"/>
    <cellStyle name="Accent2 - 20% 4" xfId="7716"/>
    <cellStyle name="输出 2 2 10 2 9" xfId="7717"/>
    <cellStyle name="Accent2 - 60% 3 3 3" xfId="7718"/>
    <cellStyle name="Accent2 - 20% 5" xfId="7719"/>
    <cellStyle name="Accent2 - 20% 6" xfId="7720"/>
    <cellStyle name="Accent2 - 20% 7" xfId="7721"/>
    <cellStyle name="Accent4 8 2" xfId="7722"/>
    <cellStyle name="Accent2 - 20% 8" xfId="7723"/>
    <cellStyle name="Accent5 11 8" xfId="7724"/>
    <cellStyle name="Accent2 - 40% 2 10" xfId="7725"/>
    <cellStyle name="Accent2 - 40% 2 2" xfId="7726"/>
    <cellStyle name="Accent2 - 40% 2 2 2" xfId="7727"/>
    <cellStyle name="Accent2 - 40% 2 2 3" xfId="7728"/>
    <cellStyle name="常规 102 3 5" xfId="7729"/>
    <cellStyle name="Accent3 3 16" xfId="7730"/>
    <cellStyle name="Accent2 - 40% 2 2 3 2" xfId="7731"/>
    <cellStyle name="origAmountDrD 7 2 16" xfId="7732"/>
    <cellStyle name="常规 102 3 6" xfId="7733"/>
    <cellStyle name="Accent3 3 17" xfId="7734"/>
    <cellStyle name="Accent2 - 40% 2 2 3 3" xfId="7735"/>
    <cellStyle name="origAmountDrD 7 2 17" xfId="7736"/>
    <cellStyle name="Accent2 - 40% 2 2 4" xfId="7737"/>
    <cellStyle name="Accent2 - 40% 2 2 5" xfId="7738"/>
    <cellStyle name="Accent2 - 40% 2 2 6" xfId="7739"/>
    <cellStyle name="Accent2 - 40% 2 2 7" xfId="7740"/>
    <cellStyle name="Accent2 - 40% 2 2 8" xfId="7741"/>
    <cellStyle name="Accent2 - 40% 2 2 9" xfId="7742"/>
    <cellStyle name="Accent2 - 40% 2 3" xfId="7743"/>
    <cellStyle name="Accent2 - 40% 2 4" xfId="7744"/>
    <cellStyle name="Accent2 - 40% 2 4 2 3" xfId="7745"/>
    <cellStyle name="Accent2 - 40% 2 5" xfId="7746"/>
    <cellStyle name="Accent4 - 60% 2 2" xfId="7747"/>
    <cellStyle name="Accent2 - 40% 2 6" xfId="7748"/>
    <cellStyle name="Accent4 - 60% 2 3" xfId="7749"/>
    <cellStyle name="Accent2 - 40% 2 7" xfId="7750"/>
    <cellStyle name="常规 28 2" xfId="7751"/>
    <cellStyle name="常规 33 2" xfId="7752"/>
    <cellStyle name="Accent4 - 60% 2 4" xfId="7753"/>
    <cellStyle name="Accent2 - 40% 2 8" xfId="7754"/>
    <cellStyle name="常规 28 3" xfId="7755"/>
    <cellStyle name="常规 33 3" xfId="7756"/>
    <cellStyle name="Accent4 - 60% 2 5" xfId="7757"/>
    <cellStyle name="Accent2 - 40% 2 9" xfId="7758"/>
    <cellStyle name="Input [yellow] 2 2 3 2 12" xfId="7759"/>
    <cellStyle name="Accent2 11 15" xfId="7760"/>
    <cellStyle name="Accent2 - 60%" xfId="7761"/>
    <cellStyle name="Accent3 6 10" xfId="7762"/>
    <cellStyle name="常规 100 3 7" xfId="7763"/>
    <cellStyle name="Accent2 - 60% 2 10" xfId="7764"/>
    <cellStyle name="sstot 7" xfId="7765"/>
    <cellStyle name="Accent2 - 60% 2 2" xfId="7766"/>
    <cellStyle name="Accent2 - 60% 2 2 10" xfId="7767"/>
    <cellStyle name="Accent2 - 60% 2 2 11" xfId="7768"/>
    <cellStyle name="Accent2 - 60% 2 2 12" xfId="7769"/>
    <cellStyle name="Accent2 - 60% 2 2 13" xfId="7770"/>
    <cellStyle name="标题 1 3 2 2 2" xfId="7771"/>
    <cellStyle name="Accent2 - 60% 2 2 14" xfId="7772"/>
    <cellStyle name="Accent2 - 60% 2 2 15" xfId="7773"/>
    <cellStyle name="Accent2 - 60% 2 2 16" xfId="7774"/>
    <cellStyle name="Accent2 - 60% 2 2 17" xfId="7775"/>
    <cellStyle name="Accent2 - 60% 2 2 18" xfId="7776"/>
    <cellStyle name="New Times Roman 18" xfId="7777"/>
    <cellStyle name="Accent2 - 60% 2 2 2" xfId="7778"/>
    <cellStyle name="Accent2 - 60% 2 2 3" xfId="7779"/>
    <cellStyle name="Accent2 - 60% 2 2 3 2" xfId="7780"/>
    <cellStyle name="Accent2 - 60% 2 2 3 2 2" xfId="7781"/>
    <cellStyle name="Accent2 - 60% 2 2 3 3" xfId="7782"/>
    <cellStyle name="Accent2 - 60% 2 2 4" xfId="7783"/>
    <cellStyle name="常规 12 3 16" xfId="7784"/>
    <cellStyle name="Accent2 12 2" xfId="7785"/>
    <cellStyle name="Input [yellow] 10 2 2 2 2" xfId="7786"/>
    <cellStyle name="Accent6 - 40% 2 10" xfId="7787"/>
    <cellStyle name="Accent2 - 60% 2 2 5" xfId="7788"/>
    <cellStyle name="常规 12 3 17" xfId="7789"/>
    <cellStyle name="Accent2 12 3" xfId="7790"/>
    <cellStyle name="Accent6 - 40% 2 11" xfId="7791"/>
    <cellStyle name="Accent2 - 60% 2 2 6" xfId="7792"/>
    <cellStyle name="常规 12 3 18" xfId="7793"/>
    <cellStyle name="Accent2 12 4" xfId="7794"/>
    <cellStyle name="Accent6 - 40% 2 12" xfId="7795"/>
    <cellStyle name="Accent2 - 60% 2 2 7" xfId="7796"/>
    <cellStyle name="Accent2 12 5" xfId="7797"/>
    <cellStyle name="Accent6 - 40% 2 13" xfId="7798"/>
    <cellStyle name="Accent2 - 60% 2 2 8" xfId="7799"/>
    <cellStyle name="编号" xfId="7800"/>
    <cellStyle name="Accent2 12 6" xfId="7801"/>
    <cellStyle name="Accent6 - 40% 2 14" xfId="7802"/>
    <cellStyle name="Accent2 - 60% 2 2 9" xfId="7803"/>
    <cellStyle name="sstot 8" xfId="7804"/>
    <cellStyle name="Accent2 - 60% 2 3" xfId="7805"/>
    <cellStyle name="sstot 9" xfId="7806"/>
    <cellStyle name="Accent2 - 60% 2 4" xfId="7807"/>
    <cellStyle name="汇总 2 2 8 3 2 3" xfId="7808"/>
    <cellStyle name="Accent2 - 60% 2 4 2 2" xfId="7809"/>
    <cellStyle name="Accent2 - 60% 2 4 2 3" xfId="7810"/>
    <cellStyle name="Accent2 - 60% 2 5" xfId="7811"/>
    <cellStyle name="Accent2 - 60% 2 6" xfId="7812"/>
    <cellStyle name="Accent2 - 60% 2 7" xfId="7813"/>
    <cellStyle name="Accent2 - 60% 2 8" xfId="7814"/>
    <cellStyle name="Accent4 - 20% 10" xfId="7815"/>
    <cellStyle name="Accent2 - 60% 2 9" xfId="7816"/>
    <cellStyle name="Input [yellow] 12 7" xfId="7817"/>
    <cellStyle name="Input [yellow] 3 7 4" xfId="7818"/>
    <cellStyle name="Accent2 - 60% 3 3 2 2" xfId="7819"/>
    <cellStyle name="Input [yellow] 12 8" xfId="7820"/>
    <cellStyle name="Input [yellow] 3 7 5" xfId="7821"/>
    <cellStyle name="Accent2 - 60% 3 3 2 3" xfId="7822"/>
    <cellStyle name="Accent3 13 3" xfId="7823"/>
    <cellStyle name="Accent2 - 60% 8" xfId="7824"/>
    <cellStyle name="Accent2 10" xfId="7825"/>
    <cellStyle name="Accent4 6 3 3" xfId="7826"/>
    <cellStyle name="汇总 3 6 2 5" xfId="7827"/>
    <cellStyle name="Accent2 10 10" xfId="7828"/>
    <cellStyle name="汇总 3 6 2 6" xfId="7829"/>
    <cellStyle name="Accent2 10 11" xfId="7830"/>
    <cellStyle name="汇总 3 6 2 7" xfId="7831"/>
    <cellStyle name="Accent2 10 12" xfId="7832"/>
    <cellStyle name="汇总 3 6 2 8" xfId="7833"/>
    <cellStyle name="Accent2 10 13" xfId="7834"/>
    <cellStyle name="汇总 3 6 2 9" xfId="7835"/>
    <cellStyle name="Accent2 10 14" xfId="7836"/>
    <cellStyle name="Accent2 10 15" xfId="7837"/>
    <cellStyle name="Accent2 10 16" xfId="7838"/>
    <cellStyle name="强调文字颜色 2 2 6" xfId="7839"/>
    <cellStyle name="Accent2 10 2" xfId="7840"/>
    <cellStyle name="编号 5 2 2" xfId="7841"/>
    <cellStyle name="Accent2 11" xfId="7842"/>
    <cellStyle name="Input [yellow] 2 2 3 2 11" xfId="7843"/>
    <cellStyle name="Accent2 11 14" xfId="7844"/>
    <cellStyle name="Input [yellow] 2 2 3 2 13" xfId="7845"/>
    <cellStyle name="汇总 2 5 2 2" xfId="7846"/>
    <cellStyle name="常规 99 2 10" xfId="7847"/>
    <cellStyle name="Accent2 11 16" xfId="7848"/>
    <cellStyle name="Input [yellow] 2 2 3 2 14" xfId="7849"/>
    <cellStyle name="汇总 2 5 2 3" xfId="7850"/>
    <cellStyle name="常规 99 2 11" xfId="7851"/>
    <cellStyle name="Accent2 11 17" xfId="7852"/>
    <cellStyle name="常规 99 2 12" xfId="7853"/>
    <cellStyle name="Accent2 11 18" xfId="7854"/>
    <cellStyle name="汇总 2 5 2 4" xfId="7855"/>
    <cellStyle name="Input [yellow] 2 2 3 2 15" xfId="7856"/>
    <cellStyle name="Accent3 5 3 2" xfId="7857"/>
    <cellStyle name="商品名称 7 6" xfId="7858"/>
    <cellStyle name="Accent2 11 3 2 2" xfId="7859"/>
    <cellStyle name="商品名称 7 7" xfId="7860"/>
    <cellStyle name="Accent2 11 3 2 3" xfId="7861"/>
    <cellStyle name="Accent2 11 6" xfId="7862"/>
    <cellStyle name="常规 56 3 3 2 2" xfId="7863"/>
    <cellStyle name="常规 61 3 3 2 2" xfId="7864"/>
    <cellStyle name="Accent2 11 7" xfId="7865"/>
    <cellStyle name="Header2 3 5 15" xfId="7866"/>
    <cellStyle name="Accent4 - 20% 2 10" xfId="7867"/>
    <cellStyle name="Accent2 12" xfId="7868"/>
    <cellStyle name="Accent2 12 14" xfId="7869"/>
    <cellStyle name="Accent2 8 17" xfId="7870"/>
    <cellStyle name="origAmountCrD 11 2 15" xfId="7871"/>
    <cellStyle name="Input [yellow] 14 2 2 12" xfId="7872"/>
    <cellStyle name="Accent2 12 3 2" xfId="7873"/>
    <cellStyle name="Header2 2 6 16" xfId="7874"/>
    <cellStyle name="PSDate 5" xfId="7875"/>
    <cellStyle name="Accent2 12 3 2 2" xfId="7876"/>
    <cellStyle name="Header2 2 6 17" xfId="7877"/>
    <cellStyle name="Input [yellow] 2 2 5 2" xfId="7878"/>
    <cellStyle name="PSDate 6" xfId="7879"/>
    <cellStyle name="Accent2 12 3 2 3" xfId="7880"/>
    <cellStyle name="Accent2 8 18" xfId="7881"/>
    <cellStyle name="origAmountCrD 11 2 16" xfId="7882"/>
    <cellStyle name="Accent2 12 3 3" xfId="7883"/>
    <cellStyle name="Accent2 12 7" xfId="7884"/>
    <cellStyle name="Accent2 12 8" xfId="7885"/>
    <cellStyle name="Accent2 13" xfId="7886"/>
    <cellStyle name="输出 3 2 5 7" xfId="7887"/>
    <cellStyle name="输入 2 3 5 2 2" xfId="7888"/>
    <cellStyle name="Accent3 - 40% 12" xfId="7889"/>
    <cellStyle name="PSHeading 11 14" xfId="7890"/>
    <cellStyle name="Accent2 13 2" xfId="7891"/>
    <cellStyle name="输出 3 2 5 8" xfId="7892"/>
    <cellStyle name="输入 2 3 5 2 3" xfId="7893"/>
    <cellStyle name="Accent3 - 40% 13" xfId="7894"/>
    <cellStyle name="PSHeading 11 15" xfId="7895"/>
    <cellStyle name="Accent2 13 3" xfId="7896"/>
    <cellStyle name="Accent2 13 3 2" xfId="7897"/>
    <cellStyle name="标题 3 2 5 12" xfId="7898"/>
    <cellStyle name="标题 3 2 4 2 2" xfId="7899"/>
    <cellStyle name="Accent2 13 3 2 3" xfId="7900"/>
    <cellStyle name="Accent2 13 3 3" xfId="7901"/>
    <cellStyle name="输入 2 3 5 2 6" xfId="7902"/>
    <cellStyle name="Accent3 - 40% 21" xfId="7903"/>
    <cellStyle name="Accent3 - 40% 16" xfId="7904"/>
    <cellStyle name="Accent2 13 6" xfId="7905"/>
    <cellStyle name="输入 2 3 5 2 7" xfId="7906"/>
    <cellStyle name="Accent3 - 40% 22" xfId="7907"/>
    <cellStyle name="Accent3 - 40% 17" xfId="7908"/>
    <cellStyle name="Accent2 13 7" xfId="7909"/>
    <cellStyle name="输入 2 3 5 2 8" xfId="7910"/>
    <cellStyle name="Accent3 - 40% 23" xfId="7911"/>
    <cellStyle name="Accent3 - 40% 18" xfId="7912"/>
    <cellStyle name="Accent2 13 8" xfId="7913"/>
    <cellStyle name="好 2 2" xfId="7914"/>
    <cellStyle name="输入 2 3 5 2 9" xfId="7915"/>
    <cellStyle name="Accent3 - 40% 19" xfId="7916"/>
    <cellStyle name="Accent2 13 9" xfId="7917"/>
    <cellStyle name="Accent2 2 2 10" xfId="7918"/>
    <cellStyle name="Accent2 14" xfId="7919"/>
    <cellStyle name="Accent2 20" xfId="7920"/>
    <cellStyle name="Accent2 15" xfId="7921"/>
    <cellStyle name="常规 45 2 2 10" xfId="7922"/>
    <cellStyle name="常规 50 2 2 10" xfId="7923"/>
    <cellStyle name="Accent2 2 2 11" xfId="7924"/>
    <cellStyle name="汇总 2 2 10 16" xfId="7925"/>
    <cellStyle name="编号 18" xfId="7926"/>
    <cellStyle name="编号 23" xfId="7927"/>
    <cellStyle name="Accent2 15 2 2" xfId="7928"/>
    <cellStyle name="origAmountDrD 13 2 2" xfId="7929"/>
    <cellStyle name="Accent2 21" xfId="7930"/>
    <cellStyle name="Accent2 16" xfId="7931"/>
    <cellStyle name="常规 45 2 2 11" xfId="7932"/>
    <cellStyle name="常规 50 2 2 11" xfId="7933"/>
    <cellStyle name="Accent2 2 2 12" xfId="7934"/>
    <cellStyle name="origAmountDrD 13 2 3" xfId="7935"/>
    <cellStyle name="Accent2 22" xfId="7936"/>
    <cellStyle name="Accent2 17" xfId="7937"/>
    <cellStyle name="常规 45 2 2 12" xfId="7938"/>
    <cellStyle name="常规 50 2 2 12" xfId="7939"/>
    <cellStyle name="Accent2 2 2 13" xfId="7940"/>
    <cellStyle name="常规 48 10" xfId="7941"/>
    <cellStyle name="常规 53 10" xfId="7942"/>
    <cellStyle name="origAmountDrD 13 2 4" xfId="7943"/>
    <cellStyle name="Accent2 23" xfId="7944"/>
    <cellStyle name="Accent2 18" xfId="7945"/>
    <cellStyle name="常规 45 2 2 13" xfId="7946"/>
    <cellStyle name="常规 50 2 2 13" xfId="7947"/>
    <cellStyle name="Accent2 2 2 14" xfId="7948"/>
    <cellStyle name="常规 48 11" xfId="7949"/>
    <cellStyle name="常规 53 11" xfId="7950"/>
    <cellStyle name="origAmountDrD 13 2 5" xfId="7951"/>
    <cellStyle name="Accent2 24" xfId="7952"/>
    <cellStyle name="Accent2 19" xfId="7953"/>
    <cellStyle name="Accent6 2 4 2 2" xfId="7954"/>
    <cellStyle name="常规 45 2 2 14" xfId="7955"/>
    <cellStyle name="常规 50 2 2 14" xfId="7956"/>
    <cellStyle name="输入 2 3 2 2 10" xfId="7957"/>
    <cellStyle name="Accent2 2 2 15" xfId="7958"/>
    <cellStyle name="Accent2 2 19" xfId="7959"/>
    <cellStyle name="Accent2 2 2" xfId="7960"/>
    <cellStyle name="常规 48 12" xfId="7961"/>
    <cellStyle name="常规 53 12" xfId="7962"/>
    <cellStyle name="origAmountDrD 13 2 6" xfId="7963"/>
    <cellStyle name="Accent2 30" xfId="7964"/>
    <cellStyle name="Accent2 25" xfId="7965"/>
    <cellStyle name="Accent6 2 4 2 3" xfId="7966"/>
    <cellStyle name="常规 45 2 2 15" xfId="7967"/>
    <cellStyle name="常规 50 2 2 15" xfId="7968"/>
    <cellStyle name="输入 2 3 2 2 11" xfId="7969"/>
    <cellStyle name="Accent2 2 2 16" xfId="7970"/>
    <cellStyle name="常规 48 13" xfId="7971"/>
    <cellStyle name="常规 53 13" xfId="7972"/>
    <cellStyle name="origAmountDrD 13 2 7" xfId="7973"/>
    <cellStyle name="Accent2 31" xfId="7974"/>
    <cellStyle name="Accent2 26" xfId="7975"/>
    <cellStyle name="常规 45 2 2 16" xfId="7976"/>
    <cellStyle name="常规 50 2 2 16" xfId="7977"/>
    <cellStyle name="输入 2 3 2 2 12" xfId="7978"/>
    <cellStyle name="Accent2 2 2 17" xfId="7979"/>
    <cellStyle name="常规 48 14" xfId="7980"/>
    <cellStyle name="常规 53 14" xfId="7981"/>
    <cellStyle name="origAmountDrD 13 2 8" xfId="7982"/>
    <cellStyle name="Accent2 32" xfId="7983"/>
    <cellStyle name="Accent2 27" xfId="7984"/>
    <cellStyle name="常规 45 2 2 17" xfId="7985"/>
    <cellStyle name="常规 50 2 2 17" xfId="7986"/>
    <cellStyle name="Accent4 8 3 2 2" xfId="7987"/>
    <cellStyle name="Accent2 2 2 18" xfId="7988"/>
    <cellStyle name="Accent2 2 2 3 2 2" xfId="7989"/>
    <cellStyle name="Accent2 2 2 3 2 3" xfId="7990"/>
    <cellStyle name="强调文字颜色 1 3" xfId="7991"/>
    <cellStyle name="输入 2 3 2 2 4" xfId="7992"/>
    <cellStyle name="Accent2 2 2 5" xfId="7993"/>
    <cellStyle name="强调文字颜色 1 4" xfId="7994"/>
    <cellStyle name="输入 2 3 2 2 5" xfId="7995"/>
    <cellStyle name="Accent2 2 2 6" xfId="7996"/>
    <cellStyle name="输入 2 3 2 2 6" xfId="7997"/>
    <cellStyle name="Accent2 2 2 7" xfId="7998"/>
    <cellStyle name="输入 2 3 2 2 7" xfId="7999"/>
    <cellStyle name="Accent2 2 2 8" xfId="8000"/>
    <cellStyle name="输入 2 3 2 2 8" xfId="8001"/>
    <cellStyle name="Accent2 2 2 9" xfId="8002"/>
    <cellStyle name="Accent2 2 3" xfId="8003"/>
    <cellStyle name="Accent2 2 4" xfId="8004"/>
    <cellStyle name="差_Book1 2 18" xfId="8005"/>
    <cellStyle name="Accent2 2 4 2" xfId="8006"/>
    <cellStyle name="Accent2 2 4 3" xfId="8007"/>
    <cellStyle name="Accent6 - 20% 5 2" xfId="8008"/>
    <cellStyle name="Accent2 2 5" xfId="8009"/>
    <cellStyle name="Accent6 - 20% 5 3" xfId="8010"/>
    <cellStyle name="Accent2 2 6" xfId="8011"/>
    <cellStyle name="Accent2 2 7" xfId="8012"/>
    <cellStyle name="Accent2 2 8" xfId="8013"/>
    <cellStyle name="Accent2 2 9" xfId="8014"/>
    <cellStyle name="常规 48 15" xfId="8015"/>
    <cellStyle name="常规 48 20" xfId="8016"/>
    <cellStyle name="常规 53 15" xfId="8017"/>
    <cellStyle name="常规 53 20" xfId="8018"/>
    <cellStyle name="origAmountDrD 13 2 9" xfId="8019"/>
    <cellStyle name="Accent2 33" xfId="8020"/>
    <cellStyle name="Accent2 28" xfId="8021"/>
    <cellStyle name="常规 48 16" xfId="8022"/>
    <cellStyle name="常规 48 21" xfId="8023"/>
    <cellStyle name="常规 53 16" xfId="8024"/>
    <cellStyle name="常规 53 21" xfId="8025"/>
    <cellStyle name="Accent2 29" xfId="8026"/>
    <cellStyle name="标题 4 3 2 14" xfId="8027"/>
    <cellStyle name="Accent2 3 2" xfId="8028"/>
    <cellStyle name="Accent4 2" xfId="8029"/>
    <cellStyle name="Input [yellow] 26" xfId="8030"/>
    <cellStyle name="Input [yellow] 31" xfId="8031"/>
    <cellStyle name="Accent3 - 60% 2 10" xfId="8032"/>
    <cellStyle name="输入 2 3 3 2 11" xfId="8033"/>
    <cellStyle name="Accent2 3 2 16" xfId="8034"/>
    <cellStyle name="Accent4 3" xfId="8035"/>
    <cellStyle name="Input [yellow] 27" xfId="8036"/>
    <cellStyle name="Input [yellow] 32" xfId="8037"/>
    <cellStyle name="Accent3 - 60% 2 11" xfId="8038"/>
    <cellStyle name="输入 2 3 3 2 12" xfId="8039"/>
    <cellStyle name="Accent2 3 2 17" xfId="8040"/>
    <cellStyle name="Accent2 3 2 3 2" xfId="8041"/>
    <cellStyle name="Accent2 3 2 3 2 3" xfId="8042"/>
    <cellStyle name="per.style 2 14" xfId="8043"/>
    <cellStyle name="Accent2 3 2 3 3" xfId="8044"/>
    <cellStyle name="标题 4 3 2 15" xfId="8045"/>
    <cellStyle name="Accent2 3 3" xfId="8046"/>
    <cellStyle name="计算 3 2 3 5" xfId="8047"/>
    <cellStyle name="Accent2 3 4 2" xfId="8048"/>
    <cellStyle name="计算 3 2 3 6" xfId="8049"/>
    <cellStyle name="Accent2 3 4 3" xfId="8050"/>
    <cellStyle name="Accent2 4 18" xfId="8051"/>
    <cellStyle name="Accent2 4 2" xfId="8052"/>
    <cellStyle name="Accent2 4 3" xfId="8053"/>
    <cellStyle name="Input [yellow] 2 12 2 4" xfId="8054"/>
    <cellStyle name="Accent2 4 3 2 2" xfId="8055"/>
    <cellStyle name="Input [yellow] 2 12 2 5" xfId="8056"/>
    <cellStyle name="Accent2 4 3 2 3" xfId="8057"/>
    <cellStyle name="计算 3 3 2 6" xfId="8058"/>
    <cellStyle name="Accent2 4 3 3" xfId="8059"/>
    <cellStyle name="输出 3 2 17" xfId="8060"/>
    <cellStyle name="输出 3 2 22" xfId="8061"/>
    <cellStyle name="Accent3 - 40% 3" xfId="8062"/>
    <cellStyle name="Accent2 4 6" xfId="8063"/>
    <cellStyle name="输出 3 2 18" xfId="8064"/>
    <cellStyle name="输出 3 2 23" xfId="8065"/>
    <cellStyle name="Accent3 - 40% 4" xfId="8066"/>
    <cellStyle name="Accent2 4 7" xfId="8067"/>
    <cellStyle name="输出 3 2 19" xfId="8068"/>
    <cellStyle name="输出 3 2 24" xfId="8069"/>
    <cellStyle name="Accent3 - 40% 5" xfId="8070"/>
    <cellStyle name="Accent2 4 8" xfId="8071"/>
    <cellStyle name="输出 3 2 25" xfId="8072"/>
    <cellStyle name="Accent3 - 40% 6" xfId="8073"/>
    <cellStyle name="Accent2 4 9" xfId="8074"/>
    <cellStyle name="Accent2 5 10" xfId="8075"/>
    <cellStyle name="Accent2 5 11" xfId="8076"/>
    <cellStyle name="Accent2 5 12" xfId="8077"/>
    <cellStyle name="Accent2 5 13" xfId="8078"/>
    <cellStyle name="Accent2 5 14" xfId="8079"/>
    <cellStyle name="PSHeading 4 2 2" xfId="8080"/>
    <cellStyle name="Accent2 5 15" xfId="8081"/>
    <cellStyle name="PSHeading 4 2 3" xfId="8082"/>
    <cellStyle name="Accent2 5 16" xfId="8083"/>
    <cellStyle name="PSHeading 4 2 4" xfId="8084"/>
    <cellStyle name="Accent2 5 17" xfId="8085"/>
    <cellStyle name="PSHeading 4 2 5" xfId="8086"/>
    <cellStyle name="Accent2 5 18" xfId="8087"/>
    <cellStyle name="Accent2 5 2" xfId="8088"/>
    <cellStyle name="Accent2 5 3" xfId="8089"/>
    <cellStyle name="差 4 15" xfId="8090"/>
    <cellStyle name="Accent2 5 3 2 2" xfId="8091"/>
    <cellStyle name="差 4 16" xfId="8092"/>
    <cellStyle name="Accent2 5 3 2 3" xfId="8093"/>
    <cellStyle name="计算 3 4 2 6" xfId="8094"/>
    <cellStyle name="输出 3 2 6 7" xfId="8095"/>
    <cellStyle name="输入 2 3 5 3 2" xfId="8096"/>
    <cellStyle name="Accent2 5 3 3" xfId="8097"/>
    <cellStyle name="Accent2 5 4" xfId="8098"/>
    <cellStyle name="origAmountDrD 13 2 10" xfId="8099"/>
    <cellStyle name="Accent2 5 5" xfId="8100"/>
    <cellStyle name="origAmountDrD 13 2 11" xfId="8101"/>
    <cellStyle name="Accent2 5 6" xfId="8102"/>
    <cellStyle name="origAmountDrD 13 2 12" xfId="8103"/>
    <cellStyle name="Accent2 5 7" xfId="8104"/>
    <cellStyle name="Accent2 5 8" xfId="8105"/>
    <cellStyle name="Accent2 5 9" xfId="8106"/>
    <cellStyle name="计算 3 5 2 5" xfId="8107"/>
    <cellStyle name="Accent2 6 3 2" xfId="8108"/>
    <cellStyle name="常规 46 2 2 9" xfId="8109"/>
    <cellStyle name="常规 51 2 2 9" xfId="8110"/>
    <cellStyle name="计算 3 5 2 6" xfId="8111"/>
    <cellStyle name="Accent2 6 3 3" xfId="8112"/>
    <cellStyle name="Accent4 - 40% 10" xfId="8113"/>
    <cellStyle name="Accent2 6 7" xfId="8114"/>
    <cellStyle name="Accent4 - 40% 11" xfId="8115"/>
    <cellStyle name="Accent2 6 8" xfId="8116"/>
    <cellStyle name="Accent4 - 40% 12" xfId="8117"/>
    <cellStyle name="Accent2 6 9" xfId="8118"/>
    <cellStyle name="Accent2 7" xfId="8119"/>
    <cellStyle name="汇总 2 2 7 2 5" xfId="8120"/>
    <cellStyle name="常规 109 2 2 11" xfId="8121"/>
    <cellStyle name="常规 114 2 2 11" xfId="8122"/>
    <cellStyle name="Accent2 7 10" xfId="8123"/>
    <cellStyle name="汇总 2 2 7 2 6" xfId="8124"/>
    <cellStyle name="常规 109 2 2 12" xfId="8125"/>
    <cellStyle name="常规 114 2 2 12" xfId="8126"/>
    <cellStyle name="Accent2 7 11" xfId="8127"/>
    <cellStyle name="汇总 2 2 7 2 7" xfId="8128"/>
    <cellStyle name="常规 109 2 2 13" xfId="8129"/>
    <cellStyle name="常规 114 2 2 13" xfId="8130"/>
    <cellStyle name="Accent2 7 12" xfId="8131"/>
    <cellStyle name="汇总 2 2 7 2 8" xfId="8132"/>
    <cellStyle name="常规 109 2 2 14" xfId="8133"/>
    <cellStyle name="常规 114 2 2 14" xfId="8134"/>
    <cellStyle name="Accent2 7 13" xfId="8135"/>
    <cellStyle name="标题 4 2 3 5" xfId="8136"/>
    <cellStyle name="Accent2 7 2" xfId="8137"/>
    <cellStyle name="标题 4 2 3 6" xfId="8138"/>
    <cellStyle name="Accent2 7 3" xfId="8139"/>
    <cellStyle name="计算 3 6 2 5" xfId="8140"/>
    <cellStyle name="Accent2 7 3 2" xfId="8141"/>
    <cellStyle name="计算 3 6 2 6" xfId="8142"/>
    <cellStyle name="Accent2 7 3 3" xfId="8143"/>
    <cellStyle name="标题 4 2 3 7" xfId="8144"/>
    <cellStyle name="Accent2 7 4" xfId="8145"/>
    <cellStyle name="标题 4 2 3 8" xfId="8146"/>
    <cellStyle name="Accent2 7 5" xfId="8147"/>
    <cellStyle name="标题 4 2 3 9" xfId="8148"/>
    <cellStyle name="Accent2 7 6" xfId="8149"/>
    <cellStyle name="Accent2 7 7" xfId="8150"/>
    <cellStyle name="Accent2 7 8" xfId="8151"/>
    <cellStyle name="Accent2 8" xfId="8152"/>
    <cellStyle name="输入 3 2 3 2 12" xfId="8153"/>
    <cellStyle name="Accent2 8 10" xfId="8154"/>
    <cellStyle name="Accent2 8 11" xfId="8155"/>
    <cellStyle name="Accent2 8 12" xfId="8156"/>
    <cellStyle name="常规 4 3 3 2" xfId="8157"/>
    <cellStyle name="Accent2 8 13" xfId="8158"/>
    <cellStyle name="常规 4 3 3 3" xfId="8159"/>
    <cellStyle name="Accent2 8 14" xfId="8160"/>
    <cellStyle name="Accent2 8 15" xfId="8161"/>
    <cellStyle name="Accent2 8 16" xfId="8162"/>
    <cellStyle name="Accent2 8 2" xfId="8163"/>
    <cellStyle name="Accent2 8 3" xfId="8164"/>
    <cellStyle name="Accent2 9" xfId="8165"/>
    <cellStyle name="Accent2 9 2" xfId="8166"/>
    <cellStyle name="Accent2 9 3" xfId="8167"/>
    <cellStyle name="常规 10 8" xfId="8168"/>
    <cellStyle name="Accent3 10 12" xfId="8169"/>
    <cellStyle name="Accent3" xfId="8170"/>
    <cellStyle name="编号 13 6" xfId="8171"/>
    <cellStyle name="标题1 3 4" xfId="8172"/>
    <cellStyle name="Accent3 - 20% 2" xfId="8173"/>
    <cellStyle name="Input [yellow] 3 2 3 4" xfId="8174"/>
    <cellStyle name="Accent3 - 20% 2 10" xfId="8175"/>
    <cellStyle name="Input [yellow] 3 2 3 5" xfId="8176"/>
    <cellStyle name="Accent3 - 20% 2 11" xfId="8177"/>
    <cellStyle name="Input [yellow] 3 2 3 6" xfId="8178"/>
    <cellStyle name="Accent3 - 20% 2 12" xfId="8179"/>
    <cellStyle name="Input [yellow] 3 2 3 7" xfId="8180"/>
    <cellStyle name="PSChar 2" xfId="8181"/>
    <cellStyle name="Accent3 - 20% 2 13" xfId="8182"/>
    <cellStyle name="Input [yellow] 3 2 3 8" xfId="8183"/>
    <cellStyle name="Accent3 - 20% 2 14" xfId="8184"/>
    <cellStyle name="Input [yellow] 12 2" xfId="8185"/>
    <cellStyle name="Input [yellow] 3 2 3 9" xfId="8186"/>
    <cellStyle name="Accent3 - 20% 2 15" xfId="8187"/>
    <cellStyle name="Input [yellow] 12 3" xfId="8188"/>
    <cellStyle name="Accent3 - 20% 2 16" xfId="8189"/>
    <cellStyle name="输出 2 2 19" xfId="8190"/>
    <cellStyle name="输出 2 2 24" xfId="8191"/>
    <cellStyle name="Accent3 - 40% 3 3 2" xfId="8192"/>
    <cellStyle name="Accent3 - 20% 2 17" xfId="8193"/>
    <cellStyle name="Input [yellow] 12 4" xfId="8194"/>
    <cellStyle name="Accent3 - 40% 3 3 3" xfId="8195"/>
    <cellStyle name="输出 2 2 30" xfId="8196"/>
    <cellStyle name="输出 2 2 25" xfId="8197"/>
    <cellStyle name="Accent3 - 20% 2 18" xfId="8198"/>
    <cellStyle name="Input [yellow] 3 7 2" xfId="8199"/>
    <cellStyle name="Input [yellow] 12 5" xfId="8200"/>
    <cellStyle name="Accent3 - 20% 2 19" xfId="8201"/>
    <cellStyle name="Input [yellow] 3 7 3" xfId="8202"/>
    <cellStyle name="Input [yellow] 12 6" xfId="8203"/>
    <cellStyle name="Accent3 - 20% 2 2 10" xfId="8204"/>
    <cellStyle name="标题 6 2 16" xfId="8205"/>
    <cellStyle name="计算 3 7 17" xfId="8206"/>
    <cellStyle name="origAmountCrD 8 2 2 2 2" xfId="8207"/>
    <cellStyle name="编号 3 2" xfId="8208"/>
    <cellStyle name="Accent3 - 20% 2 2 13" xfId="8209"/>
    <cellStyle name="Accent3 - 20% 2 2 14" xfId="8210"/>
    <cellStyle name="Accent3 - 20% 2 4 2" xfId="8211"/>
    <cellStyle name="Header2 2 10 3" xfId="8212"/>
    <cellStyle name="标题 3 3 3 9" xfId="8213"/>
    <cellStyle name="输出 2 6 2 5" xfId="8214"/>
    <cellStyle name="Accent3 - 20% 2 4 2 3" xfId="8215"/>
    <cellStyle name="Accent3 - 20% 2 4 3" xfId="8216"/>
    <cellStyle name="Header2 2 10 4" xfId="8217"/>
    <cellStyle name="Accent3 - 20% 3" xfId="8218"/>
    <cellStyle name="标题1 3 5" xfId="8219"/>
    <cellStyle name="编号 13 7" xfId="8220"/>
    <cellStyle name="Accent3 - 20% 3 12" xfId="8221"/>
    <cellStyle name="Input [yellow] 3 11 6" xfId="8222"/>
    <cellStyle name="Accent3 - 20% 3 13" xfId="8223"/>
    <cellStyle name="Input [yellow] 3 11 7" xfId="8224"/>
    <cellStyle name="Accent3 - 20% 3 14" xfId="8225"/>
    <cellStyle name="Input [yellow] 3 11 8" xfId="8226"/>
    <cellStyle name="Accent3 - 20% 3 15" xfId="8227"/>
    <cellStyle name="Input [yellow] 3 11 9" xfId="8228"/>
    <cellStyle name="Input [yellow] 17 2" xfId="8229"/>
    <cellStyle name="Accent3 - 20% 3 16" xfId="8230"/>
    <cellStyle name="Accent3 - 20% 3 17" xfId="8231"/>
    <cellStyle name="Accent3 - 20% 3 2" xfId="8232"/>
    <cellStyle name="Accent3 - 20% 3 3" xfId="8233"/>
    <cellStyle name="输出 3 5 2 4" xfId="8234"/>
    <cellStyle name="Accent3 - 20% 3 3 2 2" xfId="8235"/>
    <cellStyle name="输出 3 5 2 5" xfId="8236"/>
    <cellStyle name="Accent3 - 20% 3 3 2 3" xfId="8237"/>
    <cellStyle name="Accent3 - 20% 3 4" xfId="8238"/>
    <cellStyle name="Accent3 - 20% 3 5" xfId="8239"/>
    <cellStyle name="Accent3 - 20% 3 8" xfId="8240"/>
    <cellStyle name="Accent5 - 40% 3 4" xfId="8241"/>
    <cellStyle name="Accent3 - 20% 3 9" xfId="8242"/>
    <cellStyle name="Accent5 - 40% 3 5" xfId="8243"/>
    <cellStyle name="Accent3 - 20% 4" xfId="8244"/>
    <cellStyle name="标题1 3 6" xfId="8245"/>
    <cellStyle name="编号 13 8" xfId="8246"/>
    <cellStyle name="常规 64 2 2 3 2 2" xfId="8247"/>
    <cellStyle name="常规 59 2 2 3 2 2" xfId="8248"/>
    <cellStyle name="Accent3 - 20% 5" xfId="8249"/>
    <cellStyle name="标题1 3 7" xfId="8250"/>
    <cellStyle name="常规 64 2 2 3 2 3" xfId="8251"/>
    <cellStyle name="常规 59 2 2 3 2 3" xfId="8252"/>
    <cellStyle name="好_Book1 2 2 2" xfId="8253"/>
    <cellStyle name="编号 13 9" xfId="8254"/>
    <cellStyle name="Accent3 - 20% 5 2 3" xfId="8255"/>
    <cellStyle name="Header2 3 11 12" xfId="8256"/>
    <cellStyle name="Accent3 - 60% 2 4 2 2" xfId="8257"/>
    <cellStyle name="Accent4 12 2" xfId="8258"/>
    <cellStyle name="常规 14 3 16" xfId="8259"/>
    <cellStyle name="Accent3 - 20% 6" xfId="8260"/>
    <cellStyle name="标题1 3 8" xfId="8261"/>
    <cellStyle name="好_Book1 2 2 3" xfId="8262"/>
    <cellStyle name="Accent3 - 60% 2 4 2 3" xfId="8263"/>
    <cellStyle name="Accent4 12 3" xfId="8264"/>
    <cellStyle name="常规 14 3 17" xfId="8265"/>
    <cellStyle name="Accent3 - 20% 7" xfId="8266"/>
    <cellStyle name="标题1 3 9" xfId="8267"/>
    <cellStyle name="常规 7 2 3 2 2" xfId="8268"/>
    <cellStyle name="好_Book1 2 2 4" xfId="8269"/>
    <cellStyle name="Accent3 - 20% 9" xfId="8270"/>
    <cellStyle name="好_Book1 2 2 6" xfId="8271"/>
    <cellStyle name="Accent3 - 40% 10" xfId="8272"/>
    <cellStyle name="输出 3 2 5 5" xfId="8273"/>
    <cellStyle name="Accent3 - 40% 11" xfId="8274"/>
    <cellStyle name="输出 3 2 5 6" xfId="8275"/>
    <cellStyle name="Accent3 - 40% 2 10" xfId="8276"/>
    <cellStyle name="Accent3 - 40% 2 11" xfId="8277"/>
    <cellStyle name="Accent3 - 40% 2 12" xfId="8278"/>
    <cellStyle name="汇总 3 2 7 2" xfId="8279"/>
    <cellStyle name="Accent3 - 40% 2 13" xfId="8280"/>
    <cellStyle name="汇总 3 2 7 3" xfId="8281"/>
    <cellStyle name="Accent3 - 40% 2 14" xfId="8282"/>
    <cellStyle name="汇总 3 2 7 4" xfId="8283"/>
    <cellStyle name="Accent3 - 40% 2 15" xfId="8284"/>
    <cellStyle name="Linked Cells 10" xfId="8285"/>
    <cellStyle name="汇总 3 2 7 5" xfId="8286"/>
    <cellStyle name="Accent3 - 40% 2 16" xfId="8287"/>
    <cellStyle name="Linked Cells 11" xfId="8288"/>
    <cellStyle name="汇总 3 2 7 6" xfId="8289"/>
    <cellStyle name="Accent3 - 40% 2 17" xfId="8290"/>
    <cellStyle name="Linked Cells 12" xfId="8291"/>
    <cellStyle name="汇总 3 2 7 7" xfId="8292"/>
    <cellStyle name="Accent3 - 40% 2 18" xfId="8293"/>
    <cellStyle name="Linked Cells 13" xfId="8294"/>
    <cellStyle name="汇总 3 2 7 8" xfId="8295"/>
    <cellStyle name="Accent3 - 40% 2 19" xfId="8296"/>
    <cellStyle name="Linked Cells 14" xfId="8297"/>
    <cellStyle name="汇总 3 2 7 9" xfId="8298"/>
    <cellStyle name="Accent3 - 40% 2 2 2" xfId="8299"/>
    <cellStyle name="Accent3 - 40% 2 2 4" xfId="8300"/>
    <cellStyle name="Accent3 - 40% 2 2 5" xfId="8301"/>
    <cellStyle name="Accent3 - 40% 2 2 6" xfId="8302"/>
    <cellStyle name="Accent3 - 40% 2 2 7" xfId="8303"/>
    <cellStyle name="Accent3 - 40% 2 2 8" xfId="8304"/>
    <cellStyle name="Accent3 - 40% 2 2 9" xfId="8305"/>
    <cellStyle name="Accent3 - 40% 2 4 2" xfId="8306"/>
    <cellStyle name="Linked Cells 3 2" xfId="8307"/>
    <cellStyle name="Accent3 - 40% 2 4 2 2" xfId="8308"/>
    <cellStyle name="常规 34 3 12" xfId="8309"/>
    <cellStyle name="常规 29 3 12" xfId="8310"/>
    <cellStyle name="Accent4 7 8" xfId="8311"/>
    <cellStyle name="Input [yellow] 3 2 2 15" xfId="8312"/>
    <cellStyle name="常规 156 2 3" xfId="8313"/>
    <cellStyle name="常规 161 2 3" xfId="8314"/>
    <cellStyle name="origAmountCrD 12 17" xfId="8315"/>
    <cellStyle name="Accent3 - 40% 2 4 2 3" xfId="8316"/>
    <cellStyle name="常规 34 3 13" xfId="8317"/>
    <cellStyle name="常规 29 3 13" xfId="8318"/>
    <cellStyle name="Accent4 7 9" xfId="8319"/>
    <cellStyle name="Input [yellow] 3 2 2 16" xfId="8320"/>
    <cellStyle name="常规 156 2 4" xfId="8321"/>
    <cellStyle name="常规 161 2 4" xfId="8322"/>
    <cellStyle name="origAmountCrD 12 18" xfId="8323"/>
    <cellStyle name="Accent3 - 40% 2 4 3" xfId="8324"/>
    <cellStyle name="Linked Cells 3 3" xfId="8325"/>
    <cellStyle name="Accent3 - 40% 2 6" xfId="8326"/>
    <cellStyle name="Linked Cells 5" xfId="8327"/>
    <cellStyle name="Accent5 - 60% 2 2" xfId="8328"/>
    <cellStyle name="Accent3 - 40% 2 7" xfId="8329"/>
    <cellStyle name="Linked Cells 6" xfId="8330"/>
    <cellStyle name="Accent5 - 60% 2 3" xfId="8331"/>
    <cellStyle name="Accent3 - 40% 2 8" xfId="8332"/>
    <cellStyle name="Linked Cells 7" xfId="8333"/>
    <cellStyle name="Accent5 - 60% 2 4" xfId="8334"/>
    <cellStyle name="Accent3 - 40% 2 9" xfId="8335"/>
    <cellStyle name="Linked Cells 8" xfId="8336"/>
    <cellStyle name="Accent5 - 60% 2 5" xfId="8337"/>
    <cellStyle name="Currency1 2 2 2" xfId="8338"/>
    <cellStyle name="Accent3 - 40% 3 17" xfId="8339"/>
    <cellStyle name="计算 2 2 11 2 6" xfId="8340"/>
    <cellStyle name="Accent3 - 40% 3 3 2 2" xfId="8341"/>
    <cellStyle name="PSChar 2 15" xfId="8342"/>
    <cellStyle name="Accent3 - 40% 3 3 2 3" xfId="8343"/>
    <cellStyle name="PSChar 2 16" xfId="8344"/>
    <cellStyle name="Accent3 - 40% 3 6" xfId="8345"/>
    <cellStyle name="Accent5 - 60% 3 2" xfId="8346"/>
    <cellStyle name="Accent3 - 40% 3 7" xfId="8347"/>
    <cellStyle name="Accent5 - 60% 3 3" xfId="8348"/>
    <cellStyle name="Accent3 - 40% 3 8" xfId="8349"/>
    <cellStyle name="Accent5 - 60% 3 4" xfId="8350"/>
    <cellStyle name="Accent3 - 40% 3 9" xfId="8351"/>
    <cellStyle name="Accent5 - 60% 3 5" xfId="8352"/>
    <cellStyle name="Accent3 - 40% 5 2 3" xfId="8353"/>
    <cellStyle name="origAmountDrD 3 2 9" xfId="8354"/>
    <cellStyle name="Accent3 - 40% 5 3" xfId="8355"/>
    <cellStyle name="计算 2 8 2 12" xfId="8356"/>
    <cellStyle name="常规 96 8" xfId="8357"/>
    <cellStyle name="Accent3 - 40% 7" xfId="8358"/>
    <cellStyle name="输出 3 2 26" xfId="8359"/>
    <cellStyle name="Accent3 - 40% 8" xfId="8360"/>
    <cellStyle name="输出 3 2 27" xfId="8361"/>
    <cellStyle name="Accent3 - 40% 9" xfId="8362"/>
    <cellStyle name="输出 3 2 28" xfId="8363"/>
    <cellStyle name="Accent3 - 60% 10" xfId="8364"/>
    <cellStyle name="常规 101 2 2 8" xfId="8365"/>
    <cellStyle name="Accent3 - 60% 11" xfId="8366"/>
    <cellStyle name="常规 101 2 2 9" xfId="8367"/>
    <cellStyle name="Accent4 13 2" xfId="8368"/>
    <cellStyle name="Accent3 - 60% 12" xfId="8369"/>
    <cellStyle name="Accent4 13 3" xfId="8370"/>
    <cellStyle name="Accent3 - 60% 13" xfId="8371"/>
    <cellStyle name="Accent3 - 60% 2 13" xfId="8372"/>
    <cellStyle name="Input [yellow] 29" xfId="8373"/>
    <cellStyle name="Accent4 5" xfId="8374"/>
    <cellStyle name="Accent3 - 60% 2 2 10" xfId="8375"/>
    <cellStyle name="Input [yellow] 3 8 7" xfId="8376"/>
    <cellStyle name="Accent3 - 60% 2 2 13" xfId="8377"/>
    <cellStyle name="Accent3 - 60% 2 2 14" xfId="8378"/>
    <cellStyle name="Accent3 - 60% 2 2 15" xfId="8379"/>
    <cellStyle name="Accent3 - 60% 2 2 16" xfId="8380"/>
    <cellStyle name="Accent3 - 60% 2 2 17" xfId="8381"/>
    <cellStyle name="Accent3 - 60% 2 2 2" xfId="8382"/>
    <cellStyle name="注释 2 4 12" xfId="8383"/>
    <cellStyle name="Input [yellow] 4 7" xfId="8384"/>
    <cellStyle name="Accent3 - 60% 2 2 3" xfId="8385"/>
    <cellStyle name="注释 2 4 13" xfId="8386"/>
    <cellStyle name="Input [yellow] 4 8" xfId="8387"/>
    <cellStyle name="Accent3 - 60% 2 2 6" xfId="8388"/>
    <cellStyle name="注释 2 4 16" xfId="8389"/>
    <cellStyle name="Accent3 - 60% 2 2 7" xfId="8390"/>
    <cellStyle name="注释 2 4 17" xfId="8391"/>
    <cellStyle name="Accent3 - 60% 2 2 8" xfId="8392"/>
    <cellStyle name="Accent3 - 60% 2 2 9" xfId="8393"/>
    <cellStyle name="Accent3 - 60% 2 4 2" xfId="8394"/>
    <cellStyle name="Input [yellow] 6 7" xfId="8395"/>
    <cellStyle name="Accent4 12" xfId="8396"/>
    <cellStyle name="Accent3 - 60% 2 4 3" xfId="8397"/>
    <cellStyle name="Input [yellow] 6 8" xfId="8398"/>
    <cellStyle name="Accent4 13" xfId="8399"/>
    <cellStyle name="Accent3 - 60% 2 6" xfId="8400"/>
    <cellStyle name="常规 102 2 17" xfId="8401"/>
    <cellStyle name="Accent3 - 60% 3 10" xfId="8402"/>
    <cellStyle name="注释 3 2 2 2 6" xfId="8403"/>
    <cellStyle name="Accent3 - 60% 3 11" xfId="8404"/>
    <cellStyle name="注释 3 2 2 2 7" xfId="8405"/>
    <cellStyle name="Accent3 - 60% 3 12" xfId="8406"/>
    <cellStyle name="注释 3 2 2 2 8" xfId="8407"/>
    <cellStyle name="Accent3 - 60% 3 13" xfId="8408"/>
    <cellStyle name="注释 3 2 2 2 9" xfId="8409"/>
    <cellStyle name="Accent3 - 60% 3 3 2" xfId="8410"/>
    <cellStyle name="Accent3 - 60% 3 3 2 2" xfId="8411"/>
    <cellStyle name="Header2 2 10 9" xfId="8412"/>
    <cellStyle name="Accent3 - 60% 3 3 2 3" xfId="8413"/>
    <cellStyle name="Accent3 - 60% 3 6" xfId="8414"/>
    <cellStyle name="Accent3 - 60% 3 7" xfId="8415"/>
    <cellStyle name="Accent3 - 60% 3 8" xfId="8416"/>
    <cellStyle name="Accent3 - 60% 3 9" xfId="8417"/>
    <cellStyle name="Accent3 - 60% 5 2" xfId="8418"/>
    <cellStyle name="Accent3 - 60% 5 2 2" xfId="8419"/>
    <cellStyle name="Accent3 - 60% 5 2 3" xfId="8420"/>
    <cellStyle name="Accent3 - 60% 5 3" xfId="8421"/>
    <cellStyle name="Accent4 - 40% 2 2 11" xfId="8422"/>
    <cellStyle name="Accent3 10" xfId="8423"/>
    <cellStyle name="Accent4" xfId="8424"/>
    <cellStyle name="Input [yellow] 2 12 3 2" xfId="8425"/>
    <cellStyle name="Accent3 10 13" xfId="8426"/>
    <cellStyle name="常规 10 9" xfId="8427"/>
    <cellStyle name="Accent3 10 14" xfId="8428"/>
    <cellStyle name="Accent5" xfId="8429"/>
    <cellStyle name="Accent3 10 15" xfId="8430"/>
    <cellStyle name="Accent6" xfId="8431"/>
    <cellStyle name="Accent3 10 16" xfId="8432"/>
    <cellStyle name="Accent3 10 17" xfId="8433"/>
    <cellStyle name="Accent3 10 18" xfId="8434"/>
    <cellStyle name="Accent3 10 3" xfId="8435"/>
    <cellStyle name="汇总 2 2 11 5" xfId="8436"/>
    <cellStyle name="Accent3 10 4" xfId="8437"/>
    <cellStyle name="汇总 2 2 11 6" xfId="8438"/>
    <cellStyle name="常规 131 2 2 8" xfId="8439"/>
    <cellStyle name="常规 126 2 2 8" xfId="8440"/>
    <cellStyle name="Accent4 13 3 2 2" xfId="8441"/>
    <cellStyle name="输入 3 2 10 2 10" xfId="8442"/>
    <cellStyle name="输出 3 3 3 2 5" xfId="8443"/>
    <cellStyle name="Accent3 10 7" xfId="8444"/>
    <cellStyle name="汇总 2 2 11 9" xfId="8445"/>
    <cellStyle name="常规 131 2 2 9" xfId="8446"/>
    <cellStyle name="常规 126 2 2 9" xfId="8447"/>
    <cellStyle name="Accent4 13 3 2 3" xfId="8448"/>
    <cellStyle name="输入 3 2 10 2 11" xfId="8449"/>
    <cellStyle name="输出 3 3 3 2 6" xfId="8450"/>
    <cellStyle name="Accent3 10 8" xfId="8451"/>
    <cellStyle name="Accent4 - 40% 2 2 12" xfId="8452"/>
    <cellStyle name="Accent3 11" xfId="8453"/>
    <cellStyle name="Accent3 11 2" xfId="8454"/>
    <cellStyle name="汇总 2 2 12 4" xfId="8455"/>
    <cellStyle name="Accent3 11 3" xfId="8456"/>
    <cellStyle name="汇总 2 2 12 5" xfId="8457"/>
    <cellStyle name="Accent3 11 3 2" xfId="8458"/>
    <cellStyle name="Input [yellow] 3 4 2 2 10" xfId="8459"/>
    <cellStyle name="常规 122 7" xfId="8460"/>
    <cellStyle name="常规 117 7" xfId="8461"/>
    <cellStyle name="Accent3 11 3 3" xfId="8462"/>
    <cellStyle name="Input [yellow] 3 4 2 2 11" xfId="8463"/>
    <cellStyle name="常规 122 8" xfId="8464"/>
    <cellStyle name="常规 117 8" xfId="8465"/>
    <cellStyle name="Accent3 11 4" xfId="8466"/>
    <cellStyle name="汇总 2 2 12 6" xfId="8467"/>
    <cellStyle name="Accent3 11 5" xfId="8468"/>
    <cellStyle name="汇总 2 2 12 7" xfId="8469"/>
    <cellStyle name="Accent3 11 6" xfId="8470"/>
    <cellStyle name="汇总 2 2 12 8" xfId="8471"/>
    <cellStyle name="Accent3 11 7" xfId="8472"/>
    <cellStyle name="汇总 2 2 12 9" xfId="8473"/>
    <cellStyle name="Accent3 11 8" xfId="8474"/>
    <cellStyle name="汇总 2 2 4 10" xfId="8475"/>
    <cellStyle name="Accent4 - 40% 2 2 13" xfId="8476"/>
    <cellStyle name="Accent3 12" xfId="8477"/>
    <cellStyle name="Accent3 12 2" xfId="8478"/>
    <cellStyle name="汇总 2 2 13 4" xfId="8479"/>
    <cellStyle name="常规 13 3 16" xfId="8480"/>
    <cellStyle name="注释 2 2 3 5" xfId="8481"/>
    <cellStyle name="Accent3 12 3" xfId="8482"/>
    <cellStyle name="汇总 2 2 13 5" xfId="8483"/>
    <cellStyle name="常规 13 3 17" xfId="8484"/>
    <cellStyle name="注释 2 2 3 6" xfId="8485"/>
    <cellStyle name="Accent4 - 40% 9" xfId="8486"/>
    <cellStyle name="Accent3 12 3 2" xfId="8487"/>
    <cellStyle name="Input [yellow] 15 2 2 12" xfId="8488"/>
    <cellStyle name="常规 172 7" xfId="8489"/>
    <cellStyle name="常规 167 7" xfId="8490"/>
    <cellStyle name="Accent3 12 3 2 2" xfId="8491"/>
    <cellStyle name="Accent3 12 3 2 3" xfId="8492"/>
    <cellStyle name="Accent3 12 3 3" xfId="8493"/>
    <cellStyle name="常规 172 8" xfId="8494"/>
    <cellStyle name="常规 167 8" xfId="8495"/>
    <cellStyle name="Accent3 12 4" xfId="8496"/>
    <cellStyle name="汇总 2 2 13 6" xfId="8497"/>
    <cellStyle name="常规 13 3 18" xfId="8498"/>
    <cellStyle name="注释 2 2 3 7" xfId="8499"/>
    <cellStyle name="Accent3 12 5" xfId="8500"/>
    <cellStyle name="汇总 2 2 13 7" xfId="8501"/>
    <cellStyle name="Accent3 12 6" xfId="8502"/>
    <cellStyle name="汇总 2 2 13 8" xfId="8503"/>
    <cellStyle name="Accent3 12 8" xfId="8504"/>
    <cellStyle name="Accent4 - 40% 2 2 14" xfId="8505"/>
    <cellStyle name="Accent3 13" xfId="8506"/>
    <cellStyle name="Accent3 13 3 3" xfId="8507"/>
    <cellStyle name="Accent5 6 11" xfId="8508"/>
    <cellStyle name="Accent3 13 6" xfId="8509"/>
    <cellStyle name="Accent3 13 7" xfId="8510"/>
    <cellStyle name="Accent3 13 8" xfId="8511"/>
    <cellStyle name="计算 4 10" xfId="8512"/>
    <cellStyle name="Accent3 13 9" xfId="8513"/>
    <cellStyle name="计算 4 11" xfId="8514"/>
    <cellStyle name="Accent4 - 40% 2 2 15" xfId="8515"/>
    <cellStyle name="Accent3 14" xfId="8516"/>
    <cellStyle name="Accent4 - 40% 2 2 16" xfId="8517"/>
    <cellStyle name="origAmountDrD 7 10" xfId="8518"/>
    <cellStyle name="Accent3 15" xfId="8519"/>
    <cellStyle name="Accent3 20" xfId="8520"/>
    <cellStyle name="Accent3 15 2" xfId="8521"/>
    <cellStyle name="Accent3 15 2 2" xfId="8522"/>
    <cellStyle name="常规 41 2 17" xfId="8523"/>
    <cellStyle name="常规 36 2 17" xfId="8524"/>
    <cellStyle name="Accent3 15 2 3" xfId="8525"/>
    <cellStyle name="常规 41 2 18" xfId="8526"/>
    <cellStyle name="常规 36 2 18" xfId="8527"/>
    <cellStyle name="Accent3 15 3" xfId="8528"/>
    <cellStyle name="Accent3 2 19" xfId="8529"/>
    <cellStyle name="Accent3 2 2" xfId="8530"/>
    <cellStyle name="Accent3 2 2 3 2 3" xfId="8531"/>
    <cellStyle name="Accent3 2 3" xfId="8532"/>
    <cellStyle name="Accent3 2 4" xfId="8533"/>
    <cellStyle name="Accent3 2 4 2" xfId="8534"/>
    <cellStyle name="汇总 2 2 3 4" xfId="8535"/>
    <cellStyle name="Accent3 2 4 2 2" xfId="8536"/>
    <cellStyle name="Accent3 2 4 2 3" xfId="8537"/>
    <cellStyle name="Accent3 2 4 3" xfId="8538"/>
    <cellStyle name="汇总 2 2 3 5" xfId="8539"/>
    <cellStyle name="Accent3 2 5" xfId="8540"/>
    <cellStyle name="Accent3 2 6" xfId="8541"/>
    <cellStyle name="Accent3 2 7" xfId="8542"/>
    <cellStyle name="Accent3 3 14" xfId="8543"/>
    <cellStyle name="常规 102 3 3" xfId="8544"/>
    <cellStyle name="Accent3 3 15" xfId="8545"/>
    <cellStyle name="常规 102 3 4" xfId="8546"/>
    <cellStyle name="Accent3 3 18" xfId="8547"/>
    <cellStyle name="常规 102 3 7" xfId="8548"/>
    <cellStyle name="Accent3 3 2 16" xfId="8549"/>
    <cellStyle name="Accent6 3 2" xfId="8550"/>
    <cellStyle name="Accent3 3 2 17" xfId="8551"/>
    <cellStyle name="Accent6 3 3" xfId="8552"/>
    <cellStyle name="Accent3 3 2 18" xfId="8553"/>
    <cellStyle name="Accent6 3 4" xfId="8554"/>
    <cellStyle name="Accent3 3 2 3 2 2" xfId="8555"/>
    <cellStyle name="Accent3 3 2 3 2 3" xfId="8556"/>
    <cellStyle name="Accent3 3 3" xfId="8557"/>
    <cellStyle name="Accent3 3 4" xfId="8558"/>
    <cellStyle name="Input [yellow] 4 2 2 2 2" xfId="8559"/>
    <cellStyle name="Accent3 3 4 2 2" xfId="8560"/>
    <cellStyle name="Accent3 3 4 2 3" xfId="8561"/>
    <cellStyle name="计算 3 3 4 2 10" xfId="8562"/>
    <cellStyle name="Accent3 3 5" xfId="8563"/>
    <cellStyle name="Input [yellow] 4 2 2 2 3" xfId="8564"/>
    <cellStyle name="Accent3 3 6" xfId="8565"/>
    <cellStyle name="Input [yellow] 4 2 2 2 4" xfId="8566"/>
    <cellStyle name="Accent3 3 7" xfId="8567"/>
    <cellStyle name="Input [yellow] 4 2 2 2 5" xfId="8568"/>
    <cellStyle name="Accent3 3 8" xfId="8569"/>
    <cellStyle name="Input [yellow] 4 2 2 2 6" xfId="8570"/>
    <cellStyle name="Accent3 3 9" xfId="8571"/>
    <cellStyle name="Input [yellow] 4 2 2 2 7" xfId="8572"/>
    <cellStyle name="Accent3 4 18" xfId="8573"/>
    <cellStyle name="Accent3 4 2" xfId="8574"/>
    <cellStyle name="origAmountDrD 2 4 15" xfId="8575"/>
    <cellStyle name="Accent3 4 3 2" xfId="8576"/>
    <cellStyle name="汇总 2 4 2 4" xfId="8577"/>
    <cellStyle name="Accent3 4 3 3" xfId="8578"/>
    <cellStyle name="汇总 2 4 2 5" xfId="8579"/>
    <cellStyle name="Accent3 4 6" xfId="8580"/>
    <cellStyle name="Accent3 4 7" xfId="8581"/>
    <cellStyle name="Accent3 4 8" xfId="8582"/>
    <cellStyle name="Accent3 4 9" xfId="8583"/>
    <cellStyle name="Accent3 5 10" xfId="8584"/>
    <cellStyle name="Accent3 5 11" xfId="8585"/>
    <cellStyle name="Accent3 5 16" xfId="8586"/>
    <cellStyle name="Accent6 11 3 2 2" xfId="8587"/>
    <cellStyle name="Accent3 5 3 2 2" xfId="8588"/>
    <cellStyle name="Accent3 5 3 2 3" xfId="8589"/>
    <cellStyle name="Accent3 6 11" xfId="8590"/>
    <cellStyle name="Accent3 6 12" xfId="8591"/>
    <cellStyle name="Accent3 6 13" xfId="8592"/>
    <cellStyle name="Accent3 6 14" xfId="8593"/>
    <cellStyle name="常规 53 2 2" xfId="8594"/>
    <cellStyle name="常规 48 2 2" xfId="8595"/>
    <cellStyle name="Accent3 6 15" xfId="8596"/>
    <cellStyle name="常规 53 2 3" xfId="8597"/>
    <cellStyle name="常规 48 2 3" xfId="8598"/>
    <cellStyle name="Accent3 6 16" xfId="8599"/>
    <cellStyle name="常规 53 2 4" xfId="8600"/>
    <cellStyle name="常规 48 2 4" xfId="8601"/>
    <cellStyle name="常规 84 2 2 2" xfId="8602"/>
    <cellStyle name="常规 79 2 2 2" xfId="8603"/>
    <cellStyle name="Accent3 6 2" xfId="8604"/>
    <cellStyle name="标题 4 3 2 5" xfId="8605"/>
    <cellStyle name="计算 2 8 16" xfId="8606"/>
    <cellStyle name="Accent3 6 3" xfId="8607"/>
    <cellStyle name="标题 4 3 2 6" xfId="8608"/>
    <cellStyle name="计算 2 8 17" xfId="8609"/>
    <cellStyle name="常规 52 2 2 9" xfId="8610"/>
    <cellStyle name="常规 47 2 2 9" xfId="8611"/>
    <cellStyle name="Accent3 6 3 2" xfId="8612"/>
    <cellStyle name="汇总 2 6 2 4" xfId="8613"/>
    <cellStyle name="Accent3 6 3 2 2" xfId="8614"/>
    <cellStyle name="表标题 3" xfId="8615"/>
    <cellStyle name="表标题 4" xfId="8616"/>
    <cellStyle name="常规 154 10" xfId="8617"/>
    <cellStyle name="常规 149 10" xfId="8618"/>
    <cellStyle name="Accent3 6 3 2 3" xfId="8619"/>
    <cellStyle name="Accent3 6 4" xfId="8620"/>
    <cellStyle name="标题 4 3 2 7" xfId="8621"/>
    <cellStyle name="Accent3 6 5" xfId="8622"/>
    <cellStyle name="标题 4 3 2 8" xfId="8623"/>
    <cellStyle name="origAmountDrD 11 2 2 2 2" xfId="8624"/>
    <cellStyle name="Accent3 6 6" xfId="8625"/>
    <cellStyle name="标题 4 3 2 9" xfId="8626"/>
    <cellStyle name="Accent3 7 13" xfId="8627"/>
    <cellStyle name="计算 2 10 5" xfId="8628"/>
    <cellStyle name="Accent3 7 14" xfId="8629"/>
    <cellStyle name="计算 2 10 6" xfId="8630"/>
    <cellStyle name="Accent3 7 15" xfId="8631"/>
    <cellStyle name="计算 2 10 7" xfId="8632"/>
    <cellStyle name="origAmountCrD 2 4 2" xfId="8633"/>
    <cellStyle name="Accent3 7 16" xfId="8634"/>
    <cellStyle name="计算 2 10 8" xfId="8635"/>
    <cellStyle name="origAmountCrD 2 4 3" xfId="8636"/>
    <cellStyle name="Input [yellow] 8 2 10" xfId="8637"/>
    <cellStyle name="Accent3 7 2" xfId="8638"/>
    <cellStyle name="Accent3 7 3" xfId="8639"/>
    <cellStyle name="Accent3 7 3 2" xfId="8640"/>
    <cellStyle name="汇总 2 7 2 4" xfId="8641"/>
    <cellStyle name="Input [yellow] 3 10 2 2 3" xfId="8642"/>
    <cellStyle name="Input [yellow] 16 2 6" xfId="8643"/>
    <cellStyle name="编号 11 17" xfId="8644"/>
    <cellStyle name="常规 42 23" xfId="8645"/>
    <cellStyle name="常规 42 18" xfId="8646"/>
    <cellStyle name="常规 37 23" xfId="8647"/>
    <cellStyle name="常规 37 18" xfId="8648"/>
    <cellStyle name="Accent3 7 3 2 2" xfId="8649"/>
    <cellStyle name="Input [yellow] 3 10 2 2 4" xfId="8650"/>
    <cellStyle name="Input [yellow] 16 2 7" xfId="8651"/>
    <cellStyle name="常规 42 19" xfId="8652"/>
    <cellStyle name="常规 37 19" xfId="8653"/>
    <cellStyle name="Accent3 7 3 2 3" xfId="8654"/>
    <cellStyle name="Accent3 7 3 3" xfId="8655"/>
    <cellStyle name="汇总 2 7 2 5" xfId="8656"/>
    <cellStyle name="Accent3 7 4" xfId="8657"/>
    <cellStyle name="Accent3 7 5" xfId="8658"/>
    <cellStyle name="Accent3 7 6" xfId="8659"/>
    <cellStyle name="Accent3 7 7" xfId="8660"/>
    <cellStyle name="Accent3 8 18" xfId="8661"/>
    <cellStyle name="常规 103 3 7" xfId="8662"/>
    <cellStyle name="Accent3 8 2" xfId="8663"/>
    <cellStyle name="New Times Roman 2 13" xfId="8664"/>
    <cellStyle name="Accent3 8 3" xfId="8665"/>
    <cellStyle name="New Times Roman 2 14" xfId="8666"/>
    <cellStyle name="Accent3 8 3 2 2" xfId="8667"/>
    <cellStyle name="Input [yellow] 3 11 2 2 3" xfId="8668"/>
    <cellStyle name="no dec 2 9" xfId="8669"/>
    <cellStyle name="Accent5 2 12" xfId="8670"/>
    <cellStyle name="Accent3 8 3 2 3" xfId="8671"/>
    <cellStyle name="Input [yellow] 3 11 2 2 4" xfId="8672"/>
    <cellStyle name="常规 26 10" xfId="8673"/>
    <cellStyle name="常规 31 10" xfId="8674"/>
    <cellStyle name="Accent5 2 13" xfId="8675"/>
    <cellStyle name="Accent3 8 4" xfId="8676"/>
    <cellStyle name="New Times Roman 2 15" xfId="8677"/>
    <cellStyle name="Accent3 8 5" xfId="8678"/>
    <cellStyle name="New Times Roman 2 16" xfId="8679"/>
    <cellStyle name="Accent3 8 6" xfId="8680"/>
    <cellStyle name="New Times Roman 2 17" xfId="8681"/>
    <cellStyle name="Accent3 8 7" xfId="8682"/>
    <cellStyle name="Accent3 8 8" xfId="8683"/>
    <cellStyle name="Accent3 8 9" xfId="8684"/>
    <cellStyle name="Accent3 9 10" xfId="8685"/>
    <cellStyle name="Accent3 9 11" xfId="8686"/>
    <cellStyle name="Accent3 9 12" xfId="8687"/>
    <cellStyle name="Accent3 9 13" xfId="8688"/>
    <cellStyle name="Accent3 9 14" xfId="8689"/>
    <cellStyle name="Accent3 9 16" xfId="8690"/>
    <cellStyle name="Accent3 9 17" xfId="8691"/>
    <cellStyle name="Accent3 9 18" xfId="8692"/>
    <cellStyle name="Accent3 9 2" xfId="8693"/>
    <cellStyle name="Accent3 9 3" xfId="8694"/>
    <cellStyle name="Accent3 9 3 2 3" xfId="8695"/>
    <cellStyle name="Input [yellow] 3 12 2 2 4" xfId="8696"/>
    <cellStyle name="Accent3 9 6" xfId="8697"/>
    <cellStyle name="Accent3 9 7" xfId="8698"/>
    <cellStyle name="Accent3 9 8" xfId="8699"/>
    <cellStyle name="Accent3 9 9" xfId="8700"/>
    <cellStyle name="Accent4 - 20%" xfId="8701"/>
    <cellStyle name="Accent4 - 20% 11" xfId="8702"/>
    <cellStyle name="Accent4 - 20% 12" xfId="8703"/>
    <cellStyle name="Accent4 - 20% 13" xfId="8704"/>
    <cellStyle name="Accent4 - 20% 14" xfId="8705"/>
    <cellStyle name="Accent4 - 20% 20" xfId="8706"/>
    <cellStyle name="Accent4 - 20% 15" xfId="8707"/>
    <cellStyle name="Accent4 - 20% 21" xfId="8708"/>
    <cellStyle name="Accent4 - 20% 16" xfId="8709"/>
    <cellStyle name="Accent4 - 20% 22" xfId="8710"/>
    <cellStyle name="Accent4 - 20% 17" xfId="8711"/>
    <cellStyle name="汇总 2 9 10" xfId="8712"/>
    <cellStyle name="Accent4 - 20% 23" xfId="8713"/>
    <cellStyle name="Accent4 - 20% 18" xfId="8714"/>
    <cellStyle name="汇总 2 9 11" xfId="8715"/>
    <cellStyle name="Accent4 - 20% 19" xfId="8716"/>
    <cellStyle name="汇总 2 9 12" xfId="8717"/>
    <cellStyle name="Accent4 - 20% 2" xfId="8718"/>
    <cellStyle name="origAmountDrD 5 2 3 3" xfId="8719"/>
    <cellStyle name="Accent4 - 20% 2 16" xfId="8720"/>
    <cellStyle name="常规 141 2 12" xfId="8721"/>
    <cellStyle name="常规 136 2 12" xfId="8722"/>
    <cellStyle name="常规 141 2 13" xfId="8723"/>
    <cellStyle name="常规 136 2 13" xfId="8724"/>
    <cellStyle name="汇总 2 2 12 2 10" xfId="8725"/>
    <cellStyle name="Accent4 - 20% 2 17" xfId="8726"/>
    <cellStyle name="Header2 3 5 3" xfId="8727"/>
    <cellStyle name="输出 3 6" xfId="8728"/>
    <cellStyle name="Accent4 - 20% 2 2" xfId="8729"/>
    <cellStyle name="Input [yellow] 2 9 2 3 3" xfId="8730"/>
    <cellStyle name="输出 3 6 10" xfId="8731"/>
    <cellStyle name="Accent4 - 20% 2 2 10" xfId="8732"/>
    <cellStyle name="origAmountDrD 2 3 12" xfId="8733"/>
    <cellStyle name="输出 3 6 12" xfId="8734"/>
    <cellStyle name="Accent4 - 20% 2 2 12" xfId="8735"/>
    <cellStyle name="origAmountDrD 2 3 14" xfId="8736"/>
    <cellStyle name="输出 3 6 13" xfId="8737"/>
    <cellStyle name="Accent4 - 20% 2 2 13" xfId="8738"/>
    <cellStyle name="origAmountDrD 2 3 15" xfId="8739"/>
    <cellStyle name="origAmountDrD 2 3 20" xfId="8740"/>
    <cellStyle name="输出 3 6 14" xfId="8741"/>
    <cellStyle name="Accent4 - 20% 2 2 14" xfId="8742"/>
    <cellStyle name="origAmountDrD 2 3 16" xfId="8743"/>
    <cellStyle name="origAmountDrD 2 3 21" xfId="8744"/>
    <cellStyle name="输出 3 6 20" xfId="8745"/>
    <cellStyle name="输出 3 6 15" xfId="8746"/>
    <cellStyle name="Accent4 - 20% 2 2 15" xfId="8747"/>
    <cellStyle name="origAmountDrD 2 3 17" xfId="8748"/>
    <cellStyle name="输出 3 6 21" xfId="8749"/>
    <cellStyle name="输出 3 6 16" xfId="8750"/>
    <cellStyle name="Accent4 - 20% 2 2 16" xfId="8751"/>
    <cellStyle name="origAmountDrD 2 3 18" xfId="8752"/>
    <cellStyle name="输出 3 6 17" xfId="8753"/>
    <cellStyle name="Accent4 - 20% 2 2 17" xfId="8754"/>
    <cellStyle name="origAmountDrD 2 3 19" xfId="8755"/>
    <cellStyle name="输出 3 6 18" xfId="8756"/>
    <cellStyle name="Accent4 - 20% 2 2 18" xfId="8757"/>
    <cellStyle name="输出 3 6 2" xfId="8758"/>
    <cellStyle name="Accent4 - 20% 2 2 2" xfId="8759"/>
    <cellStyle name="输出 3 6 3" xfId="8760"/>
    <cellStyle name="Accent4 - 20% 2 2 3" xfId="8761"/>
    <cellStyle name="输出 3 6 3 2" xfId="8762"/>
    <cellStyle name="Accent4 - 20% 2 2 3 2" xfId="8763"/>
    <cellStyle name="常规 134 2 2 5" xfId="8764"/>
    <cellStyle name="常规 129 2 2 5" xfId="8765"/>
    <cellStyle name="输出 3 6 3 2 2" xfId="8766"/>
    <cellStyle name="Accent4 - 20% 2 2 3 2 2" xfId="8767"/>
    <cellStyle name="常规 134 2 2 6" xfId="8768"/>
    <cellStyle name="常规 129 2 2 6" xfId="8769"/>
    <cellStyle name="输出 3 6 3 2 3" xfId="8770"/>
    <cellStyle name="Accent4 - 20% 2 2 3 2 3" xfId="8771"/>
    <cellStyle name="输出 3 6 3 3" xfId="8772"/>
    <cellStyle name="Accent4 - 20% 2 2 3 3" xfId="8773"/>
    <cellStyle name="常规 3 5 2" xfId="8774"/>
    <cellStyle name="常规 110 3 10" xfId="8775"/>
    <cellStyle name="常规 105 3 10" xfId="8776"/>
    <cellStyle name="输出 3 6 4" xfId="8777"/>
    <cellStyle name="Accent4 - 20% 2 2 4" xfId="8778"/>
    <cellStyle name="常规 3 5 3" xfId="8779"/>
    <cellStyle name="常规 110 3 11" xfId="8780"/>
    <cellStyle name="常规 105 3 11" xfId="8781"/>
    <cellStyle name="输出 3 6 5" xfId="8782"/>
    <cellStyle name="Accent4 - 20% 2 2 5" xfId="8783"/>
    <cellStyle name="常规 110 3 12" xfId="8784"/>
    <cellStyle name="常规 105 3 12" xfId="8785"/>
    <cellStyle name="输出 3 6 6" xfId="8786"/>
    <cellStyle name="Accent4 - 20% 2 2 6" xfId="8787"/>
    <cellStyle name="常规 110 3 13" xfId="8788"/>
    <cellStyle name="常规 105 3 13" xfId="8789"/>
    <cellStyle name="输出 3 6 7" xfId="8790"/>
    <cellStyle name="Accent4 - 20% 2 2 7" xfId="8791"/>
    <cellStyle name="Header2 3 5 4" xfId="8792"/>
    <cellStyle name="输出 3 7" xfId="8793"/>
    <cellStyle name="Accent4 - 20% 2 3" xfId="8794"/>
    <cellStyle name="Header2 3 5 5" xfId="8795"/>
    <cellStyle name="输出 3 8" xfId="8796"/>
    <cellStyle name="Accent4 - 20% 2 4" xfId="8797"/>
    <cellStyle name="New Times Roman 2 7" xfId="8798"/>
    <cellStyle name="常规 32 2 2 5" xfId="8799"/>
    <cellStyle name="常规 27 2 2 5" xfId="8800"/>
    <cellStyle name="输出 3 8 2" xfId="8801"/>
    <cellStyle name="Accent4 - 20% 2 4 2" xfId="8802"/>
    <cellStyle name="New Times Roman 2 8" xfId="8803"/>
    <cellStyle name="常规 32 2 2 6" xfId="8804"/>
    <cellStyle name="常规 27 2 2 6" xfId="8805"/>
    <cellStyle name="输出 3 8 3" xfId="8806"/>
    <cellStyle name="Accent4 - 20% 2 4 3" xfId="8807"/>
    <cellStyle name="Header2 3 5 6" xfId="8808"/>
    <cellStyle name="输出 3 9" xfId="8809"/>
    <cellStyle name="Accent4 - 20% 2 5" xfId="8810"/>
    <cellStyle name="Accent4 - 20% 2 6" xfId="8811"/>
    <cellStyle name="Header2 3 5 7" xfId="8812"/>
    <cellStyle name="Accent6 - 40% 2 2" xfId="8813"/>
    <cellStyle name="Accent4 - 20% 2 7" xfId="8814"/>
    <cellStyle name="注释 2 3 3 10" xfId="8815"/>
    <cellStyle name="Header2 3 5 8" xfId="8816"/>
    <cellStyle name="Accent6 - 40% 2 3" xfId="8817"/>
    <cellStyle name="Accent4 - 20% 2 8" xfId="8818"/>
    <cellStyle name="注释 2 3 3 11" xfId="8819"/>
    <cellStyle name="Header2 3 5 9" xfId="8820"/>
    <cellStyle name="Accent6 - 40% 2 4" xfId="8821"/>
    <cellStyle name="Accent4 - 20% 2 9" xfId="8822"/>
    <cellStyle name="注释 2 3 3 12" xfId="8823"/>
    <cellStyle name="Accent6 - 40% 2 5" xfId="8824"/>
    <cellStyle name="Accent4 - 20% 3" xfId="8825"/>
    <cellStyle name="Accent4 - 20% 3 10" xfId="8826"/>
    <cellStyle name="Header2 3 6 15" xfId="8827"/>
    <cellStyle name="Accent4 - 20% 3 11" xfId="8828"/>
    <cellStyle name="Header2 3 6 16" xfId="8829"/>
    <cellStyle name="Header1 10" xfId="8830"/>
    <cellStyle name="Accent4 - 20% 3 12" xfId="8831"/>
    <cellStyle name="Header2 3 6 17" xfId="8832"/>
    <cellStyle name="常规 42 2 4 2 2" xfId="8833"/>
    <cellStyle name="Header1 11" xfId="8834"/>
    <cellStyle name="Accent4 - 20% 3 13" xfId="8835"/>
    <cellStyle name="Header2 3 6 18" xfId="8836"/>
    <cellStyle name="常规 75 5 2 2" xfId="8837"/>
    <cellStyle name="常规 80 5 2 2" xfId="8838"/>
    <cellStyle name="常规 42 2 4 2 3" xfId="8839"/>
    <cellStyle name="Header1 12" xfId="8840"/>
    <cellStyle name="Accent4 - 20% 3 14" xfId="8841"/>
    <cellStyle name="常规 141 3 10" xfId="8842"/>
    <cellStyle name="常规 136 3 10" xfId="8843"/>
    <cellStyle name="Header2 3 6 19" xfId="8844"/>
    <cellStyle name="常规 75 5 2 3" xfId="8845"/>
    <cellStyle name="常规 80 5 2 3" xfId="8846"/>
    <cellStyle name="Header1 13" xfId="8847"/>
    <cellStyle name="Accent4 - 20% 3 15" xfId="8848"/>
    <cellStyle name="常规 141 3 11" xfId="8849"/>
    <cellStyle name="常规 136 3 11" xfId="8850"/>
    <cellStyle name="Header1 14" xfId="8851"/>
    <cellStyle name="Accent4 - 20% 3 16" xfId="8852"/>
    <cellStyle name="常规 141 3 12" xfId="8853"/>
    <cellStyle name="常规 136 3 12" xfId="8854"/>
    <cellStyle name="常规 109 2" xfId="8855"/>
    <cellStyle name="常规 114 2" xfId="8856"/>
    <cellStyle name="Header1 15" xfId="8857"/>
    <cellStyle name="Accent4 - 20% 3 17" xfId="8858"/>
    <cellStyle name="常规 141 3 13" xfId="8859"/>
    <cellStyle name="常规 136 3 13" xfId="8860"/>
    <cellStyle name="常规 109 3" xfId="8861"/>
    <cellStyle name="常规 114 3" xfId="8862"/>
    <cellStyle name="Header1 16" xfId="8863"/>
    <cellStyle name="Accent4 - 20% 3 18" xfId="8864"/>
    <cellStyle name="常规 141 3 14" xfId="8865"/>
    <cellStyle name="常规 136 3 14" xfId="8866"/>
    <cellStyle name="常规 109 4" xfId="8867"/>
    <cellStyle name="常规 114 4" xfId="8868"/>
    <cellStyle name="Header1 17" xfId="8869"/>
    <cellStyle name="Header2 3 6 3" xfId="8870"/>
    <cellStyle name="Input [yellow] 2 7 15" xfId="8871"/>
    <cellStyle name="输出 4 6" xfId="8872"/>
    <cellStyle name="Accent4 - 20% 3 2" xfId="8873"/>
    <cellStyle name="Header2 3 6 4" xfId="8874"/>
    <cellStyle name="Input [yellow] 2 7 16" xfId="8875"/>
    <cellStyle name="输出 4 7" xfId="8876"/>
    <cellStyle name="Accent4 - 20% 3 3" xfId="8877"/>
    <cellStyle name="Accent4 - 20% 3 3 2" xfId="8878"/>
    <cellStyle name="Accent4 - 20% 3 3 3" xfId="8879"/>
    <cellStyle name="Header2 3 6 5" xfId="8880"/>
    <cellStyle name="Input [yellow] 2 7 17" xfId="8881"/>
    <cellStyle name="输出 4 8" xfId="8882"/>
    <cellStyle name="Accent4 - 20% 3 4" xfId="8883"/>
    <cellStyle name="Header2 3 6 6" xfId="8884"/>
    <cellStyle name="Input [yellow] 2 7 18" xfId="8885"/>
    <cellStyle name="输出 4 9" xfId="8886"/>
    <cellStyle name="Accent4 - 20% 3 5" xfId="8887"/>
    <cellStyle name="Accent4 - 20% 3 6" xfId="8888"/>
    <cellStyle name="Header2 3 6 7" xfId="8889"/>
    <cellStyle name="Accent6 - 40% 3 2" xfId="8890"/>
    <cellStyle name="Input [yellow] 2 7 19" xfId="8891"/>
    <cellStyle name="Accent4 - 20% 3 7" xfId="8892"/>
    <cellStyle name="Header2 3 6 8" xfId="8893"/>
    <cellStyle name="Accent6 - 40% 3 3" xfId="8894"/>
    <cellStyle name="常规 52 5 2 2" xfId="8895"/>
    <cellStyle name="常规 47 5 2 2" xfId="8896"/>
    <cellStyle name="Accent4 - 20% 3 8" xfId="8897"/>
    <cellStyle name="Header2 3 6 9" xfId="8898"/>
    <cellStyle name="Accent6 - 40% 3 4" xfId="8899"/>
    <cellStyle name="常规 52 5 2 3" xfId="8900"/>
    <cellStyle name="常规 47 5 2 3" xfId="8901"/>
    <cellStyle name="Accent4 - 20% 3 9" xfId="8902"/>
    <cellStyle name="Accent6 - 40% 3 5" xfId="8903"/>
    <cellStyle name="Accent4 - 20% 4" xfId="8904"/>
    <cellStyle name="汇总 3 2 6 10" xfId="8905"/>
    <cellStyle name="Accent4 - 20% 5" xfId="8906"/>
    <cellStyle name="汇总 3 2 6 11" xfId="8907"/>
    <cellStyle name="Accent4 - 20% 5 2" xfId="8908"/>
    <cellStyle name="强调文字颜色 5 2 9" xfId="8909"/>
    <cellStyle name="Header2 3 8 3" xfId="8910"/>
    <cellStyle name="Accent4 - 20% 5 3" xfId="8911"/>
    <cellStyle name="Header2 3 8 4" xfId="8912"/>
    <cellStyle name="Accent4 - 20% 6" xfId="8913"/>
    <cellStyle name="汇总 3 2 6 12" xfId="8914"/>
    <cellStyle name="Accent4 - 20% 7" xfId="8915"/>
    <cellStyle name="常规 8 2 3 2 2" xfId="8916"/>
    <cellStyle name="汇总 3 2 6 13" xfId="8917"/>
    <cellStyle name="Accent4 - 20% 8" xfId="8918"/>
    <cellStyle name="常规 8 2 3 2 3" xfId="8919"/>
    <cellStyle name="汇总 3 2 6 14" xfId="8920"/>
    <cellStyle name="Accent4 - 40% 13" xfId="8921"/>
    <cellStyle name="Accent4 - 40% 14" xfId="8922"/>
    <cellStyle name="Accent4 - 40% 20" xfId="8923"/>
    <cellStyle name="Accent4 - 40% 15" xfId="8924"/>
    <cellStyle name="Accent4 - 40% 21" xfId="8925"/>
    <cellStyle name="Accent4 - 40% 16" xfId="8926"/>
    <cellStyle name="Accent4 - 40% 22" xfId="8927"/>
    <cellStyle name="Accent4 - 40% 17" xfId="8928"/>
    <cellStyle name="Accent4 - 40% 23" xfId="8929"/>
    <cellStyle name="Accent4 - 40% 18" xfId="8930"/>
    <cellStyle name="Accent4 - 40% 19" xfId="8931"/>
    <cellStyle name="Accent4 - 40% 2 10" xfId="8932"/>
    <cellStyle name="表标题 3 9" xfId="8933"/>
    <cellStyle name="Accent4 - 40% 2 11" xfId="8934"/>
    <cellStyle name="Accent4 - 40% 2 12" xfId="8935"/>
    <cellStyle name="Accent4 - 40% 2 13" xfId="8936"/>
    <cellStyle name="Accent4 - 40% 2 14" xfId="8937"/>
    <cellStyle name="Accent4 - 40% 2 15" xfId="8938"/>
    <cellStyle name="Accent4 - 40% 2 2" xfId="8939"/>
    <cellStyle name="计算 2 3 4 7" xfId="8940"/>
    <cellStyle name="Accent4 - 40% 2 2 10" xfId="8941"/>
    <cellStyle name="Accent4 - 40% 2 2 3 2" xfId="8942"/>
    <cellStyle name="Accent4 - 40% 2 2 3 2 2" xfId="8943"/>
    <cellStyle name="Accent4 12 11" xfId="8944"/>
    <cellStyle name="Accent4 - 40% 2 2 3 2 3" xfId="8945"/>
    <cellStyle name="Accent4 12 12" xfId="8946"/>
    <cellStyle name="Accent4 - 40% 2 2 3 3" xfId="8947"/>
    <cellStyle name="3232" xfId="8948"/>
    <cellStyle name="Accent4 - 40% 2 2 6" xfId="8949"/>
    <cellStyle name="Accent4 - 40% 2 2 7" xfId="8950"/>
    <cellStyle name="Accent4 - 40% 2 2 8" xfId="8951"/>
    <cellStyle name="Accent4 - 40% 2 2 9" xfId="8952"/>
    <cellStyle name="输入 2 8 2 10" xfId="8953"/>
    <cellStyle name="Accent4 - 40% 2 3" xfId="8954"/>
    <cellStyle name="计算 2 3 4 8" xfId="8955"/>
    <cellStyle name="Accent4 - 40% 2 4" xfId="8956"/>
    <cellStyle name="计算 2 3 4 9" xfId="8957"/>
    <cellStyle name="Accent4 - 40% 2 4 2 2" xfId="8958"/>
    <cellStyle name="Accent4 - 40% 2 4 2 3" xfId="8959"/>
    <cellStyle name="Accent4 - 40% 2 5" xfId="8960"/>
    <cellStyle name="Accent4 - 40% 2 6" xfId="8961"/>
    <cellStyle name="Accent6 - 60% 2 2" xfId="8962"/>
    <cellStyle name="Accent4 - 40% 2 7" xfId="8963"/>
    <cellStyle name="Accent6 - 60% 2 3" xfId="8964"/>
    <cellStyle name="Accent4 - 40% 2 8" xfId="8965"/>
    <cellStyle name="Accent6 - 60% 2 4" xfId="8966"/>
    <cellStyle name="Accent4 - 40% 2 9" xfId="8967"/>
    <cellStyle name="Accent6 - 60% 2 5" xfId="8968"/>
    <cellStyle name="Accent4 - 40% 3 16" xfId="8969"/>
    <cellStyle name="Accent4 - 40% 3 17" xfId="8970"/>
    <cellStyle name="PSHeading 13 2 2" xfId="8971"/>
    <cellStyle name="Accent4 - 40% 3 18" xfId="8972"/>
    <cellStyle name="Accent5 - 20% 2 2 10" xfId="8973"/>
    <cellStyle name="PSHeading 13 2 3" xfId="8974"/>
    <cellStyle name="常规 152 2 2 4" xfId="8975"/>
    <cellStyle name="常规 147 2 2 4" xfId="8976"/>
    <cellStyle name="Accent4 - 40% 3 3 2" xfId="8977"/>
    <cellStyle name="常规 152 2 2 5" xfId="8978"/>
    <cellStyle name="常规 147 2 2 5" xfId="8979"/>
    <cellStyle name="Accent4 - 40% 3 3 3" xfId="8980"/>
    <cellStyle name="Accent4 - 40% 3 9" xfId="8981"/>
    <cellStyle name="编号 12 2 2" xfId="8982"/>
    <cellStyle name="常规 43 2 7" xfId="8983"/>
    <cellStyle name="常规 38 2 7" xfId="8984"/>
    <cellStyle name="Accent6 - 60% 3 5" xfId="8985"/>
    <cellStyle name="Accent4 - 40% 5" xfId="8986"/>
    <cellStyle name="常规 84 2 16" xfId="8987"/>
    <cellStyle name="常规 79 2 16" xfId="8988"/>
    <cellStyle name="Accent4 - 40% 5 2" xfId="8989"/>
    <cellStyle name="标题 4 3 5" xfId="8990"/>
    <cellStyle name="Accent4 - 40% 5 2 2" xfId="8991"/>
    <cellStyle name="Input [yellow] 2 29" xfId="8992"/>
    <cellStyle name="Accent4 - 40% 5 2 3" xfId="8993"/>
    <cellStyle name="Accent4 - 40% 5 3" xfId="8994"/>
    <cellStyle name="标题 4 3 6" xfId="8995"/>
    <cellStyle name="Accent4 - 40% 6" xfId="8996"/>
    <cellStyle name="常规 84 2 17" xfId="8997"/>
    <cellStyle name="常规 79 2 17" xfId="8998"/>
    <cellStyle name="Accent4 - 40% 7" xfId="8999"/>
    <cellStyle name="常规 84 2 18" xfId="9000"/>
    <cellStyle name="常规 79 2 18" xfId="9001"/>
    <cellStyle name="Accent4 - 40% 8" xfId="9002"/>
    <cellStyle name="常规 84 2 19" xfId="9003"/>
    <cellStyle name="常规 79 2 19" xfId="9004"/>
    <cellStyle name="Accent4 - 60% 14" xfId="9005"/>
    <cellStyle name="Accent4 - 60% 20" xfId="9006"/>
    <cellStyle name="Accent4 - 60% 15" xfId="9007"/>
    <cellStyle name="Accent4 - 60% 21" xfId="9008"/>
    <cellStyle name="Accent4 - 60% 16" xfId="9009"/>
    <cellStyle name="Accent4 - 60% 22" xfId="9010"/>
    <cellStyle name="Accent4 - 60% 17" xfId="9011"/>
    <cellStyle name="Accent4 - 60% 23" xfId="9012"/>
    <cellStyle name="Accent4 - 60% 18" xfId="9013"/>
    <cellStyle name="Accent4 - 60% 19" xfId="9014"/>
    <cellStyle name="Accent5 12 3" xfId="9015"/>
    <cellStyle name="Accent4 - 60% 2 10" xfId="9016"/>
    <cellStyle name="常规 20 3 17" xfId="9017"/>
    <cellStyle name="常规 15 3 17" xfId="9018"/>
    <cellStyle name="Accent5 12 4" xfId="9019"/>
    <cellStyle name="Accent4 - 60% 2 11" xfId="9020"/>
    <cellStyle name="常规 20 3 18" xfId="9021"/>
    <cellStyle name="常规 15 3 18" xfId="9022"/>
    <cellStyle name="Accent4 - 60% 2 2 14" xfId="9023"/>
    <cellStyle name="Header2 2 9 5" xfId="9024"/>
    <cellStyle name="Accent4 - 60% 2 2 2" xfId="9025"/>
    <cellStyle name="汇总 2 8 13" xfId="9026"/>
    <cellStyle name="Accent4 - 60% 2 2 3" xfId="9027"/>
    <cellStyle name="汇总 2 8 14" xfId="9028"/>
    <cellStyle name="Accent4 - 60% 2 2 3 2" xfId="9029"/>
    <cellStyle name="Accent4 - 60% 2 2 3 2 2" xfId="9030"/>
    <cellStyle name="计算 3 9 2 3" xfId="9031"/>
    <cellStyle name="输出 2 2 12 5" xfId="9032"/>
    <cellStyle name="Accent4 - 60% 2 2 3 2 3" xfId="9033"/>
    <cellStyle name="计算 3 9 2 4" xfId="9034"/>
    <cellStyle name="输出 2 2 12 6" xfId="9035"/>
    <cellStyle name="Accent4 - 60% 2 2 3 3" xfId="9036"/>
    <cellStyle name="Accent4 - 60% 2 2 4" xfId="9037"/>
    <cellStyle name="汇总 2 8 20" xfId="9038"/>
    <cellStyle name="汇总 2 8 15" xfId="9039"/>
    <cellStyle name="Accent4 - 60% 2 2 5" xfId="9040"/>
    <cellStyle name="汇总 2 8 21" xfId="9041"/>
    <cellStyle name="汇总 2 8 16" xfId="9042"/>
    <cellStyle name="Accent4 - 60% 2 2 6" xfId="9043"/>
    <cellStyle name="汇总 2 8 17" xfId="9044"/>
    <cellStyle name="Accent4 - 60% 2 2 7" xfId="9045"/>
    <cellStyle name="汇总 2 8 18" xfId="9046"/>
    <cellStyle name="Accent4 - 60% 2 2 8" xfId="9047"/>
    <cellStyle name="汇总 2 8 19" xfId="9048"/>
    <cellStyle name="常规 28 2 2 2" xfId="9049"/>
    <cellStyle name="汇总 3 9 2" xfId="9050"/>
    <cellStyle name="Accent4 - 60% 2 4 2 2" xfId="9051"/>
    <cellStyle name="常规 28 2 2 3" xfId="9052"/>
    <cellStyle name="汇总 3 9 3" xfId="9053"/>
    <cellStyle name="Accent4 - 60% 2 4 2 3" xfId="9054"/>
    <cellStyle name="Accent4 - 60% 2 6" xfId="9055"/>
    <cellStyle name="常规 33 4" xfId="9056"/>
    <cellStyle name="常规 28 4" xfId="9057"/>
    <cellStyle name="Accent4 - 60% 3 10" xfId="9058"/>
    <cellStyle name="origAmountDrD 2 2 3 2 2" xfId="9059"/>
    <cellStyle name="Accent4 - 60% 3 11" xfId="9060"/>
    <cellStyle name="origAmountDrD 2 2 3 2 3" xfId="9061"/>
    <cellStyle name="Accent4 - 60% 3 12" xfId="9062"/>
    <cellStyle name="Accent4 - 60% 3 13" xfId="9063"/>
    <cellStyle name="Accent4 - 60% 3 3 2" xfId="9064"/>
    <cellStyle name="origAmountCrD 10 3" xfId="9065"/>
    <cellStyle name="Accent4 - 60% 3 3 2 2" xfId="9066"/>
    <cellStyle name="Input [yellow] 3 10 17" xfId="9067"/>
    <cellStyle name="origAmountCrD 10 3 2" xfId="9068"/>
    <cellStyle name="常规 157 2 5" xfId="9069"/>
    <cellStyle name="常规 162 2 5" xfId="9070"/>
    <cellStyle name="Accent4 - 60% 3 3 2 3" xfId="9071"/>
    <cellStyle name="Input [yellow] 2 12 2 2 2 2" xfId="9072"/>
    <cellStyle name="origAmountCrD 10 3 3" xfId="9073"/>
    <cellStyle name="常规 157 2 6" xfId="9074"/>
    <cellStyle name="常规 162 2 6" xfId="9075"/>
    <cellStyle name="Accent4 - 60% 3 3 3" xfId="9076"/>
    <cellStyle name="origAmountCrD 10 4" xfId="9077"/>
    <cellStyle name="Accent4 - 60% 5 2 2" xfId="9078"/>
    <cellStyle name="Accent4 - 60% 5 2 3" xfId="9079"/>
    <cellStyle name="Input [yellow] 6 5" xfId="9080"/>
    <cellStyle name="Accent4 10" xfId="9081"/>
    <cellStyle name="Accent4 10 10" xfId="9082"/>
    <cellStyle name="Accent4 10 11" xfId="9083"/>
    <cellStyle name="Accent4 10 12" xfId="9084"/>
    <cellStyle name="Accent4 10 13" xfId="9085"/>
    <cellStyle name="Accent4 10 14" xfId="9086"/>
    <cellStyle name="Accent4 10 15" xfId="9087"/>
    <cellStyle name="输入 2 3 5 3 2 2" xfId="9088"/>
    <cellStyle name="Accent4 10 16" xfId="9089"/>
    <cellStyle name="输入 2 3 5 3 2 3" xfId="9090"/>
    <cellStyle name="Accent4 13 3 2" xfId="9091"/>
    <cellStyle name="Input [yellow] 3 3 2 2 9" xfId="9092"/>
    <cellStyle name="Accent4 10 17" xfId="9093"/>
    <cellStyle name="Accent4 13 3 3" xfId="9094"/>
    <cellStyle name="Accent4 10 18" xfId="9095"/>
    <cellStyle name="Accent4 10 2" xfId="9096"/>
    <cellStyle name="差 4 7" xfId="9097"/>
    <cellStyle name="Accent4 10 3" xfId="9098"/>
    <cellStyle name="差 4 8" xfId="9099"/>
    <cellStyle name="Accent4 10 3 2" xfId="9100"/>
    <cellStyle name="常规 123 2 2 8" xfId="9101"/>
    <cellStyle name="常规 118 2 2 8" xfId="9102"/>
    <cellStyle name="Accent4 10 3 2 2" xfId="9103"/>
    <cellStyle name="常规 123 2 2 9" xfId="9104"/>
    <cellStyle name="常规 118 2 2 9" xfId="9105"/>
    <cellStyle name="Accent4 10 3 2 3" xfId="9106"/>
    <cellStyle name="Accent4 10 3 3" xfId="9107"/>
    <cellStyle name="Input [yellow] 3 7 2 10" xfId="9108"/>
    <cellStyle name="Accent4 10 4" xfId="9109"/>
    <cellStyle name="差 4 9" xfId="9110"/>
    <cellStyle name="Accent4 10 5" xfId="9111"/>
    <cellStyle name="Accent4 10 6" xfId="9112"/>
    <cellStyle name="Accent4 10 7" xfId="9113"/>
    <cellStyle name="Accent4 13 10" xfId="9114"/>
    <cellStyle name="商品名称 12" xfId="9115"/>
    <cellStyle name="origAmountCrD 6 2 2 3" xfId="9116"/>
    <cellStyle name="Accent4 10 8" xfId="9117"/>
    <cellStyle name="origAmountCrD 3 2" xfId="9118"/>
    <cellStyle name="Input [yellow] 6 6" xfId="9119"/>
    <cellStyle name="Accent4 11" xfId="9120"/>
    <cellStyle name="Accent4 11 10" xfId="9121"/>
    <cellStyle name="origAmountCrD 11 5" xfId="9122"/>
    <cellStyle name="Accent4 11 11" xfId="9123"/>
    <cellStyle name="origAmountCrD 11 6" xfId="9124"/>
    <cellStyle name="Accent4 11 12" xfId="9125"/>
    <cellStyle name="origAmountCrD 11 7" xfId="9126"/>
    <cellStyle name="Accent4 11 13" xfId="9127"/>
    <cellStyle name="origAmountCrD 11 8" xfId="9128"/>
    <cellStyle name="Accent4 11 14" xfId="9129"/>
    <cellStyle name="origAmountCrD 11 9" xfId="9130"/>
    <cellStyle name="Accent4 11 15" xfId="9131"/>
    <cellStyle name="Accent4 11 16" xfId="9132"/>
    <cellStyle name="Accent4 11 17" xfId="9133"/>
    <cellStyle name="汇总 2 3 4 3 2" xfId="9134"/>
    <cellStyle name="Accent4 11 18" xfId="9135"/>
    <cellStyle name="汇总 2 3 4 3 3" xfId="9136"/>
    <cellStyle name="Accent5 5 3 2" xfId="9137"/>
    <cellStyle name="Accent4 11 2" xfId="9138"/>
    <cellStyle name="Accent4 11 3" xfId="9139"/>
    <cellStyle name="Accent4 11 3 2" xfId="9140"/>
    <cellStyle name="Input [yellow] 3 5 2 2 10" xfId="9141"/>
    <cellStyle name="Accent4 11 3 3" xfId="9142"/>
    <cellStyle name="Input [yellow] 3 5 2 2 11" xfId="9143"/>
    <cellStyle name="Accent4 11 4" xfId="9144"/>
    <cellStyle name="Accent4 11 5" xfId="9145"/>
    <cellStyle name="Accent4 11 6" xfId="9146"/>
    <cellStyle name="Accent4 11 7" xfId="9147"/>
    <cellStyle name="Accent5 5 3 2 2" xfId="9148"/>
    <cellStyle name="Accent4 11 8" xfId="9149"/>
    <cellStyle name="汇总 2 3 4 10" xfId="9150"/>
    <cellStyle name="Accent5 5 3 2 3" xfId="9151"/>
    <cellStyle name="origAmountCrD 4 2" xfId="9152"/>
    <cellStyle name="Accent4 11 9" xfId="9153"/>
    <cellStyle name="汇总 2 3 4 11" xfId="9154"/>
    <cellStyle name="origAmountCrD 4 3" xfId="9155"/>
    <cellStyle name="Input [yellow] 2 11 10" xfId="9156"/>
    <cellStyle name="Accent4 12 10" xfId="9157"/>
    <cellStyle name="Accent4 12 13" xfId="9158"/>
    <cellStyle name="Accent4 12 14" xfId="9159"/>
    <cellStyle name="Accent4 12 3 2" xfId="9160"/>
    <cellStyle name="常规 130 2 2 8" xfId="9161"/>
    <cellStyle name="常规 125 2 2 8" xfId="9162"/>
    <cellStyle name="Accent4 12 3 2 2" xfId="9163"/>
    <cellStyle name="输出 3 2 3 2 5" xfId="9164"/>
    <cellStyle name="常规 130 2 2 9" xfId="9165"/>
    <cellStyle name="常规 125 2 2 9" xfId="9166"/>
    <cellStyle name="Accent4 12 3 2 3" xfId="9167"/>
    <cellStyle name="输出 3 2 3 2 6" xfId="9168"/>
    <cellStyle name="Accent4 12 3 3" xfId="9169"/>
    <cellStyle name="Accent4 12 5" xfId="9170"/>
    <cellStyle name="Accent4 12 6" xfId="9171"/>
    <cellStyle name="Accent4 12 7" xfId="9172"/>
    <cellStyle name="Accent4 12 8" xfId="9173"/>
    <cellStyle name="origAmountCrD 5 2" xfId="9174"/>
    <cellStyle name="Input [yellow] 6 9" xfId="9175"/>
    <cellStyle name="Accent4 14" xfId="9176"/>
    <cellStyle name="Accent4 20" xfId="9177"/>
    <cellStyle name="Accent4 15" xfId="9178"/>
    <cellStyle name="Accent4 15 2" xfId="9179"/>
    <cellStyle name="Accent4 15 2 2" xfId="9180"/>
    <cellStyle name="常规 91 2 17" xfId="9181"/>
    <cellStyle name="常规 86 2 17" xfId="9182"/>
    <cellStyle name="Accent4 15 2 3" xfId="9183"/>
    <cellStyle name="常规 91 2 18" xfId="9184"/>
    <cellStyle name="常规 86 2 18" xfId="9185"/>
    <cellStyle name="Accent4 15 3" xfId="9186"/>
    <cellStyle name="Accent4 21" xfId="9187"/>
    <cellStyle name="Accent4 16" xfId="9188"/>
    <cellStyle name="Input [yellow] 2 8 2 10" xfId="9189"/>
    <cellStyle name="Accent4 22" xfId="9190"/>
    <cellStyle name="Accent4 17" xfId="9191"/>
    <cellStyle name="Input [yellow] 2 8 2 11" xfId="9192"/>
    <cellStyle name="Accent4 23" xfId="9193"/>
    <cellStyle name="Accent4 18" xfId="9194"/>
    <cellStyle name="Input [yellow] 2 8 2 12" xfId="9195"/>
    <cellStyle name="常规 60 10" xfId="9196"/>
    <cellStyle name="常规 55 10" xfId="9197"/>
    <cellStyle name="Accent4 24" xfId="9198"/>
    <cellStyle name="Accent4 19" xfId="9199"/>
    <cellStyle name="Input [yellow] 2 8 2 13" xfId="9200"/>
    <cellStyle name="常规 80 2 2" xfId="9201"/>
    <cellStyle name="常规 75 2 2" xfId="9202"/>
    <cellStyle name="常规 60 11" xfId="9203"/>
    <cellStyle name="常规 55 11" xfId="9204"/>
    <cellStyle name="Accent4 2 10" xfId="9205"/>
    <cellStyle name="Accent4 2 11" xfId="9206"/>
    <cellStyle name="Accent4 2 12" xfId="9207"/>
    <cellStyle name="Accent4 2 13" xfId="9208"/>
    <cellStyle name="Accent4 2 14" xfId="9209"/>
    <cellStyle name="Accent4 2 15" xfId="9210"/>
    <cellStyle name="Accent4 2 16" xfId="9211"/>
    <cellStyle name="Accent4 2 17" xfId="9212"/>
    <cellStyle name="Accent4 2 18" xfId="9213"/>
    <cellStyle name="Accent4 2 19" xfId="9214"/>
    <cellStyle name="Accent4 2 8" xfId="9215"/>
    <cellStyle name="常规 34 2 12" xfId="9216"/>
    <cellStyle name="常规 29 2 12" xfId="9217"/>
    <cellStyle name="origAmountCrD 11 17" xfId="9218"/>
    <cellStyle name="Accent4 2 9" xfId="9219"/>
    <cellStyle name="常规 34 2 13" xfId="9220"/>
    <cellStyle name="常规 29 2 13" xfId="9221"/>
    <cellStyle name="origAmountCrD 11 18" xfId="9222"/>
    <cellStyle name="Accent4 30" xfId="9223"/>
    <cellStyle name="Accent4 25" xfId="9224"/>
    <cellStyle name="Input [yellow] 2 8 2 14" xfId="9225"/>
    <cellStyle name="常规 80 2 3" xfId="9226"/>
    <cellStyle name="常规 75 2 3" xfId="9227"/>
    <cellStyle name="常规 60 12" xfId="9228"/>
    <cellStyle name="常规 55 12" xfId="9229"/>
    <cellStyle name="Accent4 31" xfId="9230"/>
    <cellStyle name="Accent4 26" xfId="9231"/>
    <cellStyle name="Input [yellow] 2 8 2 15" xfId="9232"/>
    <cellStyle name="常规 80 2 4" xfId="9233"/>
    <cellStyle name="常规 75 2 4" xfId="9234"/>
    <cellStyle name="常规 60 13" xfId="9235"/>
    <cellStyle name="常规 55 13" xfId="9236"/>
    <cellStyle name="Accent4 32" xfId="9237"/>
    <cellStyle name="Accent4 27" xfId="9238"/>
    <cellStyle name="Input [yellow] 2 8 2 16" xfId="9239"/>
    <cellStyle name="常规 80 2 5" xfId="9240"/>
    <cellStyle name="常规 75 2 5" xfId="9241"/>
    <cellStyle name="常规 60 14" xfId="9242"/>
    <cellStyle name="常规 55 14" xfId="9243"/>
    <cellStyle name="Input [yellow] 2 8 2 17" xfId="9244"/>
    <cellStyle name="常规 30 5 2 2" xfId="9245"/>
    <cellStyle name="常规 25 5 2 2" xfId="9246"/>
    <cellStyle name="Accent4 33" xfId="9247"/>
    <cellStyle name="Accent4 28" xfId="9248"/>
    <cellStyle name="常规 80 2 6" xfId="9249"/>
    <cellStyle name="常规 75 2 6" xfId="9250"/>
    <cellStyle name="常规 60 20" xfId="9251"/>
    <cellStyle name="常规 60 15" xfId="9252"/>
    <cellStyle name="常规 55 20" xfId="9253"/>
    <cellStyle name="常规 55 15" xfId="9254"/>
    <cellStyle name="常规 75 2 7" xfId="9255"/>
    <cellStyle name="常规 60 21" xfId="9256"/>
    <cellStyle name="常规 60 16" xfId="9257"/>
    <cellStyle name="常规 55 21" xfId="9258"/>
    <cellStyle name="常规 55 16" xfId="9259"/>
    <cellStyle name="常规 80 2 7" xfId="9260"/>
    <cellStyle name="Accent4 29" xfId="9261"/>
    <cellStyle name="常规 25 5 2 3" xfId="9262"/>
    <cellStyle name="常规 30 5 2 3" xfId="9263"/>
    <cellStyle name="Accent4 3 10" xfId="9264"/>
    <cellStyle name="Accent4 3 11" xfId="9265"/>
    <cellStyle name="Accent4 3 12" xfId="9266"/>
    <cellStyle name="常规 107 3 2" xfId="9267"/>
    <cellStyle name="常规 112 3 2" xfId="9268"/>
    <cellStyle name="Accent4 3 13" xfId="9269"/>
    <cellStyle name="注释 3 2 2" xfId="9270"/>
    <cellStyle name="常规 107 3 3" xfId="9271"/>
    <cellStyle name="常规 112 3 3" xfId="9272"/>
    <cellStyle name="Accent4 3 14" xfId="9273"/>
    <cellStyle name="注释 3 2 3" xfId="9274"/>
    <cellStyle name="常规 107 3 4" xfId="9275"/>
    <cellStyle name="常规 112 3 4" xfId="9276"/>
    <cellStyle name="Accent4 3 15" xfId="9277"/>
    <cellStyle name="注释 3 2 4" xfId="9278"/>
    <cellStyle name="常规 107 3 5" xfId="9279"/>
    <cellStyle name="常规 112 3 5" xfId="9280"/>
    <cellStyle name="Accent4 3 16" xfId="9281"/>
    <cellStyle name="注释 3 2 5" xfId="9282"/>
    <cellStyle name="常规 107 3 6" xfId="9283"/>
    <cellStyle name="常规 112 3 6" xfId="9284"/>
    <cellStyle name="Input [yellow] 10 2 2" xfId="9285"/>
    <cellStyle name="Accent4 3 17" xfId="9286"/>
    <cellStyle name="注释 3 2 6" xfId="9287"/>
    <cellStyle name="常规 107 3 7" xfId="9288"/>
    <cellStyle name="常规 112 3 7" xfId="9289"/>
    <cellStyle name="Input [yellow] 10 2 3" xfId="9290"/>
    <cellStyle name="Accent4 3 18" xfId="9291"/>
    <cellStyle name="注释 3 2 7" xfId="9292"/>
    <cellStyle name="Accent4 3 2" xfId="9293"/>
    <cellStyle name="常规 109 5 2 3" xfId="9294"/>
    <cellStyle name="常规 114 5 2 3" xfId="9295"/>
    <cellStyle name="Accent4 3 2 10" xfId="9296"/>
    <cellStyle name="编号 10 2" xfId="9297"/>
    <cellStyle name="编号 10 3" xfId="9298"/>
    <cellStyle name="Accent4 3 2 11" xfId="9299"/>
    <cellStyle name="编号 10 4" xfId="9300"/>
    <cellStyle name="Accent4 3 2 12" xfId="9301"/>
    <cellStyle name="编号 10 5" xfId="9302"/>
    <cellStyle name="Accent4 3 2 13" xfId="9303"/>
    <cellStyle name="编号 10 6" xfId="9304"/>
    <cellStyle name="Accent4 3 2 14" xfId="9305"/>
    <cellStyle name="编号 10 7" xfId="9306"/>
    <cellStyle name="Accent4 3 2 15" xfId="9307"/>
    <cellStyle name="编号 10 8" xfId="9308"/>
    <cellStyle name="Accent4 3 2 16" xfId="9309"/>
    <cellStyle name="常规 97 5 2" xfId="9310"/>
    <cellStyle name="编号 10 9" xfId="9311"/>
    <cellStyle name="Accent4 3 2 17" xfId="9312"/>
    <cellStyle name="Input Cells 2 2" xfId="9313"/>
    <cellStyle name="常规 97 5 3" xfId="9314"/>
    <cellStyle name="Accent4 3 2 18" xfId="9315"/>
    <cellStyle name="Input Cells 2 3" xfId="9316"/>
    <cellStyle name="常规 97 14" xfId="9317"/>
    <cellStyle name="origAmountCrD 7 2 2 4" xfId="9318"/>
    <cellStyle name="常规 129 3 6" xfId="9319"/>
    <cellStyle name="常规 134 3 6" xfId="9320"/>
    <cellStyle name="Accent4 3 2 2" xfId="9321"/>
    <cellStyle name="汇总 2 2 2 2 3" xfId="9322"/>
    <cellStyle name="origAmountDrD 8 2 2 2" xfId="9323"/>
    <cellStyle name="PSHeading 7 12" xfId="9324"/>
    <cellStyle name="Accent5 13 11" xfId="9325"/>
    <cellStyle name="常规 97 15" xfId="9326"/>
    <cellStyle name="常规 97 20" xfId="9327"/>
    <cellStyle name="origAmountCrD 7 2 2 5" xfId="9328"/>
    <cellStyle name="常规 129 3 7" xfId="9329"/>
    <cellStyle name="常规 134 3 7" xfId="9330"/>
    <cellStyle name="Accent4 3 2 3" xfId="9331"/>
    <cellStyle name="汇总 2 2 2 2 4" xfId="9332"/>
    <cellStyle name="origAmountDrD 8 2 2 3" xfId="9333"/>
    <cellStyle name="PSHeading 7 13" xfId="9334"/>
    <cellStyle name="Accent5 13 12" xfId="9335"/>
    <cellStyle name="Accent4 3 2 3 2" xfId="9336"/>
    <cellStyle name="常规 119 2 9" xfId="9337"/>
    <cellStyle name="常规 124 2 9" xfId="9338"/>
    <cellStyle name="Header2 15 9" xfId="9339"/>
    <cellStyle name="Accent4 3 2 3 2 2" xfId="9340"/>
    <cellStyle name="Accent4 3 2 3 2 3" xfId="9341"/>
    <cellStyle name="Input [yellow] 3 10 3 2" xfId="9342"/>
    <cellStyle name="Accent4 3 2 3 3" xfId="9343"/>
    <cellStyle name="Accent4 3 3" xfId="9344"/>
    <cellStyle name="Accent4 3 4" xfId="9345"/>
    <cellStyle name="汇总 3 3 3 4" xfId="9346"/>
    <cellStyle name="Accent4 3 4 2" xfId="9347"/>
    <cellStyle name="Input [yellow] 3 2 2 2 2 4" xfId="9348"/>
    <cellStyle name="标题 2 3 2 16" xfId="9349"/>
    <cellStyle name="Accent4 3 4 2 2" xfId="9350"/>
    <cellStyle name="标题 2 3 2 17" xfId="9351"/>
    <cellStyle name="Accent4 3 4 2 3" xfId="9352"/>
    <cellStyle name="Input [yellow] 3 12 2 2" xfId="9353"/>
    <cellStyle name="Accent4 3 4 3" xfId="9354"/>
    <cellStyle name="计算 2 2 3 10" xfId="9355"/>
    <cellStyle name="汇总 3 3 3 5" xfId="9356"/>
    <cellStyle name="Grey 3 2" xfId="9357"/>
    <cellStyle name="Input [yellow] 3 2 2 2 2 5" xfId="9358"/>
    <cellStyle name="Accent4 3 5" xfId="9359"/>
    <cellStyle name="Accent4 3 6" xfId="9360"/>
    <cellStyle name="Input [yellow] 2 8 2 2 2" xfId="9361"/>
    <cellStyle name="Accent4 3 7" xfId="9362"/>
    <cellStyle name="Input [yellow] 2 8 2 2 3" xfId="9363"/>
    <cellStyle name="Accent4 3 8" xfId="9364"/>
    <cellStyle name="Input [yellow] 2 8 2 2 4" xfId="9365"/>
    <cellStyle name="Accent4 3 9" xfId="9366"/>
    <cellStyle name="origAmountCrD 5 4" xfId="9367"/>
    <cellStyle name="Accent4 4 10" xfId="9368"/>
    <cellStyle name="origAmountCrD 5 5" xfId="9369"/>
    <cellStyle name="Accent4 4 11" xfId="9370"/>
    <cellStyle name="origAmountCrD 5 6" xfId="9371"/>
    <cellStyle name="Accent4 4 12" xfId="9372"/>
    <cellStyle name="origAmountCrD 2 2 2 3 2" xfId="9373"/>
    <cellStyle name="origAmountCrD 5 7" xfId="9374"/>
    <cellStyle name="Accent4 4 13" xfId="9375"/>
    <cellStyle name="注释 3 7 2" xfId="9376"/>
    <cellStyle name="origAmountCrD 2 2 2 3 3" xfId="9377"/>
    <cellStyle name="origAmountCrD 5 8" xfId="9378"/>
    <cellStyle name="Accent4 4 14" xfId="9379"/>
    <cellStyle name="注释 3 7 3" xfId="9380"/>
    <cellStyle name="origAmountCrD 5 9" xfId="9381"/>
    <cellStyle name="Accent4 4 15" xfId="9382"/>
    <cellStyle name="注释 3 7 4" xfId="9383"/>
    <cellStyle name="Accent4 4 16" xfId="9384"/>
    <cellStyle name="注释 3 7 5" xfId="9385"/>
    <cellStyle name="Accent4 4 17" xfId="9386"/>
    <cellStyle name="注释 3 7 6" xfId="9387"/>
    <cellStyle name="Accent4 4 18" xfId="9388"/>
    <cellStyle name="注释 3 7 7" xfId="9389"/>
    <cellStyle name="Accent4 4 2" xfId="9390"/>
    <cellStyle name="Input [yellow] 3 5 10" xfId="9391"/>
    <cellStyle name="Accent4 4 3" xfId="9392"/>
    <cellStyle name="汇总 3 4 2 4" xfId="9393"/>
    <cellStyle name="Accent4 4 3 2" xfId="9394"/>
    <cellStyle name="Accent4 4 3 2 2" xfId="9395"/>
    <cellStyle name="Accent4 4 3 2 3" xfId="9396"/>
    <cellStyle name="汇总 3 4 2 5" xfId="9397"/>
    <cellStyle name="Accent4 4 3 3" xfId="9398"/>
    <cellStyle name="Input [yellow] 3 5 11" xfId="9399"/>
    <cellStyle name="Accent4 4 4" xfId="9400"/>
    <cellStyle name="Accent4 5 10" xfId="9401"/>
    <cellStyle name="Accent4 5 11" xfId="9402"/>
    <cellStyle name="Accent4 5 12" xfId="9403"/>
    <cellStyle name="Header2 2 2 5 2" xfId="9404"/>
    <cellStyle name="Accent4 5 13" xfId="9405"/>
    <cellStyle name="Header2 2 2 5 3" xfId="9406"/>
    <cellStyle name="Accent4 5 14" xfId="9407"/>
    <cellStyle name="Accent4 5 15" xfId="9408"/>
    <cellStyle name="Accent4 5 16" xfId="9409"/>
    <cellStyle name="Accent4 5 17" xfId="9410"/>
    <cellStyle name="Accent4 5 18" xfId="9411"/>
    <cellStyle name="Accent4 5 2" xfId="9412"/>
    <cellStyle name="标题 3 2 7 19" xfId="9413"/>
    <cellStyle name="Header2 2 2 15" xfId="9414"/>
    <cellStyle name="Header2 2 2 20" xfId="9415"/>
    <cellStyle name="Accent4 5 3" xfId="9416"/>
    <cellStyle name="Header2 2 2 16" xfId="9417"/>
    <cellStyle name="Header2 2 2 21" xfId="9418"/>
    <cellStyle name="标题 3 2 14 10" xfId="9419"/>
    <cellStyle name="Accent6 - 20% 2 4 2 2" xfId="9420"/>
    <cellStyle name="Accent4 5 3 2 3" xfId="9421"/>
    <cellStyle name="汇总 3 5 2 5" xfId="9422"/>
    <cellStyle name="Accent4 5 3 3" xfId="9423"/>
    <cellStyle name="Accent4 5 4" xfId="9424"/>
    <cellStyle name="Header2 2 2 17" xfId="9425"/>
    <cellStyle name="Header2 2 2 22" xfId="9426"/>
    <cellStyle name="标题 3 2 14 11" xfId="9427"/>
    <cellStyle name="Accent6 - 20% 2 4 2 3" xfId="9428"/>
    <cellStyle name="Accent4 5 5" xfId="9429"/>
    <cellStyle name="Header2 2 2 18" xfId="9430"/>
    <cellStyle name="标题 3 2 14 12" xfId="9431"/>
    <cellStyle name="Accent4 5 6" xfId="9432"/>
    <cellStyle name="Header2 2 2 19" xfId="9433"/>
    <cellStyle name="标题 3 2 14 13" xfId="9434"/>
    <cellStyle name="Accent4 5 7" xfId="9435"/>
    <cellStyle name="Accent4 5 8" xfId="9436"/>
    <cellStyle name="Accent4 5 9" xfId="9437"/>
    <cellStyle name="Accent4 6 10" xfId="9438"/>
    <cellStyle name="Accent4 6 11" xfId="9439"/>
    <cellStyle name="Accent4 6 12" xfId="9440"/>
    <cellStyle name="Accent4 6 13" xfId="9441"/>
    <cellStyle name="常规 58 2 2" xfId="9442"/>
    <cellStyle name="常规 63 2 2" xfId="9443"/>
    <cellStyle name="Accent4 6 14" xfId="9444"/>
    <cellStyle name="常规 58 2 3" xfId="9445"/>
    <cellStyle name="常规 63 2 3" xfId="9446"/>
    <cellStyle name="Accent4 6 15" xfId="9447"/>
    <cellStyle name="常规 58 2 4" xfId="9448"/>
    <cellStyle name="常规 63 2 4" xfId="9449"/>
    <cellStyle name="Accent4 6 16" xfId="9450"/>
    <cellStyle name="常规 58 2 6" xfId="9451"/>
    <cellStyle name="常规 63 2 6" xfId="9452"/>
    <cellStyle name="Accent4 6 18" xfId="9453"/>
    <cellStyle name="常规 75 2 17" xfId="9454"/>
    <cellStyle name="常规 80 2 17" xfId="9455"/>
    <cellStyle name="Accent4 6 2" xfId="9456"/>
    <cellStyle name="常规 75 2 18" xfId="9457"/>
    <cellStyle name="常规 80 2 18" xfId="9458"/>
    <cellStyle name="Accent4 6 3" xfId="9459"/>
    <cellStyle name="汇总 3 6 2 4" xfId="9460"/>
    <cellStyle name="Accent4 6 3 2" xfId="9461"/>
    <cellStyle name="常规 48 2 2 9" xfId="9462"/>
    <cellStyle name="常规 53 2 2 9" xfId="9463"/>
    <cellStyle name="货币 3 10" xfId="9464"/>
    <cellStyle name="Accent4 6 3 2 3" xfId="9465"/>
    <cellStyle name="常规 75 2 19" xfId="9466"/>
    <cellStyle name="常规 80 2 19" xfId="9467"/>
    <cellStyle name="Accent4 6 4" xfId="9468"/>
    <cellStyle name="Accent4 6 5" xfId="9469"/>
    <cellStyle name="Accent4 6 6" xfId="9470"/>
    <cellStyle name="Accent4 6 7" xfId="9471"/>
    <cellStyle name="Accent4 6 8" xfId="9472"/>
    <cellStyle name="Accent4 6 9" xfId="9473"/>
    <cellStyle name="计算 3 10 2" xfId="9474"/>
    <cellStyle name="Accent4 7 10" xfId="9475"/>
    <cellStyle name="计算 3 10 3" xfId="9476"/>
    <cellStyle name="Accent4 7 11" xfId="9477"/>
    <cellStyle name="计算 3 10 4" xfId="9478"/>
    <cellStyle name="Accent4 7 12" xfId="9479"/>
    <cellStyle name="计算 3 10 5" xfId="9480"/>
    <cellStyle name="Accent4 7 13" xfId="9481"/>
    <cellStyle name="计算 3 10 6" xfId="9482"/>
    <cellStyle name="Accent4 7 14" xfId="9483"/>
    <cellStyle name="Accent4 7 2" xfId="9484"/>
    <cellStyle name="origAmountCrD 12 11" xfId="9485"/>
    <cellStyle name="常规 119 2 2 3 2" xfId="9486"/>
    <cellStyle name="常规 124 2 2 3 2" xfId="9487"/>
    <cellStyle name="Input [yellow] 3 2 2 10" xfId="9488"/>
    <cellStyle name="Accent4 7 3" xfId="9489"/>
    <cellStyle name="origAmountCrD 12 12" xfId="9490"/>
    <cellStyle name="汇总 3 7 2 4" xfId="9491"/>
    <cellStyle name="常规 119 2 2 3 2 2" xfId="9492"/>
    <cellStyle name="常规 124 2 2 3 2 2" xfId="9493"/>
    <cellStyle name="Accent4 7 3 2" xfId="9494"/>
    <cellStyle name="Accent4 7 3 2 2" xfId="9495"/>
    <cellStyle name="Accent4 7 3 2 3" xfId="9496"/>
    <cellStyle name="汇总 3 7 2 5" xfId="9497"/>
    <cellStyle name="常规 119 2 2 3 2 3" xfId="9498"/>
    <cellStyle name="常规 124 2 2 3 2 3" xfId="9499"/>
    <cellStyle name="Accent4 7 3 3" xfId="9500"/>
    <cellStyle name="常规 119 2 2 3 3" xfId="9501"/>
    <cellStyle name="常规 124 2 2 3 3" xfId="9502"/>
    <cellStyle name="Input [yellow] 3 2 2 11" xfId="9503"/>
    <cellStyle name="Accent4 7 4" xfId="9504"/>
    <cellStyle name="origAmountCrD 12 13" xfId="9505"/>
    <cellStyle name="Input [yellow] 3 2 2 12" xfId="9506"/>
    <cellStyle name="Accent4 7 5" xfId="9507"/>
    <cellStyle name="origAmountCrD 12 14" xfId="9508"/>
    <cellStyle name="常规 29 3 10" xfId="9509"/>
    <cellStyle name="常规 34 3 10" xfId="9510"/>
    <cellStyle name="Input [yellow] 3 2 2 13" xfId="9511"/>
    <cellStyle name="Accent4 7 6" xfId="9512"/>
    <cellStyle name="origAmountCrD 12 15" xfId="9513"/>
    <cellStyle name="常规 29 3 11" xfId="9514"/>
    <cellStyle name="常规 34 3 11" xfId="9515"/>
    <cellStyle name="Input [yellow] 3 2 2 14" xfId="9516"/>
    <cellStyle name="Accent4 7 7" xfId="9517"/>
    <cellStyle name="常规 156 2 2" xfId="9518"/>
    <cellStyle name="常规 161 2 2" xfId="9519"/>
    <cellStyle name="origAmountCrD 12 16" xfId="9520"/>
    <cellStyle name="输入 3 2 5 2 12" xfId="9521"/>
    <cellStyle name="Accent4 8 10" xfId="9522"/>
    <cellStyle name="输出 2 3 9" xfId="9523"/>
    <cellStyle name="常规 2 2 7" xfId="9524"/>
    <cellStyle name="常规 2 2 8" xfId="9525"/>
    <cellStyle name="Accent4 8 11" xfId="9526"/>
    <cellStyle name="常规 2 2 9" xfId="9527"/>
    <cellStyle name="Accent4 8 12" xfId="9528"/>
    <cellStyle name="常规 108 3 2" xfId="9529"/>
    <cellStyle name="常规 113 3 2" xfId="9530"/>
    <cellStyle name="Accent4 8 13" xfId="9531"/>
    <cellStyle name="注释 4 2 2" xfId="9532"/>
    <cellStyle name="常规 108 3 3" xfId="9533"/>
    <cellStyle name="常规 113 3 3" xfId="9534"/>
    <cellStyle name="Accent4 8 14" xfId="9535"/>
    <cellStyle name="注释 4 2 3" xfId="9536"/>
    <cellStyle name="常规 108 3 4" xfId="9537"/>
    <cellStyle name="常规 113 3 4" xfId="9538"/>
    <cellStyle name="Accent4 8 15" xfId="9539"/>
    <cellStyle name="注释 4 2 4" xfId="9540"/>
    <cellStyle name="常规 108 3 5" xfId="9541"/>
    <cellStyle name="常规 113 3 5" xfId="9542"/>
    <cellStyle name="Accent4 8 16" xfId="9543"/>
    <cellStyle name="注释 4 2 5" xfId="9544"/>
    <cellStyle name="常规 108 3 6" xfId="9545"/>
    <cellStyle name="常规 113 3 6" xfId="9546"/>
    <cellStyle name="Input [yellow] 11 2 2" xfId="9547"/>
    <cellStyle name="Accent4 8 17" xfId="9548"/>
    <cellStyle name="注释 4 2 6" xfId="9549"/>
    <cellStyle name="常规 108 3 7" xfId="9550"/>
    <cellStyle name="常规 113 3 7" xfId="9551"/>
    <cellStyle name="Input [yellow] 11 2 3" xfId="9552"/>
    <cellStyle name="Accent4 8 18" xfId="9553"/>
    <cellStyle name="注释 4 2 7" xfId="9554"/>
    <cellStyle name="汇总 3 8 2 4" xfId="9555"/>
    <cellStyle name="常规 2 2 12" xfId="9556"/>
    <cellStyle name="Accent4 8 3 2" xfId="9557"/>
    <cellStyle name="常规 45 2 2 18" xfId="9558"/>
    <cellStyle name="常规 50 2 2 18" xfId="9559"/>
    <cellStyle name="Accent4 8 3 2 3" xfId="9560"/>
    <cellStyle name="汇总 3 8 2 5" xfId="9561"/>
    <cellStyle name="常规 2 2 13" xfId="9562"/>
    <cellStyle name="Accent4 8 3 3" xfId="9563"/>
    <cellStyle name="Accent4 8 4" xfId="9564"/>
    <cellStyle name="输出 3 11 2 2" xfId="9565"/>
    <cellStyle name="Accent4 8 5" xfId="9566"/>
    <cellStyle name="输出 3 11 2 3" xfId="9567"/>
    <cellStyle name="Accent4 8 6" xfId="9568"/>
    <cellStyle name="Accent4 8 7" xfId="9569"/>
    <cellStyle name="Accent4 8 8" xfId="9570"/>
    <cellStyle name="Accent4 8 9" xfId="9571"/>
    <cellStyle name="Accent4 9 10" xfId="9572"/>
    <cellStyle name="输出 2 8 9" xfId="9573"/>
    <cellStyle name="Accent5 - 40% 12" xfId="9574"/>
    <cellStyle name="Accent4 9 11" xfId="9575"/>
    <cellStyle name="Accent5 - 40% 13" xfId="9576"/>
    <cellStyle name="Accent4 9 12" xfId="9577"/>
    <cellStyle name="Accent5 - 40% 14" xfId="9578"/>
    <cellStyle name="Accent4 9 13" xfId="9579"/>
    <cellStyle name="Accent5 - 40% 15" xfId="9580"/>
    <cellStyle name="Accent5 - 40% 20" xfId="9581"/>
    <cellStyle name="Accent4 9 14" xfId="9582"/>
    <cellStyle name="Accent5 - 40% 16" xfId="9583"/>
    <cellStyle name="Accent5 - 40% 21" xfId="9584"/>
    <cellStyle name="Accent4 9 15" xfId="9585"/>
    <cellStyle name="Accent5 - 40% 17" xfId="9586"/>
    <cellStyle name="Accent5 - 40% 22" xfId="9587"/>
    <cellStyle name="Accent4 9 16" xfId="9588"/>
    <cellStyle name="Accent5 - 40% 18" xfId="9589"/>
    <cellStyle name="Accent5 - 40% 23" xfId="9590"/>
    <cellStyle name="Accent4 9 17" xfId="9591"/>
    <cellStyle name="Accent5 - 40% 19" xfId="9592"/>
    <cellStyle name="Accent4 9 18" xfId="9593"/>
    <cellStyle name="Accent4 9 2" xfId="9594"/>
    <cellStyle name="Input [yellow] 3 6 10" xfId="9595"/>
    <cellStyle name="Accent4 9 3" xfId="9596"/>
    <cellStyle name="汇总 3 9 2 4" xfId="9597"/>
    <cellStyle name="Accent4 9 3 2" xfId="9598"/>
    <cellStyle name="Accent4 9 3 2 2" xfId="9599"/>
    <cellStyle name="输入 3 3 8" xfId="9600"/>
    <cellStyle name="Accent4 9 3 2 3" xfId="9601"/>
    <cellStyle name="输入 3 3 9" xfId="9602"/>
    <cellStyle name="汇总 3 9 2 5" xfId="9603"/>
    <cellStyle name="Accent4 9 3 3" xfId="9604"/>
    <cellStyle name="Input [yellow] 3 6 11" xfId="9605"/>
    <cellStyle name="Accent4 9 4" xfId="9606"/>
    <cellStyle name="Input [yellow] 3 6 12" xfId="9607"/>
    <cellStyle name="Accent4 9 5" xfId="9608"/>
    <cellStyle name="Input [yellow] 3 6 13" xfId="9609"/>
    <cellStyle name="Accent4 9 6" xfId="9610"/>
    <cellStyle name="Input [yellow] 3 6 14" xfId="9611"/>
    <cellStyle name="Accent4 9 7" xfId="9612"/>
    <cellStyle name="Input [yellow] 3 6 15" xfId="9613"/>
    <cellStyle name="Accent4 9 8" xfId="9614"/>
    <cellStyle name="Input [yellow] 3 6 16" xfId="9615"/>
    <cellStyle name="Accent4 9 9" xfId="9616"/>
    <cellStyle name="Accent5 - 20%" xfId="9617"/>
    <cellStyle name="常规 57 2 2 3 2 3" xfId="9618"/>
    <cellStyle name="常规 62 2 2 3 2 3" xfId="9619"/>
    <cellStyle name="Accent5 - 20% 10" xfId="9620"/>
    <cellStyle name="Accent5 - 20% 11" xfId="9621"/>
    <cellStyle name="Accent5 - 20% 12" xfId="9622"/>
    <cellStyle name="Accent5 - 20% 13" xfId="9623"/>
    <cellStyle name="Accent5 - 20% 14" xfId="9624"/>
    <cellStyle name="Header2 3 12 2 2" xfId="9625"/>
    <cellStyle name="Accent5 - 20% 15" xfId="9626"/>
    <cellStyle name="Accent5 - 20% 20" xfId="9627"/>
    <cellStyle name="Accent5 - 20% 16" xfId="9628"/>
    <cellStyle name="Accent5 - 20% 21" xfId="9629"/>
    <cellStyle name="Accent5 - 20% 17" xfId="9630"/>
    <cellStyle name="Accent5 - 20% 22" xfId="9631"/>
    <cellStyle name="Accent5 - 20% 18" xfId="9632"/>
    <cellStyle name="Accent5 - 20% 23" xfId="9633"/>
    <cellStyle name="常规 155 2 2 2" xfId="9634"/>
    <cellStyle name="常规 160 2 2 2" xfId="9635"/>
    <cellStyle name="Accent5 - 20% 19" xfId="9636"/>
    <cellStyle name="Accent5 - 20% 2" xfId="9637"/>
    <cellStyle name="Accent5 - 20% 2 10" xfId="9638"/>
    <cellStyle name="Accent5 - 20% 2 11" xfId="9639"/>
    <cellStyle name="Accent5 - 20% 2 12" xfId="9640"/>
    <cellStyle name="Accent5 - 20% 2 13" xfId="9641"/>
    <cellStyle name="Accent5 - 20% 2 14" xfId="9642"/>
    <cellStyle name="Accent5 - 20% 2 15" xfId="9643"/>
    <cellStyle name="Accent5 - 20% 2 16" xfId="9644"/>
    <cellStyle name="Accent5 - 20% 2 17" xfId="9645"/>
    <cellStyle name="Accent5 - 20% 2 18" xfId="9646"/>
    <cellStyle name="Accent5 - 20% 2 19" xfId="9647"/>
    <cellStyle name="输出 3 3 4 17" xfId="9648"/>
    <cellStyle name="常规 3 2 2 17" xfId="9649"/>
    <cellStyle name="Accent5 - 20% 2 2" xfId="9650"/>
    <cellStyle name="Accent5 - 20% 2 2 11" xfId="9651"/>
    <cellStyle name="常规 46 2 4 2" xfId="9652"/>
    <cellStyle name="常规 51 2 4 2" xfId="9653"/>
    <cellStyle name="Accent5 - 20% 2 2 12" xfId="9654"/>
    <cellStyle name="常规 38 2 10" xfId="9655"/>
    <cellStyle name="常规 43 2 10" xfId="9656"/>
    <cellStyle name="常规 46 2 4 3" xfId="9657"/>
    <cellStyle name="常规 51 2 4 3" xfId="9658"/>
    <cellStyle name="Accent5 - 20% 2 2 13" xfId="9659"/>
    <cellStyle name="常规 38 2 11" xfId="9660"/>
    <cellStyle name="常规 43 2 11" xfId="9661"/>
    <cellStyle name="Accent5 - 20% 2 2 14" xfId="9662"/>
    <cellStyle name="常规 38 2 12" xfId="9663"/>
    <cellStyle name="常规 43 2 12" xfId="9664"/>
    <cellStyle name="Accent5 - 20% 2 2 15" xfId="9665"/>
    <cellStyle name="常规 38 2 13" xfId="9666"/>
    <cellStyle name="常规 43 2 13" xfId="9667"/>
    <cellStyle name="Accent5 - 20% 2 2 16" xfId="9668"/>
    <cellStyle name="常规 38 2 14" xfId="9669"/>
    <cellStyle name="常规 43 2 14" xfId="9670"/>
    <cellStyle name="输出 2 2 4 2 11" xfId="9671"/>
    <cellStyle name="常规 46 2 10" xfId="9672"/>
    <cellStyle name="常规 51 2 10" xfId="9673"/>
    <cellStyle name="Accent5 - 20% 2 2 2" xfId="9674"/>
    <cellStyle name="输出 2 2 4 2 12" xfId="9675"/>
    <cellStyle name="常规 46 2 11" xfId="9676"/>
    <cellStyle name="常规 51 2 11" xfId="9677"/>
    <cellStyle name="Accent5 - 20% 2 2 3" xfId="9678"/>
    <cellStyle name="常规 46 2 12" xfId="9679"/>
    <cellStyle name="常规 51 2 12" xfId="9680"/>
    <cellStyle name="Accent5 - 20% 2 2 4" xfId="9681"/>
    <cellStyle name="常规 46 2 13" xfId="9682"/>
    <cellStyle name="常规 51 2 13" xfId="9683"/>
    <cellStyle name="Accent5 - 20% 2 2 5" xfId="9684"/>
    <cellStyle name="常规 46 2 14" xfId="9685"/>
    <cellStyle name="常规 51 2 14" xfId="9686"/>
    <cellStyle name="Accent5 - 20% 2 2 6" xfId="9687"/>
    <cellStyle name="常规 46 2 15" xfId="9688"/>
    <cellStyle name="常规 51 2 15" xfId="9689"/>
    <cellStyle name="Accent5 - 20% 2 2 7" xfId="9690"/>
    <cellStyle name="常规 46 2 16" xfId="9691"/>
    <cellStyle name="常规 51 2 16" xfId="9692"/>
    <cellStyle name="Accent5 - 20% 2 2 8" xfId="9693"/>
    <cellStyle name="常规 46 2 17" xfId="9694"/>
    <cellStyle name="常规 51 2 17" xfId="9695"/>
    <cellStyle name="Accent5 - 20% 2 2 9" xfId="9696"/>
    <cellStyle name="输出 3 3 4 18" xfId="9697"/>
    <cellStyle name="常规 3 2 2 18" xfId="9698"/>
    <cellStyle name="Accent5 - 20% 2 3" xfId="9699"/>
    <cellStyle name="输出 3 3 4 19" xfId="9700"/>
    <cellStyle name="Accent5 - 20% 2 4" xfId="9701"/>
    <cellStyle name="origAmountDrD 2 19" xfId="9702"/>
    <cellStyle name="Accent5 - 20% 2 4 2" xfId="9703"/>
    <cellStyle name="Accent5 - 20% 2 4 3" xfId="9704"/>
    <cellStyle name="Accent5 - 20% 2 5" xfId="9705"/>
    <cellStyle name="Accent5 - 20% 2 6" xfId="9706"/>
    <cellStyle name="Accent5 - 20% 2 7" xfId="9707"/>
    <cellStyle name="Accent5 - 20% 2 8" xfId="9708"/>
    <cellStyle name="常规 86 3 3 2" xfId="9709"/>
    <cellStyle name="常规 91 3 3 2" xfId="9710"/>
    <cellStyle name="Accent5 - 20% 2 9" xfId="9711"/>
    <cellStyle name="Accent5 - 20% 3 10" xfId="9712"/>
    <cellStyle name="Accent5 - 20% 3 11" xfId="9713"/>
    <cellStyle name="Accent5 - 20% 3 12" xfId="9714"/>
    <cellStyle name="Accent5 - 20% 3 13" xfId="9715"/>
    <cellStyle name="Accent5 - 20% 3 14" xfId="9716"/>
    <cellStyle name="Accent5 - 20% 3 15" xfId="9717"/>
    <cellStyle name="Accent5 - 20% 3 16" xfId="9718"/>
    <cellStyle name="Accent5 - 20% 3 17" xfId="9719"/>
    <cellStyle name="Accent5 - 20% 3 18" xfId="9720"/>
    <cellStyle name="Accent5 - 20% 3 2" xfId="9721"/>
    <cellStyle name="Accent5 - 20% 3 3" xfId="9722"/>
    <cellStyle name="Accent5 - 20% 3 3 2" xfId="9723"/>
    <cellStyle name="常规 128 2 2 3 2" xfId="9724"/>
    <cellStyle name="常规 133 2 2 3 2" xfId="9725"/>
    <cellStyle name="Accent5 - 20% 3 3 3" xfId="9726"/>
    <cellStyle name="Accent5 - 20% 3 4" xfId="9727"/>
    <cellStyle name="Accent5 - 20% 3 5" xfId="9728"/>
    <cellStyle name="Accent5 - 20% 3 6" xfId="9729"/>
    <cellStyle name="Accent5 - 20% 3 7" xfId="9730"/>
    <cellStyle name="标题 3 3 14 2 2" xfId="9731"/>
    <cellStyle name="Accent5 - 20% 3 8" xfId="9732"/>
    <cellStyle name="Accent5 - 20% 3 9" xfId="9733"/>
    <cellStyle name="Accent5 - 20% 5 2" xfId="9734"/>
    <cellStyle name="Accent5 - 20% 5 2 2" xfId="9735"/>
    <cellStyle name="常规 128 2 4 2 2" xfId="9736"/>
    <cellStyle name="常规 133 2 4 2 2" xfId="9737"/>
    <cellStyle name="Accent5 - 20% 5 2 3" xfId="9738"/>
    <cellStyle name="Accent5 - 20% 5 3" xfId="9739"/>
    <cellStyle name="Accent5 - 40%" xfId="9740"/>
    <cellStyle name="Accent5 - 40% 10" xfId="9741"/>
    <cellStyle name="Accent5 - 40% 11" xfId="9742"/>
    <cellStyle name="Accent5 - 40% 2" xfId="9743"/>
    <cellStyle name="Date 18" xfId="9744"/>
    <cellStyle name="Accent5 - 40% 2 10" xfId="9745"/>
    <cellStyle name="Input [yellow] 4 17" xfId="9746"/>
    <cellStyle name="Accent5 - 40% 2 11" xfId="9747"/>
    <cellStyle name="Input [yellow] 4 18" xfId="9748"/>
    <cellStyle name="Accent5 - 40% 2 12" xfId="9749"/>
    <cellStyle name="Input [yellow] 4 19" xfId="9750"/>
    <cellStyle name="Accent5 - 40% 2 13" xfId="9751"/>
    <cellStyle name="Input [yellow] 3 2 4 2" xfId="9752"/>
    <cellStyle name="Accent5 - 40% 2 14" xfId="9753"/>
    <cellStyle name="Accent5 - 40% 2 15" xfId="9754"/>
    <cellStyle name="Accent5 - 40% 2 16" xfId="9755"/>
    <cellStyle name="Accent6 - 40% 2 2 10" xfId="9756"/>
    <cellStyle name="Accent5 - 40% 2 17" xfId="9757"/>
    <cellStyle name="Accent6 - 40% 2 2 11" xfId="9758"/>
    <cellStyle name="Accent5 - 40% 2 18" xfId="9759"/>
    <cellStyle name="Accent6 - 40% 2 2 12" xfId="9760"/>
    <cellStyle name="Accent5 - 40% 2 19" xfId="9761"/>
    <cellStyle name="Header2 2 12 15" xfId="9762"/>
    <cellStyle name="Accent5 - 40% 2 2 10" xfId="9763"/>
    <cellStyle name="Header2 2 12 16" xfId="9764"/>
    <cellStyle name="Accent5 - 40% 2 2 11" xfId="9765"/>
    <cellStyle name="Accent5 - 40% 2 2 14" xfId="9766"/>
    <cellStyle name="Accent5 - 40% 2 2 15" xfId="9767"/>
    <cellStyle name="Accent5 - 40% 2 2 16" xfId="9768"/>
    <cellStyle name="Accent5 - 40% 2 2 17" xfId="9769"/>
    <cellStyle name="Accent5 - 40% 2 2 18" xfId="9770"/>
    <cellStyle name="标题 3 3 5 9" xfId="9771"/>
    <cellStyle name="Header2 2 12 3" xfId="9772"/>
    <cellStyle name="Accent5 - 40% 2 2 2" xfId="9773"/>
    <cellStyle name="Header2 2 12 4" xfId="9774"/>
    <cellStyle name="Accent5 - 40% 2 2 3" xfId="9775"/>
    <cellStyle name="Accent5 - 40% 2 2 3 2" xfId="9776"/>
    <cellStyle name="Accent5 - 40% 2 2 3 2 2" xfId="9777"/>
    <cellStyle name="comma zerodec" xfId="9778"/>
    <cellStyle name="Accent5 - 40% 2 2 3 2 3" xfId="9779"/>
    <cellStyle name="origAmountCrD 9 2 2 2 2" xfId="9780"/>
    <cellStyle name="Accent5 - 40% 2 2 3 3" xfId="9781"/>
    <cellStyle name="Header2 2 12 5" xfId="9782"/>
    <cellStyle name="Accent5 - 40% 2 2 4" xfId="9783"/>
    <cellStyle name="标题 3 2 9 10" xfId="9784"/>
    <cellStyle name="Accent5 - 40% 2 2 5" xfId="9785"/>
    <cellStyle name="Header2 2 12 6" xfId="9786"/>
    <cellStyle name="标题 3 2 9 11" xfId="9787"/>
    <cellStyle name="Accent5 - 40% 2 2 6" xfId="9788"/>
    <cellStyle name="Header2 2 12 7" xfId="9789"/>
    <cellStyle name="标题 3 3 7 9" xfId="9790"/>
    <cellStyle name="Accent5 - 40% 2 4 2" xfId="9791"/>
    <cellStyle name="Input [yellow] 2 11 2 2 3" xfId="9792"/>
    <cellStyle name="Accent5 - 40% 2 4 2 2" xfId="9793"/>
    <cellStyle name="Input [yellow] 2 11 2 2 4" xfId="9794"/>
    <cellStyle name="Accent5 - 40% 2 4 2 3" xfId="9795"/>
    <cellStyle name="Accent5 - 40% 2 6" xfId="9796"/>
    <cellStyle name="Accent5 - 40% 2 7" xfId="9797"/>
    <cellStyle name="Accent5 - 40% 2 8" xfId="9798"/>
    <cellStyle name="Accent5 - 40% 3" xfId="9799"/>
    <cellStyle name="Accent5 - 40% 3 10" xfId="9800"/>
    <cellStyle name="好 2 2 3 2 3" xfId="9801"/>
    <cellStyle name="Input [yellow] 5 17" xfId="9802"/>
    <cellStyle name="Accent5 - 40% 3 11" xfId="9803"/>
    <cellStyle name="Input [yellow] 5 18" xfId="9804"/>
    <cellStyle name="Accent5 - 40% 3 12" xfId="9805"/>
    <cellStyle name="Input [yellow] 5 19" xfId="9806"/>
    <cellStyle name="Accent5 - 40% 3 13" xfId="9807"/>
    <cellStyle name="Input [yellow] 3 12 2" xfId="9808"/>
    <cellStyle name="Accent5 - 40% 3 14" xfId="9809"/>
    <cellStyle name="Input [yellow] 3 12 3" xfId="9810"/>
    <cellStyle name="Accent5 - 40% 3 15" xfId="9811"/>
    <cellStyle name="Input [yellow] 3 12 4" xfId="9812"/>
    <cellStyle name="Accent5 - 40% 3 16" xfId="9813"/>
    <cellStyle name="Input [yellow] 3 12 5" xfId="9814"/>
    <cellStyle name="Accent5 - 40% 3 17" xfId="9815"/>
    <cellStyle name="Input [yellow] 3 12 6" xfId="9816"/>
    <cellStyle name="Accent5 - 40% 3 18" xfId="9817"/>
    <cellStyle name="Input [yellow] 3 12 7" xfId="9818"/>
    <cellStyle name="输出 3 9 2 4" xfId="9819"/>
    <cellStyle name="Accent5 - 40% 3 3 2 2" xfId="9820"/>
    <cellStyle name="Input [yellow] 10 2" xfId="9821"/>
    <cellStyle name="输出 3 9 2 5" xfId="9822"/>
    <cellStyle name="Accent5 - 40% 3 3 2 3" xfId="9823"/>
    <cellStyle name="Input [yellow] 10 3" xfId="9824"/>
    <cellStyle name="常规 135 2 2 3 2" xfId="9825"/>
    <cellStyle name="常规 140 2 2 3 2" xfId="9826"/>
    <cellStyle name="Accent5 - 40% 3 3 3" xfId="9827"/>
    <cellStyle name="常规 106 5 2" xfId="9828"/>
    <cellStyle name="常规 111 5 2" xfId="9829"/>
    <cellStyle name="Input [yellow] 11" xfId="9830"/>
    <cellStyle name="注释 2 4 2" xfId="9831"/>
    <cellStyle name="Accent5 - 40% 3 6" xfId="9832"/>
    <cellStyle name="Accent5 - 40% 3 7" xfId="9833"/>
    <cellStyle name="Accent5 - 40% 3 8" xfId="9834"/>
    <cellStyle name="Accent5 - 40% 3 9" xfId="9835"/>
    <cellStyle name="Accent5 - 40% 4" xfId="9836"/>
    <cellStyle name="Accent5 - 40% 5" xfId="9837"/>
    <cellStyle name="Accent5 - 40% 5 2" xfId="9838"/>
    <cellStyle name="常规 4 3 16" xfId="9839"/>
    <cellStyle name="Accent5 - 40% 5 2 2" xfId="9840"/>
    <cellStyle name="常规 135 2 4 2 2" xfId="9841"/>
    <cellStyle name="常规 140 2 4 2 2" xfId="9842"/>
    <cellStyle name="常规 4 3 17" xfId="9843"/>
    <cellStyle name="Accent5 - 40% 5 2 3" xfId="9844"/>
    <cellStyle name="Accent5 - 40% 5 3" xfId="9845"/>
    <cellStyle name="Accent6 2 2 3 2 2" xfId="9846"/>
    <cellStyle name="Accent5 - 40% 6" xfId="9847"/>
    <cellStyle name="Accent6 2 2 3 2 3" xfId="9848"/>
    <cellStyle name="Accent5 - 40% 7" xfId="9849"/>
    <cellStyle name="注释 3 2 3 2 10" xfId="9850"/>
    <cellStyle name="Accent6 - 20% 5 2 2" xfId="9851"/>
    <cellStyle name="Accent5 - 40% 8" xfId="9852"/>
    <cellStyle name="注释 3 2 3 2 11" xfId="9853"/>
    <cellStyle name="Accent6 - 20% 5 2 3" xfId="9854"/>
    <cellStyle name="Accent5 - 40% 9" xfId="9855"/>
    <cellStyle name="常规 11 2 13" xfId="9856"/>
    <cellStyle name="Accent5 - 60% 10" xfId="9857"/>
    <cellStyle name="常规 11 2 14" xfId="9858"/>
    <cellStyle name="Accent5 - 60% 11" xfId="9859"/>
    <cellStyle name="常规 11 2 15" xfId="9860"/>
    <cellStyle name="Accent5 - 60% 12" xfId="9861"/>
    <cellStyle name="Accent6 9 10" xfId="9862"/>
    <cellStyle name="常规 11 2 16" xfId="9863"/>
    <cellStyle name="Accent5 - 60% 13" xfId="9864"/>
    <cellStyle name="Accent6 9 11" xfId="9865"/>
    <cellStyle name="常规 11 2 17" xfId="9866"/>
    <cellStyle name="Accent5 - 60% 14" xfId="9867"/>
    <cellStyle name="Accent6 9 12" xfId="9868"/>
    <cellStyle name="常规 11 2 18" xfId="9869"/>
    <cellStyle name="Accent5 - 60% 15" xfId="9870"/>
    <cellStyle name="Accent5 - 60% 20" xfId="9871"/>
    <cellStyle name="常规 88 10" xfId="9872"/>
    <cellStyle name="常规 93 10" xfId="9873"/>
    <cellStyle name="Accent6 9 13" xfId="9874"/>
    <cellStyle name="Accent5 - 60% 16" xfId="9875"/>
    <cellStyle name="Accent5 - 60% 21" xfId="9876"/>
    <cellStyle name="常规 88 11" xfId="9877"/>
    <cellStyle name="常规 93 11" xfId="9878"/>
    <cellStyle name="Accent6 9 14" xfId="9879"/>
    <cellStyle name="PSHeading 3 10" xfId="9880"/>
    <cellStyle name="Accent5 - 60% 17" xfId="9881"/>
    <cellStyle name="Accent5 - 60% 22" xfId="9882"/>
    <cellStyle name="汇总 3 2 6 2" xfId="9883"/>
    <cellStyle name="常规 88 12" xfId="9884"/>
    <cellStyle name="常规 93 12" xfId="9885"/>
    <cellStyle name="Accent6 9 15" xfId="9886"/>
    <cellStyle name="PSHeading 3 11" xfId="9887"/>
    <cellStyle name="Accent5 - 60% 18" xfId="9888"/>
    <cellStyle name="Accent5 - 60% 23" xfId="9889"/>
    <cellStyle name="汇总 3 2 6 3" xfId="9890"/>
    <cellStyle name="常规 88 13" xfId="9891"/>
    <cellStyle name="常规 93 13" xfId="9892"/>
    <cellStyle name="Accent6 9 16" xfId="9893"/>
    <cellStyle name="PSHeading 3 12" xfId="9894"/>
    <cellStyle name="Accent5 - 60% 19" xfId="9895"/>
    <cellStyle name="汇总 3 2 6 4" xfId="9896"/>
    <cellStyle name="常规 88 14" xfId="9897"/>
    <cellStyle name="常规 93 14" xfId="9898"/>
    <cellStyle name="Accent6 9 17" xfId="9899"/>
    <cellStyle name="Accent5 - 60% 2" xfId="9900"/>
    <cellStyle name="Accent5 - 60% 2 10" xfId="9901"/>
    <cellStyle name="Accent5 - 60% 2 11" xfId="9902"/>
    <cellStyle name="Accent5 - 60% 2 12" xfId="9903"/>
    <cellStyle name="Accent5 - 60% 2 13" xfId="9904"/>
    <cellStyle name="Accent5 - 60% 2 14" xfId="9905"/>
    <cellStyle name="Accent5 - 60% 2 15" xfId="9906"/>
    <cellStyle name="Accent5 - 60% 2 16" xfId="9907"/>
    <cellStyle name="汇总 3 2 8 2" xfId="9908"/>
    <cellStyle name="Accent5 - 60% 2 17" xfId="9909"/>
    <cellStyle name="汇总 3 2 8 3" xfId="9910"/>
    <cellStyle name="Accent5 - 60% 2 18" xfId="9911"/>
    <cellStyle name="汇总 3 2 8 4" xfId="9912"/>
    <cellStyle name="Accent5 - 60% 2 19" xfId="9913"/>
    <cellStyle name="常规 138 2 3" xfId="9914"/>
    <cellStyle name="常规 143 2 3" xfId="9915"/>
    <cellStyle name="Accent5 - 60% 2 2 2" xfId="9916"/>
    <cellStyle name="常规 138 2 4" xfId="9917"/>
    <cellStyle name="常规 143 2 4" xfId="9918"/>
    <cellStyle name="Accent5 - 60% 2 2 3" xfId="9919"/>
    <cellStyle name="常规 138 2 5" xfId="9920"/>
    <cellStyle name="常规 143 2 5" xfId="9921"/>
    <cellStyle name="Accent5 - 60% 2 2 4" xfId="9922"/>
    <cellStyle name="Accent5 - 60% 2 4 2" xfId="9923"/>
    <cellStyle name="汇总 3 7 2 2" xfId="9924"/>
    <cellStyle name="Accent5 - 60% 2 4 3" xfId="9925"/>
    <cellStyle name="Accent5 - 60% 2 6" xfId="9926"/>
    <cellStyle name="Linked Cells 9" xfId="9927"/>
    <cellStyle name="Accent5 - 60% 2 7" xfId="9928"/>
    <cellStyle name="Accent5 - 60% 2 8" xfId="9929"/>
    <cellStyle name="常规 95 3 3 2" xfId="9930"/>
    <cellStyle name="Accent5 - 60% 2 9" xfId="9931"/>
    <cellStyle name="Accent5 - 60% 3" xfId="9932"/>
    <cellStyle name="Accent5 - 60% 3 10" xfId="9933"/>
    <cellStyle name="Accent5 - 60% 3 11" xfId="9934"/>
    <cellStyle name="periodBeginBalanceOrigAmountDrD" xfId="9935"/>
    <cellStyle name="Accent5 - 60% 3 12" xfId="9936"/>
    <cellStyle name="Accent5 - 60% 3 13" xfId="9937"/>
    <cellStyle name="Accent5 - 60% 3 14" xfId="9938"/>
    <cellStyle name="Accent5 - 60% 3 15" xfId="9939"/>
    <cellStyle name="Accent5 - 60% 3 16" xfId="9940"/>
    <cellStyle name="Accent5 - 60% 3 17" xfId="9941"/>
    <cellStyle name="Accent5 - 60% 3 18" xfId="9942"/>
    <cellStyle name="常规 139 3 3" xfId="9943"/>
    <cellStyle name="常规 144 3 3" xfId="9944"/>
    <cellStyle name="Accent5 - 60% 3 3 2" xfId="9945"/>
    <cellStyle name="常规 139 3 3 2" xfId="9946"/>
    <cellStyle name="常规 144 3 3 2" xfId="9947"/>
    <cellStyle name="Accent5 - 60% 3 3 2 2" xfId="9948"/>
    <cellStyle name="常规 139 3 3 3" xfId="9949"/>
    <cellStyle name="常规 144 3 3 3" xfId="9950"/>
    <cellStyle name="Accent5 - 60% 3 3 2 3" xfId="9951"/>
    <cellStyle name="常规 139 3 4" xfId="9952"/>
    <cellStyle name="常规 144 3 4" xfId="9953"/>
    <cellStyle name="常规 137 2 2 3 2" xfId="9954"/>
    <cellStyle name="常规 142 2 2 3 2" xfId="9955"/>
    <cellStyle name="Accent5 - 60% 3 3 3" xfId="9956"/>
    <cellStyle name="输出 3 2 5 10" xfId="9957"/>
    <cellStyle name="Accent5 - 60% 3 6" xfId="9958"/>
    <cellStyle name="输出 3 2 5 11" xfId="9959"/>
    <cellStyle name="Accent5 - 60% 3 7" xfId="9960"/>
    <cellStyle name="输出 3 2 5 12" xfId="9961"/>
    <cellStyle name="Accent5 - 60% 3 8" xfId="9962"/>
    <cellStyle name="输出 3 2 5 13" xfId="9963"/>
    <cellStyle name="Accent5 - 60% 3 9" xfId="9964"/>
    <cellStyle name="计算 3 3 4 2 2" xfId="9965"/>
    <cellStyle name="Accent5 - 60% 5 2" xfId="9966"/>
    <cellStyle name="常规 146 2 3" xfId="9967"/>
    <cellStyle name="常规 151 2 3" xfId="9968"/>
    <cellStyle name="Accent5 - 60% 5 2 2" xfId="9969"/>
    <cellStyle name="常规 146 2 4" xfId="9970"/>
    <cellStyle name="常规 151 2 4" xfId="9971"/>
    <cellStyle name="常规 137 2 4 2 2" xfId="9972"/>
    <cellStyle name="常规 142 2 4 2 2" xfId="9973"/>
    <cellStyle name="Accent5 - 60% 5 2 3" xfId="9974"/>
    <cellStyle name="计算 3 3 4 2 3" xfId="9975"/>
    <cellStyle name="Accent5 - 60% 5 3" xfId="9976"/>
    <cellStyle name="Accent5 10" xfId="9977"/>
    <cellStyle name="常规 6 5 2" xfId="9978"/>
    <cellStyle name="Accent5 10 5" xfId="9979"/>
    <cellStyle name="输入 3 2 8 8" xfId="9980"/>
    <cellStyle name="常规 6 5 3" xfId="9981"/>
    <cellStyle name="Accent5 10 6" xfId="9982"/>
    <cellStyle name="输入 3 2 8 9" xfId="9983"/>
    <cellStyle name="Accent5 10 7" xfId="9984"/>
    <cellStyle name="Accent5 10 8" xfId="9985"/>
    <cellStyle name="Accent5 10 9" xfId="9986"/>
    <cellStyle name="输出 2 2 9 2 10" xfId="9987"/>
    <cellStyle name="Accent5 11" xfId="9988"/>
    <cellStyle name="Accent5 11 10" xfId="9989"/>
    <cellStyle name="Accent5 11 11" xfId="9990"/>
    <cellStyle name="Accent5 11 12" xfId="9991"/>
    <cellStyle name="Accent5 11 2" xfId="9992"/>
    <cellStyle name="输入 3 2 9 5" xfId="9993"/>
    <cellStyle name="Accent5 11 3" xfId="9994"/>
    <cellStyle name="输入 3 2 9 6" xfId="9995"/>
    <cellStyle name="Input [yellow] 3 6 2 2 10" xfId="9996"/>
    <cellStyle name="Accent5 11 3 2" xfId="9997"/>
    <cellStyle name="Input [yellow] 3 6 2 2 11" xfId="9998"/>
    <cellStyle name="Accent5 11 3 3" xfId="9999"/>
    <cellStyle name="Accent5 11 4" xfId="10000"/>
    <cellStyle name="输入 3 2 9 7" xfId="10001"/>
    <cellStyle name="Accent5 11 5" xfId="10002"/>
    <cellStyle name="输入 3 2 9 8" xfId="10003"/>
    <cellStyle name="Accent5 11 6" xfId="10004"/>
    <cellStyle name="输入 3 2 9 9" xfId="10005"/>
    <cellStyle name="Accent5 11 7" xfId="10006"/>
    <cellStyle name="Accent5 12" xfId="10007"/>
    <cellStyle name="Accent5 12 10" xfId="10008"/>
    <cellStyle name="汇总 3 2" xfId="10009"/>
    <cellStyle name="PSHeading 6 11" xfId="10010"/>
    <cellStyle name="Input [yellow] 2 10 2 6" xfId="10011"/>
    <cellStyle name="Accent5 12 11" xfId="10012"/>
    <cellStyle name="汇总 3 3" xfId="10013"/>
    <cellStyle name="PSHeading 6 12" xfId="10014"/>
    <cellStyle name="Input [yellow] 2 10 2 7" xfId="10015"/>
    <cellStyle name="常规 15 3 16" xfId="10016"/>
    <cellStyle name="常规 20 3 16" xfId="10017"/>
    <cellStyle name="Accent5 12 2" xfId="10018"/>
    <cellStyle name="Input [yellow] 2 13 5" xfId="10019"/>
    <cellStyle name="Accent5 12 3 2" xfId="10020"/>
    <cellStyle name="常规 57 9" xfId="10021"/>
    <cellStyle name="常规 62 9" xfId="10022"/>
    <cellStyle name="Accent5 12 3 2 2" xfId="10023"/>
    <cellStyle name="常规 9 10" xfId="10024"/>
    <cellStyle name="Accent5 12 3 2 3" xfId="10025"/>
    <cellStyle name="Input [yellow] 2 13 6" xfId="10026"/>
    <cellStyle name="Accent5 12 3 3" xfId="10027"/>
    <cellStyle name="Accent5 13" xfId="10028"/>
    <cellStyle name="汇总 2 2 2 2 2" xfId="10029"/>
    <cellStyle name="PSHeading 7 11" xfId="10030"/>
    <cellStyle name="Accent5 13 10" xfId="10031"/>
    <cellStyle name="常规 97 13" xfId="10032"/>
    <cellStyle name="origAmountCrD 7 2 2 3" xfId="10033"/>
    <cellStyle name="常规 129 3 5" xfId="10034"/>
    <cellStyle name="常规 134 3 5" xfId="10035"/>
    <cellStyle name="Accent5 13 2" xfId="10036"/>
    <cellStyle name="Accent5 13 3" xfId="10037"/>
    <cellStyle name="Input [yellow] 3 8 2 2 9" xfId="10038"/>
    <cellStyle name="Accent5 13 3 2" xfId="10039"/>
    <cellStyle name="差_Book1 3 11" xfId="10040"/>
    <cellStyle name="Accent5 13 3 2 2" xfId="10041"/>
    <cellStyle name="Header2 2 2 3 13" xfId="10042"/>
    <cellStyle name="差_Book1 3 12" xfId="10043"/>
    <cellStyle name="Accent5 13 3 2 3" xfId="10044"/>
    <cellStyle name="Header2 2 2 3 14" xfId="10045"/>
    <cellStyle name="Accent5 13 3 3" xfId="10046"/>
    <cellStyle name="Accent5 13 4" xfId="10047"/>
    <cellStyle name="Accent5 13 5" xfId="10048"/>
    <cellStyle name="常规 42 2 2 3 2 2" xfId="10049"/>
    <cellStyle name="Accent5 13 6" xfId="10050"/>
    <cellStyle name="常规 42 2 2 3 2 3" xfId="10051"/>
    <cellStyle name="Accent5 13 7" xfId="10052"/>
    <cellStyle name="Accent5 13 8" xfId="10053"/>
    <cellStyle name="Accent5 13 9" xfId="10054"/>
    <cellStyle name="Accent5 14" xfId="10055"/>
    <cellStyle name="Accent5 15" xfId="10056"/>
    <cellStyle name="Accent5 20" xfId="10057"/>
    <cellStyle name="Accent5 15 2" xfId="10058"/>
    <cellStyle name="Accent5 15 2 3" xfId="10059"/>
    <cellStyle name="Accent5 15 3" xfId="10060"/>
    <cellStyle name="Accent5 16" xfId="10061"/>
    <cellStyle name="Accent5 21" xfId="10062"/>
    <cellStyle name="Accent5 17" xfId="10063"/>
    <cellStyle name="Accent5 22" xfId="10064"/>
    <cellStyle name="常规 56 10" xfId="10065"/>
    <cellStyle name="常规 61 10" xfId="10066"/>
    <cellStyle name="Accent5 18" xfId="10067"/>
    <cellStyle name="Accent5 23" xfId="10068"/>
    <cellStyle name="常规 56 11" xfId="10069"/>
    <cellStyle name="常规 61 11" xfId="10070"/>
    <cellStyle name="Accent5 19" xfId="10071"/>
    <cellStyle name="Accent5 24" xfId="10072"/>
    <cellStyle name="Accent5 2" xfId="10073"/>
    <cellStyle name="Input [yellow] 3 4 2 8" xfId="10074"/>
    <cellStyle name="Accent5 2 10" xfId="10075"/>
    <cellStyle name="no dec 2 7" xfId="10076"/>
    <cellStyle name="Accent5 2 4 2 3" xfId="10077"/>
    <cellStyle name="Accent5 2 11" xfId="10078"/>
    <cellStyle name="no dec 2 8" xfId="10079"/>
    <cellStyle name="Input [yellow] 3 11 2 2 2" xfId="10080"/>
    <cellStyle name="常规 26 11" xfId="10081"/>
    <cellStyle name="常规 31 11" xfId="10082"/>
    <cellStyle name="Accent5 2 14" xfId="10083"/>
    <cellStyle name="常规 48 2 4 2 2" xfId="10084"/>
    <cellStyle name="常规 53 2 4 2 2" xfId="10085"/>
    <cellStyle name="Input [yellow] 3 11 2 2 5" xfId="10086"/>
    <cellStyle name="常规 26 12" xfId="10087"/>
    <cellStyle name="常规 31 12" xfId="10088"/>
    <cellStyle name="Accent5 2 15" xfId="10089"/>
    <cellStyle name="常规 48 2 4 2 3" xfId="10090"/>
    <cellStyle name="常规 53 2 4 2 3" xfId="10091"/>
    <cellStyle name="Input [yellow] 3 11 2 2 6" xfId="10092"/>
    <cellStyle name="Accent5 2 2" xfId="10093"/>
    <cellStyle name="Accent5 2 2 10" xfId="10094"/>
    <cellStyle name="常规 166 16" xfId="10095"/>
    <cellStyle name="常规 166 21" xfId="10096"/>
    <cellStyle name="常规 171 16" xfId="10097"/>
    <cellStyle name="常规 171 21" xfId="10098"/>
    <cellStyle name="常规 48 2 2 10" xfId="10099"/>
    <cellStyle name="常规 53 2 2 10" xfId="10100"/>
    <cellStyle name="Accent5 2 2 11" xfId="10101"/>
    <cellStyle name="常规 166 17" xfId="10102"/>
    <cellStyle name="常规 166 22" xfId="10103"/>
    <cellStyle name="常规 171 17" xfId="10104"/>
    <cellStyle name="常规 48 2 2 11" xfId="10105"/>
    <cellStyle name="常规 53 2 2 11" xfId="10106"/>
    <cellStyle name="Accent5 2 2 12" xfId="10107"/>
    <cellStyle name="常规 166 18" xfId="10108"/>
    <cellStyle name="常规 171 18" xfId="10109"/>
    <cellStyle name="常规 48 2 2 12" xfId="10110"/>
    <cellStyle name="常规 53 2 2 12" xfId="10111"/>
    <cellStyle name="Accent5 2 2 13" xfId="10112"/>
    <cellStyle name="常规 166 19" xfId="10113"/>
    <cellStyle name="常规 171 19" xfId="10114"/>
    <cellStyle name="常规 48 2 2 13" xfId="10115"/>
    <cellStyle name="常规 53 2 2 13" xfId="10116"/>
    <cellStyle name="Accent5 2 2 14" xfId="10117"/>
    <cellStyle name="常规 48 2 2 14" xfId="10118"/>
    <cellStyle name="常规 53 2 2 14" xfId="10119"/>
    <cellStyle name="Accent5 2 2 15" xfId="10120"/>
    <cellStyle name="常规 48 2 2 15" xfId="10121"/>
    <cellStyle name="常规 53 2 2 15" xfId="10122"/>
    <cellStyle name="Accent5 2 2 16" xfId="10123"/>
    <cellStyle name="常规 48 2 2 16" xfId="10124"/>
    <cellStyle name="常规 53 2 2 16" xfId="10125"/>
    <cellStyle name="Accent5 2 2 17" xfId="10126"/>
    <cellStyle name="常规 48 2 2 17" xfId="10127"/>
    <cellStyle name="常规 53 2 2 17" xfId="10128"/>
    <cellStyle name="Accent5 2 2 18" xfId="10129"/>
    <cellStyle name="Accent5 2 2 2" xfId="10130"/>
    <cellStyle name="Accent5 2 2 3" xfId="10131"/>
    <cellStyle name="常规 107 13" xfId="10132"/>
    <cellStyle name="常规 112 13" xfId="10133"/>
    <cellStyle name="Accent5 2 2 3 2" xfId="10134"/>
    <cellStyle name="Accent5 2 2 3 2 2" xfId="10135"/>
    <cellStyle name="Accent5 2 2 3 2 3" xfId="10136"/>
    <cellStyle name="常规 107 14" xfId="10137"/>
    <cellStyle name="常规 112 14" xfId="10138"/>
    <cellStyle name="Accent5 2 2 3 3" xfId="10139"/>
    <cellStyle name="Accent5 2 2 4" xfId="10140"/>
    <cellStyle name="Accent6 2 10" xfId="10141"/>
    <cellStyle name="Accent5 2 2 5" xfId="10142"/>
    <cellStyle name="Accent6 2 11" xfId="10143"/>
    <cellStyle name="Accent5 2 2 6" xfId="10144"/>
    <cellStyle name="Accent6 2 12" xfId="10145"/>
    <cellStyle name="Accent5 2 2 7" xfId="10146"/>
    <cellStyle name="常规 76 10" xfId="10147"/>
    <cellStyle name="常规 81 10" xfId="10148"/>
    <cellStyle name="Accent6 2 13" xfId="10149"/>
    <cellStyle name="Accent5 2 2 8" xfId="10150"/>
    <cellStyle name="输出 3 2 10 2 2" xfId="10151"/>
    <cellStyle name="常规 76 11" xfId="10152"/>
    <cellStyle name="常规 81 11" xfId="10153"/>
    <cellStyle name="Accent6 2 14" xfId="10154"/>
    <cellStyle name="Accent5 2 2 9" xfId="10155"/>
    <cellStyle name="输出 3 2 10 2 3" xfId="10156"/>
    <cellStyle name="常规 76 12" xfId="10157"/>
    <cellStyle name="常规 81 12" xfId="10158"/>
    <cellStyle name="Accent6 2 15" xfId="10159"/>
    <cellStyle name="Accent5 2 3" xfId="10160"/>
    <cellStyle name="Accent5 2 4" xfId="10161"/>
    <cellStyle name="汇总 3 2 12 10" xfId="10162"/>
    <cellStyle name="Accent5 2 4 2" xfId="10163"/>
    <cellStyle name="no dec 2 6" xfId="10164"/>
    <cellStyle name="Accent5 2 4 2 2" xfId="10165"/>
    <cellStyle name="汇总 3 2 12 11" xfId="10166"/>
    <cellStyle name="Accent5 2 4 3" xfId="10167"/>
    <cellStyle name="Accent5 2 5" xfId="10168"/>
    <cellStyle name="Accent5 2 6" xfId="10169"/>
    <cellStyle name="Accent5 2 7" xfId="10170"/>
    <cellStyle name="Accent5 2 8" xfId="10171"/>
    <cellStyle name="Accent5 2 9" xfId="10172"/>
    <cellStyle name="输入 2 6 2" xfId="10173"/>
    <cellStyle name="常规 56 14" xfId="10174"/>
    <cellStyle name="常规 61 14" xfId="10175"/>
    <cellStyle name="Accent5 27" xfId="10176"/>
    <cellStyle name="Accent5 32" xfId="10177"/>
    <cellStyle name="常规 56 15" xfId="10178"/>
    <cellStyle name="常规 56 20" xfId="10179"/>
    <cellStyle name="常规 61 15" xfId="10180"/>
    <cellStyle name="常规 61 20" xfId="10181"/>
    <cellStyle name="Accent5 28" xfId="10182"/>
    <cellStyle name="Accent5 33" xfId="10183"/>
    <cellStyle name="常规 56 16" xfId="10184"/>
    <cellStyle name="常规 56 21" xfId="10185"/>
    <cellStyle name="常规 61 16" xfId="10186"/>
    <cellStyle name="常规 61 21" xfId="10187"/>
    <cellStyle name="Accent5 29" xfId="10188"/>
    <cellStyle name="Accent5 3" xfId="10189"/>
    <cellStyle name="Input [yellow] 3 4 2 9" xfId="10190"/>
    <cellStyle name="常规 6 2 7" xfId="10191"/>
    <cellStyle name="Accent5 3 10" xfId="10192"/>
    <cellStyle name="常规 6 2 8" xfId="10193"/>
    <cellStyle name="Accent5 3 11" xfId="10194"/>
    <cellStyle name="常规 6 2 9" xfId="10195"/>
    <cellStyle name="Accent5 3 12" xfId="10196"/>
    <cellStyle name="常规 27 10" xfId="10197"/>
    <cellStyle name="常规 32 10" xfId="10198"/>
    <cellStyle name="Accent5 3 13" xfId="10199"/>
    <cellStyle name="常规 117 3 2" xfId="10200"/>
    <cellStyle name="常规 122 3 2" xfId="10201"/>
    <cellStyle name="常规 27 11" xfId="10202"/>
    <cellStyle name="常规 32 11" xfId="10203"/>
    <cellStyle name="Accent5 3 14" xfId="10204"/>
    <cellStyle name="常规 117 3 3" xfId="10205"/>
    <cellStyle name="常规 122 3 3" xfId="10206"/>
    <cellStyle name="常规 27 12" xfId="10207"/>
    <cellStyle name="常规 32 12" xfId="10208"/>
    <cellStyle name="Accent5 3 15" xfId="10209"/>
    <cellStyle name="常规 117 3 4" xfId="10210"/>
    <cellStyle name="常规 122 3 4" xfId="10211"/>
    <cellStyle name="常规 27 13" xfId="10212"/>
    <cellStyle name="常规 32 13" xfId="10213"/>
    <cellStyle name="Accent5 3 16" xfId="10214"/>
    <cellStyle name="常规 117 3 5" xfId="10215"/>
    <cellStyle name="常规 122 3 5" xfId="10216"/>
    <cellStyle name="常规 27 14" xfId="10217"/>
    <cellStyle name="常规 32 14" xfId="10218"/>
    <cellStyle name="Accent5 3 17" xfId="10219"/>
    <cellStyle name="常规 117 3 6" xfId="10220"/>
    <cellStyle name="常规 122 3 6" xfId="10221"/>
    <cellStyle name="Input [yellow] 15 2 2" xfId="10222"/>
    <cellStyle name="常规 27 15" xfId="10223"/>
    <cellStyle name="常规 27 20" xfId="10224"/>
    <cellStyle name="常规 32 15" xfId="10225"/>
    <cellStyle name="常规 32 20" xfId="10226"/>
    <cellStyle name="Accent5 3 18" xfId="10227"/>
    <cellStyle name="常规 117 3 7" xfId="10228"/>
    <cellStyle name="常规 122 3 7" xfId="10229"/>
    <cellStyle name="Input [yellow] 15 2 3" xfId="10230"/>
    <cellStyle name="常规 27 16" xfId="10231"/>
    <cellStyle name="常规 27 21" xfId="10232"/>
    <cellStyle name="常规 32 16" xfId="10233"/>
    <cellStyle name="常规 32 21" xfId="10234"/>
    <cellStyle name="Accent5 3 19" xfId="10235"/>
    <cellStyle name="常规 117 3 8" xfId="10236"/>
    <cellStyle name="常规 122 3 8" xfId="10237"/>
    <cellStyle name="Input [yellow] 15 2 4" xfId="10238"/>
    <cellStyle name="Accent5 3 2" xfId="10239"/>
    <cellStyle name="常规 119 5 2 3" xfId="10240"/>
    <cellStyle name="常规 124 5 2 3" xfId="10241"/>
    <cellStyle name="Accent5 3 2 10" xfId="10242"/>
    <cellStyle name="Accent5 3 2 11" xfId="10243"/>
    <cellStyle name="Accent5 3 2 12" xfId="10244"/>
    <cellStyle name="Accent5 3 2 13" xfId="10245"/>
    <cellStyle name="计算 3 8 2" xfId="10246"/>
    <cellStyle name="Accent5 3 2 14" xfId="10247"/>
    <cellStyle name="计算 3 8 3" xfId="10248"/>
    <cellStyle name="Accent5 3 2 15" xfId="10249"/>
    <cellStyle name="计算 3 8 4" xfId="10250"/>
    <cellStyle name="Accent5 3 2 16" xfId="10251"/>
    <cellStyle name="计算 3 8 5" xfId="10252"/>
    <cellStyle name="Accent5 3 2 17" xfId="10253"/>
    <cellStyle name="计算 3 8 6" xfId="10254"/>
    <cellStyle name="Accent5 3 2 18" xfId="10255"/>
    <cellStyle name="origAmountCrD 8 2 2 4" xfId="10256"/>
    <cellStyle name="编号 5" xfId="10257"/>
    <cellStyle name="Accent5 3 2 2" xfId="10258"/>
    <cellStyle name="输入 3 2 5 17" xfId="10259"/>
    <cellStyle name="origAmountCrD 8 2 2 5" xfId="10260"/>
    <cellStyle name="编号 6" xfId="10261"/>
    <cellStyle name="输入 2 6 3 2 2" xfId="10262"/>
    <cellStyle name="Accent5 3 2 3" xfId="10263"/>
    <cellStyle name="编号 6 2" xfId="10264"/>
    <cellStyle name="Accent5 3 2 3 2" xfId="10265"/>
    <cellStyle name="编号 6 2 2" xfId="10266"/>
    <cellStyle name="Accent5 3 2 3 2 2" xfId="10267"/>
    <cellStyle name="Accent6 - 60% 2 2 12" xfId="10268"/>
    <cellStyle name="Accent5 3 2 3 2 3" xfId="10269"/>
    <cellStyle name="Accent6 - 60% 2 2 13" xfId="10270"/>
    <cellStyle name="编号 6 3" xfId="10271"/>
    <cellStyle name="Accent5 3 2 3 3" xfId="10272"/>
    <cellStyle name="origAmountCrD 8 2 2 6" xfId="10273"/>
    <cellStyle name="编号 7" xfId="10274"/>
    <cellStyle name="常规 105 2 4 2 2" xfId="10275"/>
    <cellStyle name="常规 110 2 4 2 2" xfId="10276"/>
    <cellStyle name="输入 2 6 3 2 3" xfId="10277"/>
    <cellStyle name="Accent5 3 2 4" xfId="10278"/>
    <cellStyle name="origAmountCrD 8 2 2 7" xfId="10279"/>
    <cellStyle name="编号 8" xfId="10280"/>
    <cellStyle name="常规 105 2 4 2 3" xfId="10281"/>
    <cellStyle name="常规 110 2 4 2 3" xfId="10282"/>
    <cellStyle name="Accent5 3 2 5" xfId="10283"/>
    <cellStyle name="汇总 2 3 2 2 6" xfId="10284"/>
    <cellStyle name="origAmountDrD 9 2 2 5" xfId="10285"/>
    <cellStyle name="e鯪9Y_x000b_" xfId="10286"/>
    <cellStyle name="origAmountCrD 8 2 2 8" xfId="10287"/>
    <cellStyle name="编号 9" xfId="10288"/>
    <cellStyle name="Accent5 3 2 6" xfId="10289"/>
    <cellStyle name="origAmountCrD 8 2 2 9" xfId="10290"/>
    <cellStyle name="Accent5 3 2 7" xfId="10291"/>
    <cellStyle name="Accent5 3 2 8" xfId="10292"/>
    <cellStyle name="Accent5 3 2 9" xfId="10293"/>
    <cellStyle name="Accent5 3 3" xfId="10294"/>
    <cellStyle name="Accent5 3 4" xfId="10295"/>
    <cellStyle name="Input [yellow] 2 2 2 2 2 6" xfId="10296"/>
    <cellStyle name="Accent5 3 4 2" xfId="10297"/>
    <cellStyle name="百分比 2 17" xfId="10298"/>
    <cellStyle name="百分比 2 22" xfId="10299"/>
    <cellStyle name="Accent5 3 4 2 2" xfId="10300"/>
    <cellStyle name="百分比 2 18" xfId="10301"/>
    <cellStyle name="百分比 2 23" xfId="10302"/>
    <cellStyle name="Accent5 3 4 2 3" xfId="10303"/>
    <cellStyle name="Input [yellow] 2 2 2 2 2 7" xfId="10304"/>
    <cellStyle name="Accent5 3 4 3" xfId="10305"/>
    <cellStyle name="Accent5 3 5" xfId="10306"/>
    <cellStyle name="Accent5 3 6" xfId="10307"/>
    <cellStyle name="Accent5 3 7" xfId="10308"/>
    <cellStyle name="Accent5 3 8" xfId="10309"/>
    <cellStyle name="Accent5 3 9" xfId="10310"/>
    <cellStyle name="输入 2 7 2" xfId="10311"/>
    <cellStyle name="常规 28 13" xfId="10312"/>
    <cellStyle name="常规 33 13" xfId="10313"/>
    <cellStyle name="Accent5 4 16" xfId="10314"/>
    <cellStyle name="origAmountDrD 11 2 7" xfId="10315"/>
    <cellStyle name="常规 28 14" xfId="10316"/>
    <cellStyle name="常规 33 14" xfId="10317"/>
    <cellStyle name="Accent5 4 17" xfId="10318"/>
    <cellStyle name="origAmountDrD 11 2 8" xfId="10319"/>
    <cellStyle name="常规 28 15" xfId="10320"/>
    <cellStyle name="常规 28 20" xfId="10321"/>
    <cellStyle name="常规 33 15" xfId="10322"/>
    <cellStyle name="常规 33 20" xfId="10323"/>
    <cellStyle name="Accent5 4 18" xfId="10324"/>
    <cellStyle name="origAmountDrD 11 2 9" xfId="10325"/>
    <cellStyle name="comma zerodec 2 14" xfId="10326"/>
    <cellStyle name="Accent5 4 3 2" xfId="10327"/>
    <cellStyle name="Accent5 4 3 2 2" xfId="10328"/>
    <cellStyle name="Accent5 4 3 2 3" xfId="10329"/>
    <cellStyle name="comma zerodec 2 15" xfId="10330"/>
    <cellStyle name="Accent5 4 3 3" xfId="10331"/>
    <cellStyle name="Accent5 4 4" xfId="10332"/>
    <cellStyle name="Accent5 4 5" xfId="10333"/>
    <cellStyle name="Accent5 4 6" xfId="10334"/>
    <cellStyle name="Accent5 4 7" xfId="10335"/>
    <cellStyle name="Accent5 4 8" xfId="10336"/>
    <cellStyle name="Accent5 4 9" xfId="10337"/>
    <cellStyle name="输入 2 8 2" xfId="10338"/>
    <cellStyle name="常规 29 13" xfId="10339"/>
    <cellStyle name="常规 34 13" xfId="10340"/>
    <cellStyle name="Accent5 5 16" xfId="10341"/>
    <cellStyle name="常规 29 14" xfId="10342"/>
    <cellStyle name="常规 34 14" xfId="10343"/>
    <cellStyle name="Accent5 5 17" xfId="10344"/>
    <cellStyle name="常规 29 15" xfId="10345"/>
    <cellStyle name="常规 29 20" xfId="10346"/>
    <cellStyle name="常规 34 15" xfId="10347"/>
    <cellStyle name="常规 34 20" xfId="10348"/>
    <cellStyle name="Accent5 5 18" xfId="10349"/>
    <cellStyle name="Accent5 5 2" xfId="10350"/>
    <cellStyle name="Header2 2 7 15" xfId="10351"/>
    <cellStyle name="Accent5 5 3" xfId="10352"/>
    <cellStyle name="Header2 2 7 16" xfId="10353"/>
    <cellStyle name="Accent5 5 3 3" xfId="10354"/>
    <cellStyle name="Accent5 5 4" xfId="10355"/>
    <cellStyle name="Header2 2 7 17" xfId="10356"/>
    <cellStyle name="Accent5 5 5" xfId="10357"/>
    <cellStyle name="Header2 2 7 18" xfId="10358"/>
    <cellStyle name="Accent5 5 6" xfId="10359"/>
    <cellStyle name="Header2 2 7 19" xfId="10360"/>
    <cellStyle name="Accent5 5 7" xfId="10361"/>
    <cellStyle name="origAmountDrD 2 2 2 2 2 2" xfId="10362"/>
    <cellStyle name="Accent5 5 8" xfId="10363"/>
    <cellStyle name="Accent5 5 9" xfId="10364"/>
    <cellStyle name="输入 2 9 2" xfId="10365"/>
    <cellStyle name="常规 27 2 2 3 2 3" xfId="10366"/>
    <cellStyle name="常规 32 2 2 3 2 3" xfId="10367"/>
    <cellStyle name="Accent5 6" xfId="10368"/>
    <cellStyle name="Input [yellow] 3 12 12" xfId="10369"/>
    <cellStyle name="Accent5 6 12" xfId="10370"/>
    <cellStyle name="常规 35 10" xfId="10371"/>
    <cellStyle name="常规 40 10" xfId="10372"/>
    <cellStyle name="Accent5 6 13" xfId="10373"/>
    <cellStyle name="常规 35 11" xfId="10374"/>
    <cellStyle name="常规 40 11" xfId="10375"/>
    <cellStyle name="常规 68 2 2" xfId="10376"/>
    <cellStyle name="常规 73 2 2" xfId="10377"/>
    <cellStyle name="Accent5 6 14" xfId="10378"/>
    <cellStyle name="常规 35 12" xfId="10379"/>
    <cellStyle name="常规 40 12" xfId="10380"/>
    <cellStyle name="常规 68 2 3" xfId="10381"/>
    <cellStyle name="常规 73 2 3" xfId="10382"/>
    <cellStyle name="Accent5 6 15" xfId="10383"/>
    <cellStyle name="常规 35 13" xfId="10384"/>
    <cellStyle name="常规 40 13" xfId="10385"/>
    <cellStyle name="常规 68 2 4" xfId="10386"/>
    <cellStyle name="常规 73 2 4" xfId="10387"/>
    <cellStyle name="常规 129 3 3 2" xfId="10388"/>
    <cellStyle name="常规 134 3 3 2" xfId="10389"/>
    <cellStyle name="Accent5 6 16" xfId="10390"/>
    <cellStyle name="常规 35 14" xfId="10391"/>
    <cellStyle name="常规 40 14" xfId="10392"/>
    <cellStyle name="常规 68 2 5" xfId="10393"/>
    <cellStyle name="常规 73 2 5" xfId="10394"/>
    <cellStyle name="常规 129 3 3 3" xfId="10395"/>
    <cellStyle name="常规 134 3 3 3" xfId="10396"/>
    <cellStyle name="Accent5 6 17" xfId="10397"/>
    <cellStyle name="常规 35 15" xfId="10398"/>
    <cellStyle name="常规 35 20" xfId="10399"/>
    <cellStyle name="常规 40 15" xfId="10400"/>
    <cellStyle name="常规 40 20" xfId="10401"/>
    <cellStyle name="常规 68 2 6" xfId="10402"/>
    <cellStyle name="常规 73 2 6" xfId="10403"/>
    <cellStyle name="Accent5 6 18" xfId="10404"/>
    <cellStyle name="Normal - Style1 2 9" xfId="10405"/>
    <cellStyle name="Accent5 6 2" xfId="10406"/>
    <cellStyle name="Accent5 6 3" xfId="10407"/>
    <cellStyle name="Accent5 6 3 2" xfId="10408"/>
    <cellStyle name="常规 10 5" xfId="10409"/>
    <cellStyle name="常规 49 2 2 9" xfId="10410"/>
    <cellStyle name="常规 54 2 2 9" xfId="10411"/>
    <cellStyle name="Accent5 6 4" xfId="10412"/>
    <cellStyle name="Accent5 6 5" xfId="10413"/>
    <cellStyle name="Accent5 6 6" xfId="10414"/>
    <cellStyle name="Accent5 6 7" xfId="10415"/>
    <cellStyle name="Accent5 6 8" xfId="10416"/>
    <cellStyle name="Dollar (zero dec) 2 2 2" xfId="10417"/>
    <cellStyle name="Accent5 6 9" xfId="10418"/>
    <cellStyle name="Accent5 7" xfId="10419"/>
    <cellStyle name="Input [yellow] 3 12 13" xfId="10420"/>
    <cellStyle name="Input [yellow] 11 2 2 2 2" xfId="10421"/>
    <cellStyle name="注释 2 6 2 6" xfId="10422"/>
    <cellStyle name="Accent5 7 10" xfId="10423"/>
    <cellStyle name="Accent5 7 11" xfId="10424"/>
    <cellStyle name="Accent5 7 12" xfId="10425"/>
    <cellStyle name="常规 36 10" xfId="10426"/>
    <cellStyle name="常规 41 10" xfId="10427"/>
    <cellStyle name="Accent5 7 13" xfId="10428"/>
    <cellStyle name="常规 36 11" xfId="10429"/>
    <cellStyle name="常规 41 11" xfId="10430"/>
    <cellStyle name="Accent5 7 14" xfId="10431"/>
    <cellStyle name="编号 10 10" xfId="10432"/>
    <cellStyle name="常规 36 12" xfId="10433"/>
    <cellStyle name="常规 41 12" xfId="10434"/>
    <cellStyle name="Accent5 7 15" xfId="10435"/>
    <cellStyle name="编号 10 11" xfId="10436"/>
    <cellStyle name="常规 36 13" xfId="10437"/>
    <cellStyle name="常规 41 13" xfId="10438"/>
    <cellStyle name="Accent5 7 16" xfId="10439"/>
    <cellStyle name="编号 10 12" xfId="10440"/>
    <cellStyle name="常规 36 14" xfId="10441"/>
    <cellStyle name="常规 41 14" xfId="10442"/>
    <cellStyle name="Accent5 7 17" xfId="10443"/>
    <cellStyle name="编号 10 13" xfId="10444"/>
    <cellStyle name="常规 36 15" xfId="10445"/>
    <cellStyle name="常规 36 20" xfId="10446"/>
    <cellStyle name="常规 41 15" xfId="10447"/>
    <cellStyle name="常规 41 20" xfId="10448"/>
    <cellStyle name="Accent5 7 18" xfId="10449"/>
    <cellStyle name="编号 10 14" xfId="10450"/>
    <cellStyle name="Accent5 7 2" xfId="10451"/>
    <cellStyle name="Input [yellow] 3 10 10" xfId="10452"/>
    <cellStyle name="Accent5 7 3" xfId="10453"/>
    <cellStyle name="Accent5 7 3 2" xfId="10454"/>
    <cellStyle name="常规 55 5" xfId="10455"/>
    <cellStyle name="常规 60 5" xfId="10456"/>
    <cellStyle name="Accent5 7 3 2 2" xfId="10457"/>
    <cellStyle name="常规 55 5 2" xfId="10458"/>
    <cellStyle name="常规 60 5 2" xfId="10459"/>
    <cellStyle name="Currency1 2 3" xfId="10460"/>
    <cellStyle name="Accent5 7 3 2 3" xfId="10461"/>
    <cellStyle name="常规 55 5 3" xfId="10462"/>
    <cellStyle name="常规 60 5 3" xfId="10463"/>
    <cellStyle name="Currency1 2 4" xfId="10464"/>
    <cellStyle name="origAmountCrD 4 2 2" xfId="10465"/>
    <cellStyle name="Accent5 7 3 3" xfId="10466"/>
    <cellStyle name="常规 55 6" xfId="10467"/>
    <cellStyle name="常规 60 6" xfId="10468"/>
    <cellStyle name="Input [yellow] 3 10 11" xfId="10469"/>
    <cellStyle name="Accent5 7 4" xfId="10470"/>
    <cellStyle name="Input [yellow] 3 10 12" xfId="10471"/>
    <cellStyle name="Accent5 7 5" xfId="10472"/>
    <cellStyle name="Input [yellow] 3 10 13" xfId="10473"/>
    <cellStyle name="Accent5 7 6" xfId="10474"/>
    <cellStyle name="Input [yellow] 3 10 14" xfId="10475"/>
    <cellStyle name="Accent5 7 7" xfId="10476"/>
    <cellStyle name="Input [yellow] 3 10 15" xfId="10477"/>
    <cellStyle name="Accent5 7 8" xfId="10478"/>
    <cellStyle name="Input [yellow] 3 10 16" xfId="10479"/>
    <cellStyle name="Accent5 7 9" xfId="10480"/>
    <cellStyle name="Accent5 8" xfId="10481"/>
    <cellStyle name="Input [yellow] 3 12 14" xfId="10482"/>
    <cellStyle name="常规 7 2 7" xfId="10483"/>
    <cellStyle name="输入 3 2 6 2 12" xfId="10484"/>
    <cellStyle name="Accent5 8 10" xfId="10485"/>
    <cellStyle name="常规 7 2 8" xfId="10486"/>
    <cellStyle name="Accent5 8 11" xfId="10487"/>
    <cellStyle name="常规 7 2 9" xfId="10488"/>
    <cellStyle name="Accent5 8 12" xfId="10489"/>
    <cellStyle name="常规 37 10" xfId="10490"/>
    <cellStyle name="常规 42 10" xfId="10491"/>
    <cellStyle name="Accent5 8 13" xfId="10492"/>
    <cellStyle name="常规 118 3 2" xfId="10493"/>
    <cellStyle name="常规 123 3 2" xfId="10494"/>
    <cellStyle name="常规 37 11" xfId="10495"/>
    <cellStyle name="常规 42 11" xfId="10496"/>
    <cellStyle name="Accent5 8 14" xfId="10497"/>
    <cellStyle name="编号 11 10" xfId="10498"/>
    <cellStyle name="常规 118 3 3" xfId="10499"/>
    <cellStyle name="常规 123 3 3" xfId="10500"/>
    <cellStyle name="常规 37 12" xfId="10501"/>
    <cellStyle name="常规 42 12" xfId="10502"/>
    <cellStyle name="Accent5 8 15" xfId="10503"/>
    <cellStyle name="编号 11 11" xfId="10504"/>
    <cellStyle name="常规 118 3 4" xfId="10505"/>
    <cellStyle name="常规 123 3 4" xfId="10506"/>
    <cellStyle name="常规 37 13" xfId="10507"/>
    <cellStyle name="常规 42 13" xfId="10508"/>
    <cellStyle name="Accent5 8 16" xfId="10509"/>
    <cellStyle name="编号 11 12" xfId="10510"/>
    <cellStyle name="常规 118 3 5" xfId="10511"/>
    <cellStyle name="常规 123 3 5" xfId="10512"/>
    <cellStyle name="常规 37 14" xfId="10513"/>
    <cellStyle name="常规 42 14" xfId="10514"/>
    <cellStyle name="Accent5 8 17" xfId="10515"/>
    <cellStyle name="编号 11 13" xfId="10516"/>
    <cellStyle name="常规 118 3 6" xfId="10517"/>
    <cellStyle name="常规 123 3 6" xfId="10518"/>
    <cellStyle name="Input [yellow] 16 2 2" xfId="10519"/>
    <cellStyle name="常规 37 15" xfId="10520"/>
    <cellStyle name="常规 37 20" xfId="10521"/>
    <cellStyle name="常规 42 15" xfId="10522"/>
    <cellStyle name="常规 42 20" xfId="10523"/>
    <cellStyle name="Accent5 8 18" xfId="10524"/>
    <cellStyle name="编号 11 14" xfId="10525"/>
    <cellStyle name="常规 118 3 7" xfId="10526"/>
    <cellStyle name="常规 123 3 7" xfId="10527"/>
    <cellStyle name="Input [yellow] 16 2 3" xfId="10528"/>
    <cellStyle name="Accent5 8 2" xfId="10529"/>
    <cellStyle name="Accent5 8 3" xfId="10530"/>
    <cellStyle name="常规 7 2 12" xfId="10531"/>
    <cellStyle name="Accent5 8 3 2" xfId="10532"/>
    <cellStyle name="常规 55 2 2 17" xfId="10533"/>
    <cellStyle name="常规 60 2 2 17" xfId="10534"/>
    <cellStyle name="Accent5 8 3 2 2" xfId="10535"/>
    <cellStyle name="常规 55 2 2 18" xfId="10536"/>
    <cellStyle name="常规 60 2 2 18" xfId="10537"/>
    <cellStyle name="Accent5 8 3 2 3" xfId="10538"/>
    <cellStyle name="常规 7 2 13" xfId="10539"/>
    <cellStyle name="Accent5 8 3 3" xfId="10540"/>
    <cellStyle name="Accent5 8 4" xfId="10541"/>
    <cellStyle name="Accent5 8 5" xfId="10542"/>
    <cellStyle name="Accent5 8 6" xfId="10543"/>
    <cellStyle name="Accent5 8 7" xfId="10544"/>
    <cellStyle name="Accent5 8 8" xfId="10545"/>
    <cellStyle name="Accent5 8 9" xfId="10546"/>
    <cellStyle name="Accent5 9" xfId="10547"/>
    <cellStyle name="Input [yellow] 3 12 15" xfId="10548"/>
    <cellStyle name="origAmountDrD 12 2 2" xfId="10549"/>
    <cellStyle name="Accent5 9 11" xfId="10550"/>
    <cellStyle name="origAmountDrD 12 2 3" xfId="10551"/>
    <cellStyle name="Accent5 9 12" xfId="10552"/>
    <cellStyle name="常规 38 10" xfId="10553"/>
    <cellStyle name="常规 43 10" xfId="10554"/>
    <cellStyle name="Accent5 9 13" xfId="10555"/>
    <cellStyle name="origAmountDrD 12 2 4" xfId="10556"/>
    <cellStyle name="常规 38 11" xfId="10557"/>
    <cellStyle name="常规 43 11" xfId="10558"/>
    <cellStyle name="Accent5 9 14" xfId="10559"/>
    <cellStyle name="编号 12 10" xfId="10560"/>
    <cellStyle name="origAmountDrD 12 2 5" xfId="10561"/>
    <cellStyle name="常规 38 12" xfId="10562"/>
    <cellStyle name="常规 43 12" xfId="10563"/>
    <cellStyle name="Accent5 9 15" xfId="10564"/>
    <cellStyle name="编号 12 11" xfId="10565"/>
    <cellStyle name="origAmountDrD 12 2 6" xfId="10566"/>
    <cellStyle name="常规 38 13" xfId="10567"/>
    <cellStyle name="常规 43 13" xfId="10568"/>
    <cellStyle name="Accent5 9 16" xfId="10569"/>
    <cellStyle name="编号 12 12" xfId="10570"/>
    <cellStyle name="origAmountDrD 12 2 7" xfId="10571"/>
    <cellStyle name="常规 38 14" xfId="10572"/>
    <cellStyle name="常规 43 14" xfId="10573"/>
    <cellStyle name="Accent5 9 17" xfId="10574"/>
    <cellStyle name="编号 12 13" xfId="10575"/>
    <cellStyle name="origAmountDrD 12 2 8" xfId="10576"/>
    <cellStyle name="常规 38 15" xfId="10577"/>
    <cellStyle name="常规 38 20" xfId="10578"/>
    <cellStyle name="常规 43 15" xfId="10579"/>
    <cellStyle name="常规 43 20" xfId="10580"/>
    <cellStyle name="Accent5 9 18" xfId="10581"/>
    <cellStyle name="编号 12 14" xfId="10582"/>
    <cellStyle name="origAmountDrD 12 2 9" xfId="10583"/>
    <cellStyle name="常规 38 16" xfId="10584"/>
    <cellStyle name="常规 38 21" xfId="10585"/>
    <cellStyle name="常规 43 16" xfId="10586"/>
    <cellStyle name="常规 43 21" xfId="10587"/>
    <cellStyle name="Accent5 9 19" xfId="10588"/>
    <cellStyle name="编号 12 15" xfId="10589"/>
    <cellStyle name="origAmountDrD 4 2 10" xfId="10590"/>
    <cellStyle name="args.style 2 8" xfId="10591"/>
    <cellStyle name="Accent5 9 2" xfId="10592"/>
    <cellStyle name="args.style 2 9" xfId="10593"/>
    <cellStyle name="Accent5 9 3" xfId="10594"/>
    <cellStyle name="PSHeading 13 11" xfId="10595"/>
    <cellStyle name="Accent5 9 3 2" xfId="10596"/>
    <cellStyle name="PSHeading 13 12" xfId="10597"/>
    <cellStyle name="Accent5 9 3 3" xfId="10598"/>
    <cellStyle name="Accent5 9 4" xfId="10599"/>
    <cellStyle name="Comma_!!!GO" xfId="10600"/>
    <cellStyle name="Accent5 9 5" xfId="10601"/>
    <cellStyle name="Accent5 9 6" xfId="10602"/>
    <cellStyle name="常规 135 3 3 2 2" xfId="10603"/>
    <cellStyle name="常规 140 3 3 2 2" xfId="10604"/>
    <cellStyle name="输入 2 9 2 11" xfId="10605"/>
    <cellStyle name="Accent5 9 7" xfId="10606"/>
    <cellStyle name="常规 135 3 3 2 3" xfId="10607"/>
    <cellStyle name="常规 140 3 3 2 3" xfId="10608"/>
    <cellStyle name="输入 2 9 2 12" xfId="10609"/>
    <cellStyle name="Accent5 9 8" xfId="10610"/>
    <cellStyle name="Accent5 9 9" xfId="10611"/>
    <cellStyle name="Accent6 - 20%" xfId="10612"/>
    <cellStyle name="Accent6 - 20% 12" xfId="10613"/>
    <cellStyle name="Accent6 - 20% 13" xfId="10614"/>
    <cellStyle name="Accent6 - 20% 14" xfId="10615"/>
    <cellStyle name="Accent6 - 20% 15" xfId="10616"/>
    <cellStyle name="Accent6 - 20% 20" xfId="10617"/>
    <cellStyle name="计算 2 8 10" xfId="10618"/>
    <cellStyle name="Accent6 - 20% 16" xfId="10619"/>
    <cellStyle name="Accent6 - 20% 21" xfId="10620"/>
    <cellStyle name="计算 2 8 12" xfId="10621"/>
    <cellStyle name="Accent6 - 20% 18" xfId="10622"/>
    <cellStyle name="Accent6 - 20% 23" xfId="10623"/>
    <cellStyle name="计算 2 8 13" xfId="10624"/>
    <cellStyle name="标题 4 3 2 2" xfId="10625"/>
    <cellStyle name="Accent6 - 20% 19" xfId="10626"/>
    <cellStyle name="常规 85 6" xfId="10627"/>
    <cellStyle name="常规 90 6" xfId="10628"/>
    <cellStyle name="Accent6 - 20% 2 10" xfId="10629"/>
    <cellStyle name="输出 3 2 13 2" xfId="10630"/>
    <cellStyle name="Accent6 - 20% 2 11" xfId="10631"/>
    <cellStyle name="常规 85 7" xfId="10632"/>
    <cellStyle name="常规 90 7" xfId="10633"/>
    <cellStyle name="origAmountDrD 6 3 2 2" xfId="10634"/>
    <cellStyle name="输出 3 2 13 3" xfId="10635"/>
    <cellStyle name="Accent6 - 20% 2 12" xfId="10636"/>
    <cellStyle name="常规 85 8" xfId="10637"/>
    <cellStyle name="常规 90 8" xfId="10638"/>
    <cellStyle name="origAmountDrD 6 3 2 3" xfId="10639"/>
    <cellStyle name="输出 3 2 13 4" xfId="10640"/>
    <cellStyle name="Accent6 - 20% 2 13" xfId="10641"/>
    <cellStyle name="常规 85 9" xfId="10642"/>
    <cellStyle name="常规 90 9" xfId="10643"/>
    <cellStyle name="输出 3 2 13 5" xfId="10644"/>
    <cellStyle name="Accent6 - 20% 2 14" xfId="10645"/>
    <cellStyle name="Input [yellow] 14 2 2 2" xfId="10646"/>
    <cellStyle name="输入 2 3 4 2 4" xfId="10647"/>
    <cellStyle name="输出 3 2 13 6" xfId="10648"/>
    <cellStyle name="Accent6 - 20% 2 15" xfId="10649"/>
    <cellStyle name="Input [yellow] 14 2 2 3" xfId="10650"/>
    <cellStyle name="输入 2 3 4 2 5" xfId="10651"/>
    <cellStyle name="输出 3 2 13 7" xfId="10652"/>
    <cellStyle name="Accent6 - 20% 2 16" xfId="10653"/>
    <cellStyle name="Input [yellow] 14 2 2 4" xfId="10654"/>
    <cellStyle name="输入 2 3 4 2 6" xfId="10655"/>
    <cellStyle name="输出 3 2 13 8" xfId="10656"/>
    <cellStyle name="Accent6 - 20% 2 17" xfId="10657"/>
    <cellStyle name="Input [yellow] 14 2 2 5" xfId="10658"/>
    <cellStyle name="输入 2 3 4 2 7" xfId="10659"/>
    <cellStyle name="输出 3 2 13 9" xfId="10660"/>
    <cellStyle name="Accent6 - 20% 2 18" xfId="10661"/>
    <cellStyle name="Input [yellow] 14 2 2 6" xfId="10662"/>
    <cellStyle name="输入 2 3 4 2 8" xfId="10663"/>
    <cellStyle name="注释 2 2 9 5" xfId="10664"/>
    <cellStyle name="常规 149 5 2 3" xfId="10665"/>
    <cellStyle name="常规 154 5 2 3" xfId="10666"/>
    <cellStyle name="Accent6 - 20% 2 2" xfId="10667"/>
    <cellStyle name="Accent6 - 20% 2 2 2" xfId="10668"/>
    <cellStyle name="Accent6 - 20% 2 2 3" xfId="10669"/>
    <cellStyle name="Accent6 - 20% 2 2 4" xfId="10670"/>
    <cellStyle name="Accent6 - 20% 2 3" xfId="10671"/>
    <cellStyle name="Accent6 - 20% 2 4" xfId="10672"/>
    <cellStyle name="Accent6 - 20% 2 4 2" xfId="10673"/>
    <cellStyle name="e鯪9Y_x000b_ 2 18" xfId="10674"/>
    <cellStyle name="Accent6 - 20% 2 4 3" xfId="10675"/>
    <cellStyle name="常规 119 2 2 2" xfId="10676"/>
    <cellStyle name="常规 124 2 2 2" xfId="10677"/>
    <cellStyle name="Header2 15 2 2" xfId="10678"/>
    <cellStyle name="Accent6 - 20% 2 5" xfId="10679"/>
    <cellStyle name="Accent6 - 20% 2 6" xfId="10680"/>
    <cellStyle name="Accent6 - 20% 2 7" xfId="10681"/>
    <cellStyle name="Accent6 - 20% 2 8" xfId="10682"/>
    <cellStyle name="注释 3 6 3 2 2" xfId="10683"/>
    <cellStyle name="Accent6 - 20% 2 9" xfId="10684"/>
    <cellStyle name="注释 3 6 3 2 3" xfId="10685"/>
    <cellStyle name="常规 95 6" xfId="10686"/>
    <cellStyle name="Accent6 - 20% 3 10" xfId="10687"/>
    <cellStyle name="常规 95 7" xfId="10688"/>
    <cellStyle name="Accent6 - 20% 3 11" xfId="10689"/>
    <cellStyle name="常规 95 8" xfId="10690"/>
    <cellStyle name="Accent6 - 20% 3 12" xfId="10691"/>
    <cellStyle name="常规 95 9" xfId="10692"/>
    <cellStyle name="Accent6 - 20% 3 13" xfId="10693"/>
    <cellStyle name="Accent6 - 20% 3 14" xfId="10694"/>
    <cellStyle name="Input [yellow] 3 7 2 2 11" xfId="10695"/>
    <cellStyle name="Accent6 - 20% 3 3 2" xfId="10696"/>
    <cellStyle name="Accent6 11 3 3" xfId="10697"/>
    <cellStyle name="输入 2 2 9 2 7" xfId="10698"/>
    <cellStyle name="Accent6 - 20% 3 3 2 2" xfId="10699"/>
    <cellStyle name="输入 2 2 9 2 8" xfId="10700"/>
    <cellStyle name="Accent6 - 20% 3 3 2 3" xfId="10701"/>
    <cellStyle name="Input [yellow] 3 7 2 2 12" xfId="10702"/>
    <cellStyle name="Accent6 - 20% 3 3 3" xfId="10703"/>
    <cellStyle name="Accent6 - 40%" xfId="10704"/>
    <cellStyle name="Accent6 - 40% 15" xfId="10705"/>
    <cellStyle name="Accent6 - 40% 20" xfId="10706"/>
    <cellStyle name="汇总 3 2 3 3 2 2" xfId="10707"/>
    <cellStyle name="Accent6 - 40% 16" xfId="10708"/>
    <cellStyle name="Accent6 - 40% 21" xfId="10709"/>
    <cellStyle name="汇总 3 2 3 3 2 3" xfId="10710"/>
    <cellStyle name="Accent6 - 40% 17" xfId="10711"/>
    <cellStyle name="Accent6 - 40% 22" xfId="10712"/>
    <cellStyle name="Accent6 - 40% 18" xfId="10713"/>
    <cellStyle name="Accent6 - 40% 23" xfId="10714"/>
    <cellStyle name="Accent6 - 40% 19" xfId="10715"/>
    <cellStyle name="常规 69 10" xfId="10716"/>
    <cellStyle name="常规 74 10" xfId="10717"/>
    <cellStyle name="Accent6 - 40% 2" xfId="10718"/>
    <cellStyle name="Accent6 - 40% 2 15" xfId="10719"/>
    <cellStyle name="Currency1 2" xfId="10720"/>
    <cellStyle name="注释 3 2 6 2 7" xfId="10721"/>
    <cellStyle name="Accent6 - 40% 2 16" xfId="10722"/>
    <cellStyle name="Currency1 3" xfId="10723"/>
    <cellStyle name="注释 3 2 6 2 8" xfId="10724"/>
    <cellStyle name="Accent6 - 40% 2 17" xfId="10725"/>
    <cellStyle name="Currency1 4" xfId="10726"/>
    <cellStyle name="注释 3 2 6 2 9" xfId="10727"/>
    <cellStyle name="Accent6 - 40% 2 18" xfId="10728"/>
    <cellStyle name="Currency1 5" xfId="10729"/>
    <cellStyle name="Accent6 - 40% 2 19" xfId="10730"/>
    <cellStyle name="Currency1 6" xfId="10731"/>
    <cellStyle name="Accent6 - 40% 3 3 2" xfId="10732"/>
    <cellStyle name="Accent6 - 40% 2 2 13" xfId="10733"/>
    <cellStyle name="Input [yellow] 13 2" xfId="10734"/>
    <cellStyle name="Accent6 - 40% 2 2 14" xfId="10735"/>
    <cellStyle name="Input [yellow] 3 3 10" xfId="10736"/>
    <cellStyle name="Input [yellow] 13 3" xfId="10737"/>
    <cellStyle name="Accent6 - 40% 2 2 15" xfId="10738"/>
    <cellStyle name="Input [yellow] 3 3 11" xfId="10739"/>
    <cellStyle name="Input [yellow] 13 4" xfId="10740"/>
    <cellStyle name="Accent6 - 40% 2 2 16" xfId="10741"/>
    <cellStyle name="Input [yellow] 3 8 2" xfId="10742"/>
    <cellStyle name="Input [yellow] 3 3 12" xfId="10743"/>
    <cellStyle name="Input [yellow] 13 5" xfId="10744"/>
    <cellStyle name="Accent6 - 40% 2 2 17" xfId="10745"/>
    <cellStyle name="Input [yellow] 3 8 3" xfId="10746"/>
    <cellStyle name="Input [yellow] 3 3 13" xfId="10747"/>
    <cellStyle name="Input [yellow] 13 6" xfId="10748"/>
    <cellStyle name="Accent6 - 40% 2 2 18" xfId="10749"/>
    <cellStyle name="Input [yellow] 3 8 4" xfId="10750"/>
    <cellStyle name="Input [yellow] 3 3 14" xfId="10751"/>
    <cellStyle name="Input [yellow] 13 7" xfId="10752"/>
    <cellStyle name="Accent6 - 40% 2 2 2" xfId="10753"/>
    <cellStyle name="Accent6 - 40% 2 2 3" xfId="10754"/>
    <cellStyle name="Accent6 - 40% 2 2 3 2" xfId="10755"/>
    <cellStyle name="常规 87 2 2 13" xfId="10756"/>
    <cellStyle name="常规 92 2 2 13" xfId="10757"/>
    <cellStyle name="Input [yellow] 3 3 2 7" xfId="10758"/>
    <cellStyle name="常规 138 2 2 5" xfId="10759"/>
    <cellStyle name="常规 143 2 2 5" xfId="10760"/>
    <cellStyle name="Accent6 - 40% 2 2 3 2 2" xfId="10761"/>
    <cellStyle name="商品名称 8 5" xfId="10762"/>
    <cellStyle name="origAmountCrD 11 2 3" xfId="10763"/>
    <cellStyle name="常规 138 2 2 6" xfId="10764"/>
    <cellStyle name="常规 143 2 2 6" xfId="10765"/>
    <cellStyle name="Accent6 - 40% 2 2 3 2 3" xfId="10766"/>
    <cellStyle name="商品名称 8 6" xfId="10767"/>
    <cellStyle name="常规 69 2 2 3 2 2" xfId="10768"/>
    <cellStyle name="常规 74 2 2 3 2 2" xfId="10769"/>
    <cellStyle name="origAmountCrD 11 2 4" xfId="10770"/>
    <cellStyle name="Input [yellow] 2 12 2 3 2" xfId="10771"/>
    <cellStyle name="Accent6 - 40% 2 2 3 3" xfId="10772"/>
    <cellStyle name="常规 87 2 2 14" xfId="10773"/>
    <cellStyle name="常规 92 2 2 14" xfId="10774"/>
    <cellStyle name="Input [yellow] 3 3 2 8" xfId="10775"/>
    <cellStyle name="Accent6 - 40% 2 2 4" xfId="10776"/>
    <cellStyle name="Accent6 - 40% 2 2 5" xfId="10777"/>
    <cellStyle name="Accent6 - 40% 2 2 6" xfId="10778"/>
    <cellStyle name="Accent6 - 40% 2 2 7" xfId="10779"/>
    <cellStyle name="Accent6 - 40% 2 2 8" xfId="10780"/>
    <cellStyle name="Accent6 - 40% 2 2 9" xfId="10781"/>
    <cellStyle name="常规 77 2 2 10" xfId="10782"/>
    <cellStyle name="常规 82 2 2 10" xfId="10783"/>
    <cellStyle name="Accent6 - 40% 2 4 2" xfId="10784"/>
    <cellStyle name="差 4" xfId="10785"/>
    <cellStyle name="Input [yellow] 2 6 2 4" xfId="10786"/>
    <cellStyle name="注释 3 2 6 2 12" xfId="10787"/>
    <cellStyle name="Accent6 - 40% 2 4 2 2" xfId="10788"/>
    <cellStyle name="Accent6 - 40% 2 4 2 3" xfId="10789"/>
    <cellStyle name="Accent6 - 40% 2 4 3" xfId="10790"/>
    <cellStyle name="Input [yellow] 2 6 2 5" xfId="10791"/>
    <cellStyle name="常规 100 3 2" xfId="10792"/>
    <cellStyle name="Accent6 - 40% 2 6" xfId="10793"/>
    <cellStyle name="常规 100 3 3" xfId="10794"/>
    <cellStyle name="Accent6 - 40% 2 7" xfId="10795"/>
    <cellStyle name="常规 100 3 4" xfId="10796"/>
    <cellStyle name="Accent6 - 40% 2 8" xfId="10797"/>
    <cellStyle name="常规 100 3 5" xfId="10798"/>
    <cellStyle name="Accent6 - 40% 2 9" xfId="10799"/>
    <cellStyle name="常规 69 11" xfId="10800"/>
    <cellStyle name="常规 74 11" xfId="10801"/>
    <cellStyle name="Accent6 - 40% 3" xfId="10802"/>
    <cellStyle name="Accent6 - 40% 3 10" xfId="10803"/>
    <cellStyle name="Accent6 - 40% 3 11" xfId="10804"/>
    <cellStyle name="Accent6 - 40% 3 12" xfId="10805"/>
    <cellStyle name="Accent6 - 40% 3 13" xfId="10806"/>
    <cellStyle name="Accent6 - 40% 3 14" xfId="10807"/>
    <cellStyle name="Accent6 - 40% 3 15" xfId="10808"/>
    <cellStyle name="Accent6 - 40% 3 16" xfId="10809"/>
    <cellStyle name="Accent6 - 40% 3 17" xfId="10810"/>
    <cellStyle name="Accent6 - 40% 3 18" xfId="10811"/>
    <cellStyle name="Currency1 7" xfId="10812"/>
    <cellStyle name="Accent6 - 40% 3 3 3" xfId="10813"/>
    <cellStyle name="Accent6 - 40% 3 6" xfId="10814"/>
    <cellStyle name="Accent6 - 40% 3 7" xfId="10815"/>
    <cellStyle name="汇总 2 9 2 2" xfId="10816"/>
    <cellStyle name="Accent6 - 40% 3 8" xfId="10817"/>
    <cellStyle name="汇总 2 9 2 3" xfId="10818"/>
    <cellStyle name="Accent6 - 40% 3 9" xfId="10819"/>
    <cellStyle name="常规 69 12" xfId="10820"/>
    <cellStyle name="常规 74 12" xfId="10821"/>
    <cellStyle name="Accent6 - 40% 4" xfId="10822"/>
    <cellStyle name="常规 69 13" xfId="10823"/>
    <cellStyle name="常规 74 13" xfId="10824"/>
    <cellStyle name="Accent6 - 40% 5" xfId="10825"/>
    <cellStyle name="Accent6 - 40% 5 2" xfId="10826"/>
    <cellStyle name="Header2 3 8 7" xfId="10827"/>
    <cellStyle name="适中 4" xfId="10828"/>
    <cellStyle name="输入 2 8 18" xfId="10829"/>
    <cellStyle name="常规 97 2 14" xfId="10830"/>
    <cellStyle name="Accent6 - 40% 5 2 2" xfId="10831"/>
    <cellStyle name="常规 97 2 15" xfId="10832"/>
    <cellStyle name="Accent6 - 40% 5 2 3" xfId="10833"/>
    <cellStyle name="Accent6 - 40% 5 3" xfId="10834"/>
    <cellStyle name="Header2 3 8 8" xfId="10835"/>
    <cellStyle name="常规 69 14" xfId="10836"/>
    <cellStyle name="常规 74 14" xfId="10837"/>
    <cellStyle name="Accent6 3 2 3 2 2" xfId="10838"/>
    <cellStyle name="Accent6 - 40% 6" xfId="10839"/>
    <cellStyle name="常规 69 15" xfId="10840"/>
    <cellStyle name="常规 69 20" xfId="10841"/>
    <cellStyle name="常规 74 15" xfId="10842"/>
    <cellStyle name="常规 74 20" xfId="10843"/>
    <cellStyle name="Accent6 3 2 3 2 3" xfId="10844"/>
    <cellStyle name="Accent6 - 40% 7" xfId="10845"/>
    <cellStyle name="常规 69 16" xfId="10846"/>
    <cellStyle name="常规 69 21" xfId="10847"/>
    <cellStyle name="常规 74 16" xfId="10848"/>
    <cellStyle name="常规 74 21" xfId="10849"/>
    <cellStyle name="Accent6 - 40% 8" xfId="10850"/>
    <cellStyle name="常规 69 17" xfId="10851"/>
    <cellStyle name="常规 69 22" xfId="10852"/>
    <cellStyle name="常规 74 17" xfId="10853"/>
    <cellStyle name="常规 74 22" xfId="10854"/>
    <cellStyle name="Accent6 - 40% 9" xfId="10855"/>
    <cellStyle name="常规 118 2 4 2 2" xfId="10856"/>
    <cellStyle name="常规 123 2 4 2 2" xfId="10857"/>
    <cellStyle name="Accent6 - 60%" xfId="10858"/>
    <cellStyle name="Accent6 - 60% 10" xfId="10859"/>
    <cellStyle name="Accent6 - 60% 11" xfId="10860"/>
    <cellStyle name="输入 2 2 13 2" xfId="10861"/>
    <cellStyle name="Accent6 - 60% 14" xfId="10862"/>
    <cellStyle name="输入 2 2 13 5" xfId="10863"/>
    <cellStyle name="Accent6 - 60% 15" xfId="10864"/>
    <cellStyle name="Accent6 - 60% 20" xfId="10865"/>
    <cellStyle name="输入 2 2 13 6" xfId="10866"/>
    <cellStyle name="Accent6 - 60% 16" xfId="10867"/>
    <cellStyle name="Accent6 - 60% 21" xfId="10868"/>
    <cellStyle name="输入 2 2 13 7" xfId="10869"/>
    <cellStyle name="Accent6 - 60% 19" xfId="10870"/>
    <cellStyle name="Accent6 - 60% 2 10" xfId="10871"/>
    <cellStyle name="输出 3 3 3 9" xfId="10872"/>
    <cellStyle name="Accent6 - 60% 2 11" xfId="10873"/>
    <cellStyle name="Accent6 9 3 2 2" xfId="10874"/>
    <cellStyle name="Date 2 10" xfId="10875"/>
    <cellStyle name="Accent6 - 60% 2 12" xfId="10876"/>
    <cellStyle name="Accent6 9 3 2 3" xfId="10877"/>
    <cellStyle name="Date 2 11" xfId="10878"/>
    <cellStyle name="Accent6 - 60% 2 13" xfId="10879"/>
    <cellStyle name="Date 2 12" xfId="10880"/>
    <cellStyle name="Accent6 - 60% 2 14" xfId="10881"/>
    <cellStyle name="Date 2 13" xfId="10882"/>
    <cellStyle name="Accent6 - 60% 2 15" xfId="10883"/>
    <cellStyle name="Date 2 14" xfId="10884"/>
    <cellStyle name="Accent6 - 60% 2 16" xfId="10885"/>
    <cellStyle name="Date 2 15" xfId="10886"/>
    <cellStyle name="Accent6 - 60% 2 17" xfId="10887"/>
    <cellStyle name="Date 2 16" xfId="10888"/>
    <cellStyle name="Accent6 - 60% 2 18" xfId="10889"/>
    <cellStyle name="Date 2 17" xfId="10890"/>
    <cellStyle name="Accent6 - 60% 2 19" xfId="10891"/>
    <cellStyle name="Accent6 - 60% 2 2 10" xfId="10892"/>
    <cellStyle name="Accent6 - 60% 2 2 11" xfId="10893"/>
    <cellStyle name="Accent6 - 60% 2 2 14" xfId="10894"/>
    <cellStyle name="Accent6 - 60% 2 2 15" xfId="10895"/>
    <cellStyle name="Accent6 - 60% 2 2 16" xfId="10896"/>
    <cellStyle name="Accent6 - 60% 2 2 17" xfId="10897"/>
    <cellStyle name="常规 19 3 3 2 2" xfId="10898"/>
    <cellStyle name="常规 24 3 3 2 2" xfId="10899"/>
    <cellStyle name="origAmountDrD 14 2 2" xfId="10900"/>
    <cellStyle name="Accent6 - 60% 2 2 18" xfId="10901"/>
    <cellStyle name="常规 19 3 3 2 3" xfId="10902"/>
    <cellStyle name="常规 24 3 3 2 3" xfId="10903"/>
    <cellStyle name="origAmountDrD 14 2 3" xfId="10904"/>
    <cellStyle name="Accent6 - 60% 2 2 2" xfId="10905"/>
    <cellStyle name="Accent6 - 60% 2 2 3" xfId="10906"/>
    <cellStyle name="Accent6 - 60% 2 2 3 2" xfId="10907"/>
    <cellStyle name="Accent6 - 60% 2 2 3 2 2" xfId="10908"/>
    <cellStyle name="Accent6 - 60% 2 2 3 2 3" xfId="10909"/>
    <cellStyle name="Accent6 - 60% 2 2 3 3" xfId="10910"/>
    <cellStyle name="Accent6 - 60% 2 2 4" xfId="10911"/>
    <cellStyle name="Accent6 - 60% 2 2 5" xfId="10912"/>
    <cellStyle name="Accent6 - 60% 2 2 6" xfId="10913"/>
    <cellStyle name="Accent6 - 60% 2 2 7" xfId="10914"/>
    <cellStyle name="Accent6 - 60% 2 2 8" xfId="10915"/>
    <cellStyle name="Accent6 - 60% 2 2 9" xfId="10916"/>
    <cellStyle name="常规 97 2 2 10" xfId="10917"/>
    <cellStyle name="Accent6 - 60% 2 4 2" xfId="10918"/>
    <cellStyle name="Accent6 - 60% 2 4 2 2" xfId="10919"/>
    <cellStyle name="Accent6 - 60% 2 4 2 3" xfId="10920"/>
    <cellStyle name="Accent6 - 60% 2 4 3" xfId="10921"/>
    <cellStyle name="标题 4 2 2 10" xfId="10922"/>
    <cellStyle name="Accent6 - 60% 2 6" xfId="10923"/>
    <cellStyle name="标题 4 2 2 11" xfId="10924"/>
    <cellStyle name="Accent6 - 60% 2 7" xfId="10925"/>
    <cellStyle name="标题 4 2 2 12" xfId="10926"/>
    <cellStyle name="Accent6 - 60% 2 8" xfId="10927"/>
    <cellStyle name="标题 4 2 2 13" xfId="10928"/>
    <cellStyle name="Accent6 - 60% 2 9" xfId="10929"/>
    <cellStyle name="常规 55 3 10" xfId="10930"/>
    <cellStyle name="常规 60 3 10" xfId="10931"/>
    <cellStyle name="origAmountCrD 8 4" xfId="10932"/>
    <cellStyle name="Accent6 - 60% 3 3 2 2" xfId="10933"/>
    <cellStyle name="常规 55 3 11" xfId="10934"/>
    <cellStyle name="常规 60 3 11" xfId="10935"/>
    <cellStyle name="origAmountCrD 8 5" xfId="10936"/>
    <cellStyle name="Accent6 - 60% 3 3 2 3" xfId="10937"/>
    <cellStyle name="Accent6 - 60% 3 6" xfId="10938"/>
    <cellStyle name="常规 38 2 8" xfId="10939"/>
    <cellStyle name="常规 43 2 8" xfId="10940"/>
    <cellStyle name="编号 12 2 3" xfId="10941"/>
    <cellStyle name="Accent6 - 60% 3 7" xfId="10942"/>
    <cellStyle name="常规 38 2 9" xfId="10943"/>
    <cellStyle name="常规 43 2 9" xfId="10944"/>
    <cellStyle name="Accent6 - 60% 3 8" xfId="10945"/>
    <cellStyle name="PSHeading 13 10" xfId="10946"/>
    <cellStyle name="Accent6 - 60% 3 9" xfId="10947"/>
    <cellStyle name="标题 4 3 9" xfId="10948"/>
    <cellStyle name="Accent6 - 60% 5 2" xfId="10949"/>
    <cellStyle name="Accent6 - 60% 5 2 2" xfId="10950"/>
    <cellStyle name="Accent6 - 60% 5 2 3" xfId="10951"/>
    <cellStyle name="Accent6 - 60% 5 3" xfId="10952"/>
    <cellStyle name="计算 3 2 4 2 5" xfId="10953"/>
    <cellStyle name="origAmountCrD 3 2 3 2" xfId="10954"/>
    <cellStyle name="Accent6 11 10" xfId="10955"/>
    <cellStyle name="Accent6 11 11" xfId="10956"/>
    <cellStyle name="Accent6 11 12" xfId="10957"/>
    <cellStyle name="Accent6 11 13" xfId="10958"/>
    <cellStyle name="Accent6 11 14" xfId="10959"/>
    <cellStyle name="Accent6 11 15" xfId="10960"/>
    <cellStyle name="常规 79 10" xfId="10961"/>
    <cellStyle name="常规 84 10" xfId="10962"/>
    <cellStyle name="Accent6 11 16" xfId="10963"/>
    <cellStyle name="常规 79 11" xfId="10964"/>
    <cellStyle name="常规 84 11" xfId="10965"/>
    <cellStyle name="Accent6 11 17" xfId="10966"/>
    <cellStyle name="常规 79 12" xfId="10967"/>
    <cellStyle name="常规 84 12" xfId="10968"/>
    <cellStyle name="Accent6 11 18" xfId="10969"/>
    <cellStyle name="Input [yellow] 3 7 2 2 10" xfId="10970"/>
    <cellStyle name="Accent6 11 3 2" xfId="10971"/>
    <cellStyle name="Accent6 11 4" xfId="10972"/>
    <cellStyle name="Accent6 11 5" xfId="10973"/>
    <cellStyle name="Accent6 11 6" xfId="10974"/>
    <cellStyle name="Accent6 11 7" xfId="10975"/>
    <cellStyle name="Accent6 11 8" xfId="10976"/>
    <cellStyle name="Accent6 12 10" xfId="10977"/>
    <cellStyle name="Accent6 12 11" xfId="10978"/>
    <cellStyle name="Accent6 12 14" xfId="10979"/>
    <cellStyle name="Accent6 12 15" xfId="10980"/>
    <cellStyle name="Accent6 12 16" xfId="10981"/>
    <cellStyle name="常规 78 2 2" xfId="10982"/>
    <cellStyle name="常规 83 2 2" xfId="10983"/>
    <cellStyle name="Accent6 12 17" xfId="10984"/>
    <cellStyle name="常规 78 2 3" xfId="10985"/>
    <cellStyle name="常规 83 2 3" xfId="10986"/>
    <cellStyle name="Accent6 12 18" xfId="10987"/>
    <cellStyle name="常规 57 2 2 5" xfId="10988"/>
    <cellStyle name="常规 62 2 2 5" xfId="10989"/>
    <cellStyle name="常规 16 3 16" xfId="10990"/>
    <cellStyle name="常规 21 3 16" xfId="10991"/>
    <cellStyle name="Accent6 12 2" xfId="10992"/>
    <cellStyle name="常规 57 2 2 6" xfId="10993"/>
    <cellStyle name="常规 62 2 2 6" xfId="10994"/>
    <cellStyle name="常规 16 3 17" xfId="10995"/>
    <cellStyle name="常规 21 3 17" xfId="10996"/>
    <cellStyle name="Accent6 12 3" xfId="10997"/>
    <cellStyle name="Accent6 12 3 2" xfId="10998"/>
    <cellStyle name="编号 7 11" xfId="10999"/>
    <cellStyle name="Accent6 12 3 2 2" xfId="11000"/>
    <cellStyle name="Accent6 12 3 3" xfId="11001"/>
    <cellStyle name="常规 57 2 2 7" xfId="11002"/>
    <cellStyle name="常规 62 2 2 7" xfId="11003"/>
    <cellStyle name="常规 16 3 18" xfId="11004"/>
    <cellStyle name="常规 21 3 18" xfId="11005"/>
    <cellStyle name="Accent6 12 4" xfId="11006"/>
    <cellStyle name="Accent6 13 2" xfId="11007"/>
    <cellStyle name="Accent6 13 3" xfId="11008"/>
    <cellStyle name="Accent6 13 4" xfId="11009"/>
    <cellStyle name="Accent6 15 2" xfId="11010"/>
    <cellStyle name="输入 3 3 3 2 9" xfId="11011"/>
    <cellStyle name="Accent6 15 3" xfId="11012"/>
    <cellStyle name="常规 57 10" xfId="11013"/>
    <cellStyle name="常规 62 10" xfId="11014"/>
    <cellStyle name="常规 125 3 2" xfId="11015"/>
    <cellStyle name="常规 130 3 2" xfId="11016"/>
    <cellStyle name="Accent6 18" xfId="11017"/>
    <cellStyle name="Accent6 23" xfId="11018"/>
    <cellStyle name="Accent6 2" xfId="11019"/>
    <cellStyle name="输出 3 2 10 2 4" xfId="11020"/>
    <cellStyle name="常规 76 13" xfId="11021"/>
    <cellStyle name="常规 81 13" xfId="11022"/>
    <cellStyle name="Accent6 2 16" xfId="11023"/>
    <cellStyle name="输出 3 2 10 2 5" xfId="11024"/>
    <cellStyle name="常规 76 14" xfId="11025"/>
    <cellStyle name="常规 81 14" xfId="11026"/>
    <cellStyle name="Accent6 2 17" xfId="11027"/>
    <cellStyle name="输出 3 2 10 2 6" xfId="11028"/>
    <cellStyle name="常规 76 15" xfId="11029"/>
    <cellStyle name="常规 76 20" xfId="11030"/>
    <cellStyle name="常规 81 15" xfId="11031"/>
    <cellStyle name="常规 81 20" xfId="11032"/>
    <cellStyle name="Accent6 2 18" xfId="11033"/>
    <cellStyle name="输出 3 2 10 2 7" xfId="11034"/>
    <cellStyle name="常规 76 16" xfId="11035"/>
    <cellStyle name="常规 76 21" xfId="11036"/>
    <cellStyle name="常规 81 16" xfId="11037"/>
    <cellStyle name="常规 81 21" xfId="11038"/>
    <cellStyle name="Accent6 2 19" xfId="11039"/>
    <cellStyle name="Accent6 2 2" xfId="11040"/>
    <cellStyle name="Accent6 2 2 10" xfId="11041"/>
    <cellStyle name="常规 49 2 2 10" xfId="11042"/>
    <cellStyle name="常规 54 2 2 10" xfId="11043"/>
    <cellStyle name="Accent6 2 2 11" xfId="11044"/>
    <cellStyle name="常规 49 2 2 11" xfId="11045"/>
    <cellStyle name="常规 54 2 2 11" xfId="11046"/>
    <cellStyle name="Accent6 2 2 12" xfId="11047"/>
    <cellStyle name="常规 49 2 2 12" xfId="11048"/>
    <cellStyle name="常规 54 2 2 12" xfId="11049"/>
    <cellStyle name="Accent6 2 2 13" xfId="11050"/>
    <cellStyle name="常规 49 2 2 13" xfId="11051"/>
    <cellStyle name="常规 54 2 2 13" xfId="11052"/>
    <cellStyle name="Accent6 2 2 14" xfId="11053"/>
    <cellStyle name="常规 49 2 2 14" xfId="11054"/>
    <cellStyle name="常规 54 2 2 14" xfId="11055"/>
    <cellStyle name="Accent6 2 2 15" xfId="11056"/>
    <cellStyle name="Input [yellow] 2 4 2 2 2 2" xfId="11057"/>
    <cellStyle name="常规 49 2 2 15" xfId="11058"/>
    <cellStyle name="常规 54 2 2 15" xfId="11059"/>
    <cellStyle name="Accent6 2 2 16" xfId="11060"/>
    <cellStyle name="常规 49 2 2 16" xfId="11061"/>
    <cellStyle name="常规 54 2 2 16" xfId="11062"/>
    <cellStyle name="Accent6 2 2 17" xfId="11063"/>
    <cellStyle name="常规 49 2 2 17" xfId="11064"/>
    <cellStyle name="常规 54 2 2 17" xfId="11065"/>
    <cellStyle name="Accent6 2 2 18" xfId="11066"/>
    <cellStyle name="Accent6 2 2 2" xfId="11067"/>
    <cellStyle name="Accent6 2 2 3" xfId="11068"/>
    <cellStyle name="Accent6 2 2 3 2" xfId="11069"/>
    <cellStyle name="Normal - Style1 2 3" xfId="11070"/>
    <cellStyle name="Accent6 2 2 3 3" xfId="11071"/>
    <cellStyle name="Normal - Style1 2 4" xfId="11072"/>
    <cellStyle name="常规 105 3 3 2 2" xfId="11073"/>
    <cellStyle name="常规 110 3 3 2 2" xfId="11074"/>
    <cellStyle name="Accent6 2 2 4" xfId="11075"/>
    <cellStyle name="常规 105 3 3 2 3" xfId="11076"/>
    <cellStyle name="常规 110 3 3 2 3" xfId="11077"/>
    <cellStyle name="Accent6 2 2 5" xfId="11078"/>
    <cellStyle name="Accent6 2 2 6" xfId="11079"/>
    <cellStyle name="args.style 2" xfId="11080"/>
    <cellStyle name="Accent6 2 3" xfId="11081"/>
    <cellStyle name="Accent6 2 4" xfId="11082"/>
    <cellStyle name="Accent6 2 4 2" xfId="11083"/>
    <cellStyle name="Input [yellow] 2 11 2 2 10" xfId="11084"/>
    <cellStyle name="Accent6 2 4 3" xfId="11085"/>
    <cellStyle name="Accent6 2 5" xfId="11086"/>
    <cellStyle name="Accent6 2 6" xfId="11087"/>
    <cellStyle name="Accent6 2 7" xfId="11088"/>
    <cellStyle name="Accent6 2 8" xfId="11089"/>
    <cellStyle name="Accent6 2 9" xfId="11090"/>
    <cellStyle name="输入 3 6 2" xfId="11091"/>
    <cellStyle name="常规 57 13" xfId="11092"/>
    <cellStyle name="常规 62 13" xfId="11093"/>
    <cellStyle name="常规 125 3 5" xfId="11094"/>
    <cellStyle name="常规 130 3 5" xfId="11095"/>
    <cellStyle name="Accent6 26" xfId="11096"/>
    <cellStyle name="Accent6 31" xfId="11097"/>
    <cellStyle name="常规 57 14" xfId="11098"/>
    <cellStyle name="常规 62 14" xfId="11099"/>
    <cellStyle name="常规 125 3 6" xfId="11100"/>
    <cellStyle name="常规 130 3 6" xfId="11101"/>
    <cellStyle name="Accent6 27" xfId="11102"/>
    <cellStyle name="Accent6 32" xfId="11103"/>
    <cellStyle name="Accent6 3" xfId="11104"/>
    <cellStyle name="常规 77 10" xfId="11105"/>
    <cellStyle name="常规 82 10" xfId="11106"/>
    <cellStyle name="Accent6 3 13" xfId="11107"/>
    <cellStyle name="常规 127 3 2" xfId="11108"/>
    <cellStyle name="常规 132 3 2" xfId="11109"/>
    <cellStyle name="常规 77 11" xfId="11110"/>
    <cellStyle name="常规 82 11" xfId="11111"/>
    <cellStyle name="Accent6 3 14" xfId="11112"/>
    <cellStyle name="常规 127 3 3" xfId="11113"/>
    <cellStyle name="常规 132 3 3" xfId="11114"/>
    <cellStyle name="常规 77 12" xfId="11115"/>
    <cellStyle name="常规 82 12" xfId="11116"/>
    <cellStyle name="Accent6 3 15" xfId="11117"/>
    <cellStyle name="常规 127 3 4" xfId="11118"/>
    <cellStyle name="常规 132 3 4" xfId="11119"/>
    <cellStyle name="常规 77 13" xfId="11120"/>
    <cellStyle name="常规 82 13" xfId="11121"/>
    <cellStyle name="Accent6 3 16" xfId="11122"/>
    <cellStyle name="常规 127 3 5" xfId="11123"/>
    <cellStyle name="常规 132 3 5" xfId="11124"/>
    <cellStyle name="常规 77 14" xfId="11125"/>
    <cellStyle name="常规 82 14" xfId="11126"/>
    <cellStyle name="Accent6 3 17" xfId="11127"/>
    <cellStyle name="常规 127 3 6" xfId="11128"/>
    <cellStyle name="常规 132 3 6" xfId="11129"/>
    <cellStyle name="常规 77 15" xfId="11130"/>
    <cellStyle name="常规 77 20" xfId="11131"/>
    <cellStyle name="常规 82 15" xfId="11132"/>
    <cellStyle name="常规 82 20" xfId="11133"/>
    <cellStyle name="Accent6 3 18" xfId="11134"/>
    <cellStyle name="常规 127 3 7" xfId="11135"/>
    <cellStyle name="常规 132 3 7" xfId="11136"/>
    <cellStyle name="常规 77 16" xfId="11137"/>
    <cellStyle name="常规 77 21" xfId="11138"/>
    <cellStyle name="常规 82 16" xfId="11139"/>
    <cellStyle name="常规 82 21" xfId="11140"/>
    <cellStyle name="Accent6 3 19" xfId="11141"/>
    <cellStyle name="常规 127 3 8" xfId="11142"/>
    <cellStyle name="常规 132 3 8" xfId="11143"/>
    <cellStyle name="常规 129 5 2 3" xfId="11144"/>
    <cellStyle name="常规 134 5 2 3" xfId="11145"/>
    <cellStyle name="Accent6 3 2 10" xfId="11146"/>
    <cellStyle name="Accent6 3 2 11" xfId="11147"/>
    <cellStyle name="Accent6 3 2 12" xfId="11148"/>
    <cellStyle name="Accent6 3 2 13" xfId="11149"/>
    <cellStyle name="Accent6 3 2 14" xfId="11150"/>
    <cellStyle name="Accent6 3 2 15" xfId="11151"/>
    <cellStyle name="Accent6 3 2 16" xfId="11152"/>
    <cellStyle name="Accent6 3 2 17" xfId="11153"/>
    <cellStyle name="Accent6 3 2 18" xfId="11154"/>
    <cellStyle name="origAmountCrD 9 2 2 4" xfId="11155"/>
    <cellStyle name="Accent6 3 2 2" xfId="11156"/>
    <cellStyle name="origAmountCrD 9 2 2 5" xfId="11157"/>
    <cellStyle name="输入 2 7 3 2 2" xfId="11158"/>
    <cellStyle name="Accent6 3 2 3" xfId="11159"/>
    <cellStyle name="Accent6 3 2 3 2" xfId="11160"/>
    <cellStyle name="Accent6 3 2 3 3" xfId="11161"/>
    <cellStyle name="origAmountCrD 9 2 2 6" xfId="11162"/>
    <cellStyle name="输入 2 7 3 2 3" xfId="11163"/>
    <cellStyle name="Accent6 3 2 4" xfId="11164"/>
    <cellStyle name="检查单元格 2 2 10" xfId="11165"/>
    <cellStyle name="origAmountCrD 9 2 2 7" xfId="11166"/>
    <cellStyle name="Accent6 3 2 5" xfId="11167"/>
    <cellStyle name="检查单元格 2 2 11" xfId="11168"/>
    <cellStyle name="origAmountCrD 9 2 2 8" xfId="11169"/>
    <cellStyle name="Accent6 3 2 6" xfId="11170"/>
    <cellStyle name="检查单元格 2 2 12" xfId="11171"/>
    <cellStyle name="origAmountCrD 9 2 2 9" xfId="11172"/>
    <cellStyle name="Accent6 3 2 7" xfId="11173"/>
    <cellStyle name="检查单元格 2 2 13" xfId="11174"/>
    <cellStyle name="Accent6 3 2 8" xfId="11175"/>
    <cellStyle name="检查单元格 2 2 14" xfId="11176"/>
    <cellStyle name="Accent6 3 2 9" xfId="11177"/>
    <cellStyle name="Accent6 3 4 2 2" xfId="11178"/>
    <cellStyle name="Accent6 3 4 2 3" xfId="11179"/>
    <cellStyle name="Input [yellow] 2 2 3 2 2 7" xfId="11180"/>
    <cellStyle name="Accent6 3 4 3" xfId="11181"/>
    <cellStyle name="输入 3 5 15" xfId="11182"/>
    <cellStyle name="Accent6 3 5" xfId="11183"/>
    <cellStyle name="Accent6 3 6" xfId="11184"/>
    <cellStyle name="Accent6 3 7" xfId="11185"/>
    <cellStyle name="Accent6 3 8" xfId="11186"/>
    <cellStyle name="Accent6 3 9" xfId="11187"/>
    <cellStyle name="输入 3 7 2" xfId="11188"/>
    <cellStyle name="Accent6 4" xfId="11189"/>
    <cellStyle name="Accent6 5" xfId="11190"/>
    <cellStyle name="Accent6 5 2" xfId="11191"/>
    <cellStyle name="常规 99 3 3 2 2" xfId="11192"/>
    <cellStyle name="Accent6 5 3" xfId="11193"/>
    <cellStyle name="常规 99 3 3 2 3" xfId="11194"/>
    <cellStyle name="Accent6 5 4" xfId="11195"/>
    <cellStyle name="Accent6 6" xfId="11196"/>
    <cellStyle name="Accent6 6 2" xfId="11197"/>
    <cellStyle name="常规 119 2 4 2 2" xfId="11198"/>
    <cellStyle name="常规 124 2 4 2 2" xfId="11199"/>
    <cellStyle name="Accent6 6 3" xfId="11200"/>
    <cellStyle name="常规 119 2 4 2 3" xfId="11201"/>
    <cellStyle name="常规 124 2 4 2 3" xfId="11202"/>
    <cellStyle name="Accent6 6 4" xfId="11203"/>
    <cellStyle name="Accent6 7" xfId="11204"/>
    <cellStyle name="Accent6 7 2" xfId="11205"/>
    <cellStyle name="Accent6 7 3" xfId="11206"/>
    <cellStyle name="Accent6 7 4" xfId="11207"/>
    <cellStyle name="Accent6 8" xfId="11208"/>
    <cellStyle name="常规 87 10" xfId="11209"/>
    <cellStyle name="常规 92 10" xfId="11210"/>
    <cellStyle name="Accent6 8 13" xfId="11211"/>
    <cellStyle name="常规 128 3 2" xfId="11212"/>
    <cellStyle name="常规 133 3 2" xfId="11213"/>
    <cellStyle name="常规 87 11" xfId="11214"/>
    <cellStyle name="常规 92 11" xfId="11215"/>
    <cellStyle name="Accent6 8 14" xfId="11216"/>
    <cellStyle name="常规 128 3 3" xfId="11217"/>
    <cellStyle name="常规 133 3 3" xfId="11218"/>
    <cellStyle name="常规 87 12" xfId="11219"/>
    <cellStyle name="常规 92 12" xfId="11220"/>
    <cellStyle name="Accent6 8 15" xfId="11221"/>
    <cellStyle name="常规 128 3 4" xfId="11222"/>
    <cellStyle name="常规 133 3 4" xfId="11223"/>
    <cellStyle name="常规 87 13" xfId="11224"/>
    <cellStyle name="常规 92 13" xfId="11225"/>
    <cellStyle name="Accent6 8 16" xfId="11226"/>
    <cellStyle name="常规 128 3 5" xfId="11227"/>
    <cellStyle name="常规 133 3 5" xfId="11228"/>
    <cellStyle name="输出 2 2 8 2 4" xfId="11229"/>
    <cellStyle name="常规 65 2 2 17" xfId="11230"/>
    <cellStyle name="常规 70 2 2 17" xfId="11231"/>
    <cellStyle name="Accent6 8 3 2 2" xfId="11232"/>
    <cellStyle name="输出 2 2 8 2 5" xfId="11233"/>
    <cellStyle name="常规 65 2 2 18" xfId="11234"/>
    <cellStyle name="常规 70 2 2 18" xfId="11235"/>
    <cellStyle name="Accent6 8 3 2 3" xfId="11236"/>
    <cellStyle name="常规 15 2 3 2 3" xfId="11237"/>
    <cellStyle name="常规 20 2 3 2 3" xfId="11238"/>
    <cellStyle name="Accent6 8 4" xfId="11239"/>
    <cellStyle name="Accent6 8 5" xfId="11240"/>
    <cellStyle name="Accent6 8 6" xfId="11241"/>
    <cellStyle name="Accent6 8 7" xfId="11242"/>
    <cellStyle name="常规 138 2 4 2" xfId="11243"/>
    <cellStyle name="常规 143 2 4 2" xfId="11244"/>
    <cellStyle name="Accent6 8 8" xfId="11245"/>
    <cellStyle name="Accent6 9" xfId="11246"/>
    <cellStyle name="Accent6 9 3 2" xfId="11247"/>
    <cellStyle name="Accent6 9 3 3" xfId="11248"/>
    <cellStyle name="Accent6 9 9" xfId="11249"/>
    <cellStyle name="args.style 2 10" xfId="11250"/>
    <cellStyle name="args.style 2 11" xfId="11251"/>
    <cellStyle name="args.style 2 12" xfId="11252"/>
    <cellStyle name="args.style 2 13" xfId="11253"/>
    <cellStyle name="args.style 2 14" xfId="11254"/>
    <cellStyle name="args.style 2 15" xfId="11255"/>
    <cellStyle name="args.style 2 16" xfId="11256"/>
    <cellStyle name="args.style 2 17" xfId="11257"/>
    <cellStyle name="args.style 2 2" xfId="11258"/>
    <cellStyle name="Input [yellow] 2 7 2 2 7" xfId="11259"/>
    <cellStyle name="args.style 2 3" xfId="11260"/>
    <cellStyle name="Input [yellow] 2 7 2 2 8" xfId="11261"/>
    <cellStyle name="args.style 2 4" xfId="11262"/>
    <cellStyle name="Input [yellow] 2 7 2 2 9" xfId="11263"/>
    <cellStyle name="args.style 2 5" xfId="11264"/>
    <cellStyle name="args.style 2 6" xfId="11265"/>
    <cellStyle name="args.style 2 7" xfId="11266"/>
    <cellStyle name="常规 162 2 18" xfId="11267"/>
    <cellStyle name="auxAccCustomerNameD" xfId="11268"/>
    <cellStyle name="auxAccCustomerNameT" xfId="11269"/>
    <cellStyle name="Input [yellow] 2 2 3 2 3" xfId="11270"/>
    <cellStyle name="Comma [0]_!!!GO" xfId="11271"/>
    <cellStyle name="comma zerodec 16" xfId="11272"/>
    <cellStyle name="comma zerodec 17" xfId="11273"/>
    <cellStyle name="comma zerodec 18" xfId="11274"/>
    <cellStyle name="常规 28 2 8" xfId="11275"/>
    <cellStyle name="常规 33 2 8" xfId="11276"/>
    <cellStyle name="comma zerodec 2 10" xfId="11277"/>
    <cellStyle name="常规 28 2 9" xfId="11278"/>
    <cellStyle name="常规 33 2 9" xfId="11279"/>
    <cellStyle name="comma zerodec 2 11" xfId="11280"/>
    <cellStyle name="comma zerodec 2 12" xfId="11281"/>
    <cellStyle name="comma zerodec 2 13" xfId="11282"/>
    <cellStyle name="comma zerodec 2 16" xfId="11283"/>
    <cellStyle name="comma zerodec 2 17" xfId="11284"/>
    <cellStyle name="常规 108 5 2 3" xfId="11285"/>
    <cellStyle name="常规 113 5 2 3" xfId="11286"/>
    <cellStyle name="comma zerodec 2 8" xfId="11287"/>
    <cellStyle name="comma zerodec 2 9" xfId="11288"/>
    <cellStyle name="Currency_!!!GO" xfId="11289"/>
    <cellStyle name="输出 2 8" xfId="11290"/>
    <cellStyle name="Header2 3 4 5" xfId="11291"/>
    <cellStyle name="Input [yellow] 2 6 3 2" xfId="11292"/>
    <cellStyle name="Currency1 10" xfId="11293"/>
    <cellStyle name="Input [yellow] 2 6 3 3" xfId="11294"/>
    <cellStyle name="Currency1 11" xfId="11295"/>
    <cellStyle name="Currency1 12" xfId="11296"/>
    <cellStyle name="Currency1 13" xfId="11297"/>
    <cellStyle name="Currency1 14" xfId="11298"/>
    <cellStyle name="Currency1 15" xfId="11299"/>
    <cellStyle name="Currency1 16" xfId="11300"/>
    <cellStyle name="Currency1 17" xfId="11301"/>
    <cellStyle name="Currency1 18" xfId="11302"/>
    <cellStyle name="常规 5 3 3 2 2" xfId="11303"/>
    <cellStyle name="Currency1 2 10" xfId="11304"/>
    <cellStyle name="常规 5 3 3 2 3" xfId="11305"/>
    <cellStyle name="Currency1 2 11" xfId="11306"/>
    <cellStyle name="Currency1 2 12" xfId="11307"/>
    <cellStyle name="origAmountCrD 12 2 2" xfId="11308"/>
    <cellStyle name="Currency1 2 13" xfId="11309"/>
    <cellStyle name="origAmountCrD 12 2 3" xfId="11310"/>
    <cellStyle name="Currency1 2 14" xfId="11311"/>
    <cellStyle name="origAmountCrD 12 2 4" xfId="11312"/>
    <cellStyle name="Currency1 2 15" xfId="11313"/>
    <cellStyle name="origAmountCrD 12 2 5" xfId="11314"/>
    <cellStyle name="Currency1 2 16" xfId="11315"/>
    <cellStyle name="origAmountCrD 12 2 6" xfId="11316"/>
    <cellStyle name="Currency1 2 17" xfId="11317"/>
    <cellStyle name="常规 126 2 2 10" xfId="11318"/>
    <cellStyle name="常规 131 2 2 10" xfId="11319"/>
    <cellStyle name="origAmountCrD 12 2 7" xfId="11320"/>
    <cellStyle name="Currency1 2 2" xfId="11321"/>
    <cellStyle name="Currency1 2 5" xfId="11322"/>
    <cellStyle name="origAmountCrD 4 2 3" xfId="11323"/>
    <cellStyle name="Currency1 2 6" xfId="11324"/>
    <cellStyle name="origAmountCrD 4 2 4" xfId="11325"/>
    <cellStyle name="Currency1 2 7" xfId="11326"/>
    <cellStyle name="origAmountCrD 4 2 5" xfId="11327"/>
    <cellStyle name="Currency1 2 8" xfId="11328"/>
    <cellStyle name="origAmountCrD 4 2 6" xfId="11329"/>
    <cellStyle name="origAmountCrD 2 4 2 2 2" xfId="11330"/>
    <cellStyle name="Currency1 2 9" xfId="11331"/>
    <cellStyle name="origAmountCrD 4 2 7" xfId="11332"/>
    <cellStyle name="汇总 3 2 7 2 10" xfId="11333"/>
    <cellStyle name="Currency1 3 2" xfId="11334"/>
    <cellStyle name="汇总 3 2 7 2 11" xfId="11335"/>
    <cellStyle name="Currency1 3 3" xfId="11336"/>
    <cellStyle name="常规 105 2" xfId="11337"/>
    <cellStyle name="常规 110 2" xfId="11338"/>
    <cellStyle name="Currency1 8" xfId="11339"/>
    <cellStyle name="常规 105 3" xfId="11340"/>
    <cellStyle name="常规 110 3" xfId="11341"/>
    <cellStyle name="Currency1 9" xfId="11342"/>
    <cellStyle name="Date" xfId="11343"/>
    <cellStyle name="常规 2 18" xfId="11344"/>
    <cellStyle name="常规 2 23" xfId="11345"/>
    <cellStyle name="计算 3 5 7" xfId="11346"/>
    <cellStyle name="Date 10" xfId="11347"/>
    <cellStyle name="常规 2 19" xfId="11348"/>
    <cellStyle name="计算 3 5 8" xfId="11349"/>
    <cellStyle name="Date 11" xfId="11350"/>
    <cellStyle name="计算 3 5 9" xfId="11351"/>
    <cellStyle name="Date 12" xfId="11352"/>
    <cellStyle name="Date 13" xfId="11353"/>
    <cellStyle name="Date 14" xfId="11354"/>
    <cellStyle name="Date 15" xfId="11355"/>
    <cellStyle name="Date 16" xfId="11356"/>
    <cellStyle name="Date 17" xfId="11357"/>
    <cellStyle name="Date 2" xfId="11358"/>
    <cellStyle name="常规 97 2 2 13" xfId="11359"/>
    <cellStyle name="Date 2 2 2" xfId="11360"/>
    <cellStyle name="输入 3 2 10 2 8" xfId="11361"/>
    <cellStyle name="编号 6 10" xfId="11362"/>
    <cellStyle name="origAmountDrD 10 2 2 4" xfId="11363"/>
    <cellStyle name="Date 2 7" xfId="11364"/>
    <cellStyle name="Date 2 8" xfId="11365"/>
    <cellStyle name="Date 2 9" xfId="11366"/>
    <cellStyle name="Date 3" xfId="11367"/>
    <cellStyle name="Date 4" xfId="11368"/>
    <cellStyle name="Date 5" xfId="11369"/>
    <cellStyle name="Date 6" xfId="11370"/>
    <cellStyle name="Date 7" xfId="11371"/>
    <cellStyle name="Date 8" xfId="11372"/>
    <cellStyle name="Normal - Style1 2 10" xfId="11373"/>
    <cellStyle name="Date 9" xfId="11374"/>
    <cellStyle name="计算 3 3 3 2 2" xfId="11375"/>
    <cellStyle name="docwordCodeD" xfId="11376"/>
    <cellStyle name="常规 167 9" xfId="11377"/>
    <cellStyle name="常规 172 9" xfId="11378"/>
    <cellStyle name="Dollar (zero dec)" xfId="11379"/>
    <cellStyle name="Input [yellow] 3 10 2 2 8" xfId="11380"/>
    <cellStyle name="Dollar (zero dec) 10" xfId="11381"/>
    <cellStyle name="Input [yellow] 3 10 2 2 9" xfId="11382"/>
    <cellStyle name="Dollar (zero dec) 11" xfId="11383"/>
    <cellStyle name="Dollar (zero dec) 12" xfId="11384"/>
    <cellStyle name="Dollar (zero dec) 13" xfId="11385"/>
    <cellStyle name="常规 7 3 2" xfId="11386"/>
    <cellStyle name="Dollar (zero dec) 14" xfId="11387"/>
    <cellStyle name="常规 7 3 3" xfId="11388"/>
    <cellStyle name="Dollar (zero dec) 15" xfId="11389"/>
    <cellStyle name="常规 117 2 2 3 2" xfId="11390"/>
    <cellStyle name="常规 122 2 2 3 2" xfId="11391"/>
    <cellStyle name="常规 7 3 4" xfId="11392"/>
    <cellStyle name="Dollar (zero dec) 16" xfId="11393"/>
    <cellStyle name="常规 117 2 2 3 3" xfId="11394"/>
    <cellStyle name="常规 122 2 2 3 3" xfId="11395"/>
    <cellStyle name="常规 7 3 5" xfId="11396"/>
    <cellStyle name="Dollar (zero dec) 17" xfId="11397"/>
    <cellStyle name="常规 7 3 6" xfId="11398"/>
    <cellStyle name="Dollar (zero dec) 18" xfId="11399"/>
    <cellStyle name="origAmountCrD 10 2 2 11" xfId="11400"/>
    <cellStyle name="Input [yellow] 2 2 3 19" xfId="11401"/>
    <cellStyle name="Dollar (zero dec) 2" xfId="11402"/>
    <cellStyle name="Dollar (zero dec) 2 10" xfId="11403"/>
    <cellStyle name="Dollar (zero dec) 2 11" xfId="11404"/>
    <cellStyle name="origAmountCrD 5 10" xfId="11405"/>
    <cellStyle name="Dollar (zero dec) 2 12" xfId="11406"/>
    <cellStyle name="origAmountCrD 5 11" xfId="11407"/>
    <cellStyle name="Dollar (zero dec) 2 13" xfId="11408"/>
    <cellStyle name="origAmountCrD 5 12" xfId="11409"/>
    <cellStyle name="Dollar (zero dec) 2 14" xfId="11410"/>
    <cellStyle name="origAmountCrD 5 13" xfId="11411"/>
    <cellStyle name="Dollar (zero dec) 2 15" xfId="11412"/>
    <cellStyle name="origAmountCrD 5 14" xfId="11413"/>
    <cellStyle name="Dollar (zero dec) 2 16" xfId="11414"/>
    <cellStyle name="origAmountCrD 5 15" xfId="11415"/>
    <cellStyle name="Dollar (zero dec) 2 17" xfId="11416"/>
    <cellStyle name="Dollar (zero dec) 2 2" xfId="11417"/>
    <cellStyle name="Dollar (zero dec) 2 3" xfId="11418"/>
    <cellStyle name="Dollar (zero dec) 2 4" xfId="11419"/>
    <cellStyle name="计算 2 2 8 2" xfId="11420"/>
    <cellStyle name="Input [yellow] 16 2 10" xfId="11421"/>
    <cellStyle name="Dollar (zero dec) 2 5" xfId="11422"/>
    <cellStyle name="计算 2 2 8 3" xfId="11423"/>
    <cellStyle name="Input [yellow] 16 2 11" xfId="11424"/>
    <cellStyle name="Dollar (zero dec) 2 6" xfId="11425"/>
    <cellStyle name="计算 2 2 8 4" xfId="11426"/>
    <cellStyle name="Input [yellow] 16 2 12" xfId="11427"/>
    <cellStyle name="标题 3 4 2" xfId="11428"/>
    <cellStyle name="Dollar (zero dec) 2 7" xfId="11429"/>
    <cellStyle name="计算 2 2 8 5" xfId="11430"/>
    <cellStyle name="标题 3 4 3" xfId="11431"/>
    <cellStyle name="Dollar (zero dec) 2 8" xfId="11432"/>
    <cellStyle name="计算 3 2 10 2 2" xfId="11433"/>
    <cellStyle name="汇总 3 4 10" xfId="11434"/>
    <cellStyle name="计算 2 2 8 6" xfId="11435"/>
    <cellStyle name="标题 3 4 4" xfId="11436"/>
    <cellStyle name="Dollar (zero dec) 2 9" xfId="11437"/>
    <cellStyle name="origAmountCrD 10 2 2 12" xfId="11438"/>
    <cellStyle name="Dollar (zero dec) 3" xfId="11439"/>
    <cellStyle name="商品名称 8" xfId="11440"/>
    <cellStyle name="Dollar (zero dec) 3 2" xfId="11441"/>
    <cellStyle name="常规 118 10" xfId="11442"/>
    <cellStyle name="常规 123 10" xfId="11443"/>
    <cellStyle name="Dollar (zero dec) 4" xfId="11444"/>
    <cellStyle name="e鯪9Y_x000b_ 10" xfId="11445"/>
    <cellStyle name="e鯪9Y_x000b_ 11" xfId="11446"/>
    <cellStyle name="e鯪9Y_x000b_ 12" xfId="11447"/>
    <cellStyle name="输出 3 3 5 10" xfId="11448"/>
    <cellStyle name="e鯪9Y_x000b_ 13" xfId="11449"/>
    <cellStyle name="输出 3 3 5 11" xfId="11450"/>
    <cellStyle name="e鯪9Y_x000b_ 14" xfId="11451"/>
    <cellStyle name="输出 3 3 5 12" xfId="11452"/>
    <cellStyle name="e鯪9Y_x000b_ 15" xfId="11453"/>
    <cellStyle name="e鯪9Y_x000b_ 20" xfId="11454"/>
    <cellStyle name="e鯪9Y_x000b_ 16" xfId="11455"/>
    <cellStyle name="e鯪9Y_x000b_ 21" xfId="11456"/>
    <cellStyle name="e鯪9Y_x000b_ 17" xfId="11457"/>
    <cellStyle name="e鯪9Y_x000b_ 22" xfId="11458"/>
    <cellStyle name="e鯪9Y_x000b_ 18" xfId="11459"/>
    <cellStyle name="e鯪9Y_x000b_ 23" xfId="11460"/>
    <cellStyle name="e鯪9Y_x000b_ 19" xfId="11461"/>
    <cellStyle name="PSHeading 8 2 2" xfId="11462"/>
    <cellStyle name="e鯪9Y_x000b_ 2" xfId="11463"/>
    <cellStyle name="e鯪9Y_x000b_ 2 12" xfId="11464"/>
    <cellStyle name="e鯪9Y_x000b_ 2 13" xfId="11465"/>
    <cellStyle name="e鯪9Y_x000b_ 2 14" xfId="11466"/>
    <cellStyle name="e鯪9Y_x000b_ 2 15" xfId="11467"/>
    <cellStyle name="e鯪9Y_x000b_ 2 16" xfId="11468"/>
    <cellStyle name="e鯪9Y_x000b_ 2 17" xfId="11469"/>
    <cellStyle name="e鯪9Y_x000b_ 2 3 2" xfId="11470"/>
    <cellStyle name="Input [yellow] 9 10" xfId="11471"/>
    <cellStyle name="e鯪9Y_x000b_ 2 3 2 2" xfId="11472"/>
    <cellStyle name="Input [yellow] 9 11" xfId="11473"/>
    <cellStyle name="e鯪9Y_x000b_ 2 3 2 3" xfId="11474"/>
    <cellStyle name="e鯪9Y_x000b_ 2 3 3" xfId="11475"/>
    <cellStyle name="e鯪9Y_x000b_ 3" xfId="11476"/>
    <cellStyle name="计算 3 3 2 14" xfId="11477"/>
    <cellStyle name="常规 27 2 6" xfId="11478"/>
    <cellStyle name="常规 32 2 6" xfId="11479"/>
    <cellStyle name="e鯪9Y_x000b_ 3 10" xfId="11480"/>
    <cellStyle name="计算 3 3 2 15" xfId="11481"/>
    <cellStyle name="常规 27 2 7" xfId="11482"/>
    <cellStyle name="常规 32 2 7" xfId="11483"/>
    <cellStyle name="e鯪9Y_x000b_ 3 11" xfId="11484"/>
    <cellStyle name="计算 3 3 2 16" xfId="11485"/>
    <cellStyle name="常规 27 2 8" xfId="11486"/>
    <cellStyle name="常规 32 2 8" xfId="11487"/>
    <cellStyle name="e鯪9Y_x000b_ 3 12" xfId="11488"/>
    <cellStyle name="计算 3 3 2 17" xfId="11489"/>
    <cellStyle name="常规 27 2 9" xfId="11490"/>
    <cellStyle name="常规 32 2 9" xfId="11491"/>
    <cellStyle name="e鯪9Y_x000b_ 3 13" xfId="11492"/>
    <cellStyle name="汇总 4 3 2 2" xfId="11493"/>
    <cellStyle name="e鯪9Y_x000b_ 3 14" xfId="11494"/>
    <cellStyle name="origAmountCrD 8 2 3 2" xfId="11495"/>
    <cellStyle name="常规 6 2 10" xfId="11496"/>
    <cellStyle name="汇总 4 3 2 3" xfId="11497"/>
    <cellStyle name="e鯪9Y_x000b_ 3 15" xfId="11498"/>
    <cellStyle name="origAmountCrD 8 2 3 3" xfId="11499"/>
    <cellStyle name="常规 6 2 11" xfId="11500"/>
    <cellStyle name="常规 6 2 12" xfId="11501"/>
    <cellStyle name="e鯪9Y_x000b_ 3 16" xfId="11502"/>
    <cellStyle name="常规 6 2 13" xfId="11503"/>
    <cellStyle name="e鯪9Y_x000b_ 3 17" xfId="11504"/>
    <cellStyle name="常规 6 2 14" xfId="11505"/>
    <cellStyle name="常规 158 2 10" xfId="11506"/>
    <cellStyle name="e鯪9Y_x000b_ 3 18" xfId="11507"/>
    <cellStyle name="e鯪9Y_x000b_ 3 2" xfId="11508"/>
    <cellStyle name="e鯪9Y_x000b_ 3 3" xfId="11509"/>
    <cellStyle name="常规 6 2 2 7" xfId="11510"/>
    <cellStyle name="e鯪9Y_x000b_ 3 3 2" xfId="11511"/>
    <cellStyle name="e鯪9Y_x000b_ 3 3 2 2" xfId="11512"/>
    <cellStyle name="e鯪9Y_x000b_ 3 3 2 3" xfId="11513"/>
    <cellStyle name="常规 6 2 2 8" xfId="11514"/>
    <cellStyle name="e鯪9Y_x000b_ 3 3 3" xfId="11515"/>
    <cellStyle name="e鯪9Y_x000b_ 3 4" xfId="11516"/>
    <cellStyle name="e鯪9Y_x000b_ 3 5" xfId="11517"/>
    <cellStyle name="e鯪9Y_x000b_ 4" xfId="11518"/>
    <cellStyle name="e鯪9Y_x000b_ 5" xfId="11519"/>
    <cellStyle name="e鯪9Y_x000b_ 5 2" xfId="11520"/>
    <cellStyle name="常规 97 6" xfId="11521"/>
    <cellStyle name="好 2 16" xfId="11522"/>
    <cellStyle name="e鯪9Y_x000b_ 5 2 2" xfId="11523"/>
    <cellStyle name="Input Cells 3" xfId="11524"/>
    <cellStyle name="常规 97 7" xfId="11525"/>
    <cellStyle name="好 2 17" xfId="11526"/>
    <cellStyle name="e鯪9Y_x000b_ 5 2 3" xfId="11527"/>
    <cellStyle name="Input Cells 4" xfId="11528"/>
    <cellStyle name="e鯪9Y_x000b_ 5 3" xfId="11529"/>
    <cellStyle name="e鯪9Y_x000b_ 6" xfId="11530"/>
    <cellStyle name="e鯪9Y_x000b_ 7" xfId="11531"/>
    <cellStyle name="e鯪9Y_x000b_ 8" xfId="11532"/>
    <cellStyle name="origAmountCrD 13 2 2" xfId="11533"/>
    <cellStyle name="e鯪9Y_x000b_ 9" xfId="11534"/>
    <cellStyle name="商品名称 5 11" xfId="11535"/>
    <cellStyle name="Grey" xfId="11536"/>
    <cellStyle name="Grey 17" xfId="11537"/>
    <cellStyle name="Grey 18" xfId="11538"/>
    <cellStyle name="标题1 5 5" xfId="11539"/>
    <cellStyle name="Grey 2 10" xfId="11540"/>
    <cellStyle name="标题1 5 6" xfId="11541"/>
    <cellStyle name="Grey 2 11" xfId="11542"/>
    <cellStyle name="好_Book1 2 4 2" xfId="11543"/>
    <cellStyle name="Grey 2 12" xfId="11544"/>
    <cellStyle name="标题1 5 7" xfId="11545"/>
    <cellStyle name="好_Book1 2 4 3" xfId="11546"/>
    <cellStyle name="Grey 2 13" xfId="11547"/>
    <cellStyle name="标题1 5 8" xfId="11548"/>
    <cellStyle name="标题1 5 9" xfId="11549"/>
    <cellStyle name="Grey 2 14" xfId="11550"/>
    <cellStyle name="Grey 2 15" xfId="11551"/>
    <cellStyle name="Grey 2 16" xfId="11552"/>
    <cellStyle name="常规 148 2 4 2" xfId="11553"/>
    <cellStyle name="Grey 2 17" xfId="11554"/>
    <cellStyle name="汇总 3 3 2 5" xfId="11555"/>
    <cellStyle name="好_Book1 2 10" xfId="11556"/>
    <cellStyle name="Grey 2 2" xfId="11557"/>
    <cellStyle name="标题1 16" xfId="11558"/>
    <cellStyle name="标题1 21" xfId="11559"/>
    <cellStyle name="Header2 10 5" xfId="11560"/>
    <cellStyle name="Grey 2 2 2" xfId="11561"/>
    <cellStyle name="汇总 3 3 2 6" xfId="11562"/>
    <cellStyle name="好_Book1 2 11" xfId="11563"/>
    <cellStyle name="常规 148 2 10" xfId="11564"/>
    <cellStyle name="常规 153 2 10" xfId="11565"/>
    <cellStyle name="Grey 2 3" xfId="11566"/>
    <cellStyle name="标题1 17" xfId="11567"/>
    <cellStyle name="标题1 22" xfId="11568"/>
    <cellStyle name="汇总 3 3 2 7" xfId="11569"/>
    <cellStyle name="好_Book1 2 12" xfId="11570"/>
    <cellStyle name="常规 148 2 11" xfId="11571"/>
    <cellStyle name="常规 153 2 11" xfId="11572"/>
    <cellStyle name="Grey 2 4" xfId="11573"/>
    <cellStyle name="标题1 18" xfId="11574"/>
    <cellStyle name="标题1 23" xfId="11575"/>
    <cellStyle name="汇总 3 3 2 8" xfId="11576"/>
    <cellStyle name="好_Book1 2 13" xfId="11577"/>
    <cellStyle name="常规 148 2 12" xfId="11578"/>
    <cellStyle name="常规 153 2 12" xfId="11579"/>
    <cellStyle name="Grey 2 5" xfId="11580"/>
    <cellStyle name="标题1 19" xfId="11581"/>
    <cellStyle name="标题1 24" xfId="11582"/>
    <cellStyle name="汇总 3 3 2 9" xfId="11583"/>
    <cellStyle name="好_Book1 2 14" xfId="11584"/>
    <cellStyle name="常规 148 2 13" xfId="11585"/>
    <cellStyle name="常规 153 2 13" xfId="11586"/>
    <cellStyle name="Grey 2 6" xfId="11587"/>
    <cellStyle name="标题1 25" xfId="11588"/>
    <cellStyle name="好_Book1 2 15" xfId="11589"/>
    <cellStyle name="常规 148 2 14" xfId="11590"/>
    <cellStyle name="常规 153 2 14" xfId="11591"/>
    <cellStyle name="Grey 2 7" xfId="11592"/>
    <cellStyle name="标题1 26" xfId="11593"/>
    <cellStyle name="好_Book1 2 16" xfId="11594"/>
    <cellStyle name="常规 148 2 15" xfId="11595"/>
    <cellStyle name="常规 153 2 15" xfId="11596"/>
    <cellStyle name="Grey 2 8" xfId="11597"/>
    <cellStyle name="标题1 27" xfId="11598"/>
    <cellStyle name="好_Book1 2 17" xfId="11599"/>
    <cellStyle name="常规 148 2 16" xfId="11600"/>
    <cellStyle name="常规 153 2 16" xfId="11601"/>
    <cellStyle name="Grey 2 9" xfId="11602"/>
    <cellStyle name="标题1 28" xfId="11603"/>
    <cellStyle name="Grey 3" xfId="11604"/>
    <cellStyle name="计算 2 2 3 11" xfId="11605"/>
    <cellStyle name="汇总 3 3 3 6" xfId="11606"/>
    <cellStyle name="Grey 3 3" xfId="11607"/>
    <cellStyle name="Input [yellow] 3 2 2 2 2 6" xfId="11608"/>
    <cellStyle name="Grey 4" xfId="11609"/>
    <cellStyle name="Grey 5" xfId="11610"/>
    <cellStyle name="差_Book1" xfId="11611"/>
    <cellStyle name="Grey 6" xfId="11612"/>
    <cellStyle name="Grey 8" xfId="11613"/>
    <cellStyle name="Grey 9" xfId="11614"/>
    <cellStyle name="Header1" xfId="11615"/>
    <cellStyle name="Header1 2" xfId="11616"/>
    <cellStyle name="Header1 2 2" xfId="11617"/>
    <cellStyle name="Header1 3" xfId="11618"/>
    <cellStyle name="Header1 4" xfId="11619"/>
    <cellStyle name="Header1 5" xfId="11620"/>
    <cellStyle name="Header1 6" xfId="11621"/>
    <cellStyle name="Header1 7" xfId="11622"/>
    <cellStyle name="Header1 8" xfId="11623"/>
    <cellStyle name="Header1 9" xfId="11624"/>
    <cellStyle name="Header2" xfId="11625"/>
    <cellStyle name="Header2 10" xfId="11626"/>
    <cellStyle name="百分比 2 2 4" xfId="11627"/>
    <cellStyle name="Header2 3 7 16" xfId="11628"/>
    <cellStyle name="Input [yellow] 2 3 2 2 3" xfId="11629"/>
    <cellStyle name="汇总 2 2 2 2 11" xfId="11630"/>
    <cellStyle name="Header2 10 17" xfId="11631"/>
    <cellStyle name="Input [yellow] 6 2 2 6" xfId="11632"/>
    <cellStyle name="Header2 10 3" xfId="11633"/>
    <cellStyle name="Header2 10 4" xfId="11634"/>
    <cellStyle name="Header2 10 6" xfId="11635"/>
    <cellStyle name="Input [yellow] 3 11 3 2" xfId="11636"/>
    <cellStyle name="Header2 10 7" xfId="11637"/>
    <cellStyle name="Input [yellow] 3 11 3 3" xfId="11638"/>
    <cellStyle name="Header2 11" xfId="11639"/>
    <cellStyle name="百分比 2 2 5" xfId="11640"/>
    <cellStyle name="Header2 3 7 17" xfId="11641"/>
    <cellStyle name="Input [yellow] 2 3 2 2 4" xfId="11642"/>
    <cellStyle name="Header2 11 10" xfId="11643"/>
    <cellStyle name="链接单元格 2 2" xfId="11644"/>
    <cellStyle name="Header2 11 11" xfId="11645"/>
    <cellStyle name="链接单元格 2 3" xfId="11646"/>
    <cellStyle name="Header2 11 12" xfId="11647"/>
    <cellStyle name="Header2 11 13" xfId="11648"/>
    <cellStyle name="Header2 11 14" xfId="11649"/>
    <cellStyle name="Header2 11 15" xfId="11650"/>
    <cellStyle name="Header2 11 16" xfId="11651"/>
    <cellStyle name="标题1 5 2 2" xfId="11652"/>
    <cellStyle name="Header2 11 17" xfId="11653"/>
    <cellStyle name="常规 46 10" xfId="11654"/>
    <cellStyle name="常规 51 10" xfId="11655"/>
    <cellStyle name="常规 125 2 2 16" xfId="11656"/>
    <cellStyle name="常规 130 2 2 16" xfId="11657"/>
    <cellStyle name="Header2 11 2" xfId="11658"/>
    <cellStyle name="常规 146 15" xfId="11659"/>
    <cellStyle name="常规 146 20" xfId="11660"/>
    <cellStyle name="常规 151 15" xfId="11661"/>
    <cellStyle name="常规 151 20" xfId="11662"/>
    <cellStyle name="Header2 11 2 2" xfId="11663"/>
    <cellStyle name="常规 146 16" xfId="11664"/>
    <cellStyle name="常规 146 21" xfId="11665"/>
    <cellStyle name="常规 151 16" xfId="11666"/>
    <cellStyle name="常规 151 21" xfId="11667"/>
    <cellStyle name="Header2 11 2 3" xfId="11668"/>
    <cellStyle name="常规 46 11" xfId="11669"/>
    <cellStyle name="常规 51 11" xfId="11670"/>
    <cellStyle name="常规 125 2 2 17" xfId="11671"/>
    <cellStyle name="常规 130 2 2 17" xfId="11672"/>
    <cellStyle name="Header2 11 3" xfId="11673"/>
    <cellStyle name="常规 46 12" xfId="11674"/>
    <cellStyle name="常规 51 12" xfId="11675"/>
    <cellStyle name="常规 125 2 2 18" xfId="11676"/>
    <cellStyle name="常规 130 2 2 18" xfId="11677"/>
    <cellStyle name="Header2 11 4" xfId="11678"/>
    <cellStyle name="常规 46 13" xfId="11679"/>
    <cellStyle name="常规 51 13" xfId="11680"/>
    <cellStyle name="Header2 11 5" xfId="11681"/>
    <cellStyle name="常规 46 14" xfId="11682"/>
    <cellStyle name="常规 51 14" xfId="11683"/>
    <cellStyle name="Header2 11 6" xfId="11684"/>
    <cellStyle name="常规 46 15" xfId="11685"/>
    <cellStyle name="常规 46 20" xfId="11686"/>
    <cellStyle name="常规 51 15" xfId="11687"/>
    <cellStyle name="常规 51 20" xfId="11688"/>
    <cellStyle name="Header2 11 7" xfId="11689"/>
    <cellStyle name="常规 46 16" xfId="11690"/>
    <cellStyle name="常规 46 21" xfId="11691"/>
    <cellStyle name="常规 51 16" xfId="11692"/>
    <cellStyle name="常规 51 21" xfId="11693"/>
    <cellStyle name="Header2 11 8" xfId="11694"/>
    <cellStyle name="常规 46 17" xfId="11695"/>
    <cellStyle name="常规 46 22" xfId="11696"/>
    <cellStyle name="常规 51 17" xfId="11697"/>
    <cellStyle name="常规 51 22" xfId="11698"/>
    <cellStyle name="Header2 11 9" xfId="11699"/>
    <cellStyle name="Header2 12" xfId="11700"/>
    <cellStyle name="百分比 2 2 6" xfId="11701"/>
    <cellStyle name="Header2 3 7 18" xfId="11702"/>
    <cellStyle name="Input [yellow] 2 3 2 2 5" xfId="11703"/>
    <cellStyle name="Header2 12 14" xfId="11704"/>
    <cellStyle name="好_Book1 2 4 2 2" xfId="11705"/>
    <cellStyle name="Header2 12 17" xfId="11706"/>
    <cellStyle name="Header2 12 2" xfId="11707"/>
    <cellStyle name="常规 156 15" xfId="11708"/>
    <cellStyle name="常规 161 15" xfId="11709"/>
    <cellStyle name="Header2 12 2 2" xfId="11710"/>
    <cellStyle name="常规 156 16" xfId="11711"/>
    <cellStyle name="常规 161 16" xfId="11712"/>
    <cellStyle name="Header2 12 2 3" xfId="11713"/>
    <cellStyle name="Header2 12 3" xfId="11714"/>
    <cellStyle name="Header2 12 4" xfId="11715"/>
    <cellStyle name="Header2 12 5" xfId="11716"/>
    <cellStyle name="Header2 12 6" xfId="11717"/>
    <cellStyle name="Header2 12 7" xfId="11718"/>
    <cellStyle name="Header2 12 8" xfId="11719"/>
    <cellStyle name="Header2 12 9" xfId="11720"/>
    <cellStyle name="Header2 13" xfId="11721"/>
    <cellStyle name="百分比 2 2 7" xfId="11722"/>
    <cellStyle name="Header2 3 7 19" xfId="11723"/>
    <cellStyle name="Input [yellow] 2 3 2 2 6" xfId="11724"/>
    <cellStyle name="origAmountDrD 2 3 2 2" xfId="11725"/>
    <cellStyle name="Header2 13 10" xfId="11726"/>
    <cellStyle name="常规 101 5 2" xfId="11727"/>
    <cellStyle name="Header2 13 11" xfId="11728"/>
    <cellStyle name="origAmountDrD 2 3 2 3" xfId="11729"/>
    <cellStyle name="常规 101 5 3" xfId="11730"/>
    <cellStyle name="Header2 13 12" xfId="11731"/>
    <cellStyle name="origAmountDrD 2 3 2 4" xfId="11732"/>
    <cellStyle name="origAmountDrD 2 3 2 5" xfId="11733"/>
    <cellStyle name="Header2 13 13" xfId="11734"/>
    <cellStyle name="汇总 3 3 4 12" xfId="11735"/>
    <cellStyle name="Input [yellow] 10 2 2 2" xfId="11736"/>
    <cellStyle name="origAmountDrD 2 3 2 6" xfId="11737"/>
    <cellStyle name="Header2 13 14" xfId="11738"/>
    <cellStyle name="汇总 3 3 4 13" xfId="11739"/>
    <cellStyle name="Input [yellow] 10 2 2 3" xfId="11740"/>
    <cellStyle name="origAmountDrD 2 3 2 7" xfId="11741"/>
    <cellStyle name="Header2 13 15" xfId="11742"/>
    <cellStyle name="汇总 3 3 4 14" xfId="11743"/>
    <cellStyle name="Input [yellow] 10 2 2 4" xfId="11744"/>
    <cellStyle name="origAmountDrD 2 3 2 8" xfId="11745"/>
    <cellStyle name="Header2 13 16" xfId="11746"/>
    <cellStyle name="汇总 3 3 4 15" xfId="11747"/>
    <cellStyle name="汇总 3 3 4 20" xfId="11748"/>
    <cellStyle name="Input [yellow] 10 2 2 5" xfId="11749"/>
    <cellStyle name="Header2 13 17" xfId="11750"/>
    <cellStyle name="常规 148 2 4 2 2" xfId="11751"/>
    <cellStyle name="origAmountDrD 2 3 2 9" xfId="11752"/>
    <cellStyle name="汇总 3 3 4 16" xfId="11753"/>
    <cellStyle name="汇总 3 3 4 21" xfId="11754"/>
    <cellStyle name="Input [yellow] 10 2 2 6" xfId="11755"/>
    <cellStyle name="Input [yellow] 2 2 4 2 7" xfId="11756"/>
    <cellStyle name="Header2 13 2" xfId="11757"/>
    <cellStyle name="常规 148 2 2 3 2 3" xfId="11758"/>
    <cellStyle name="origAmountDrD 10 2 12" xfId="11759"/>
    <cellStyle name="常规 166 15" xfId="11760"/>
    <cellStyle name="常规 166 20" xfId="11761"/>
    <cellStyle name="常规 171 15" xfId="11762"/>
    <cellStyle name="常规 171 20" xfId="11763"/>
    <cellStyle name="Header2 13 2 2" xfId="11764"/>
    <cellStyle name="Input [yellow] 2 2 4 2 8" xfId="11765"/>
    <cellStyle name="Header2 13 3" xfId="11766"/>
    <cellStyle name="origAmountDrD 10 2 13" xfId="11767"/>
    <cellStyle name="Input [yellow] 2 2 4 2 9" xfId="11768"/>
    <cellStyle name="Header2 13 4" xfId="11769"/>
    <cellStyle name="origAmountDrD 10 2 14" xfId="11770"/>
    <cellStyle name="Header2 13 5" xfId="11771"/>
    <cellStyle name="origAmountDrD 10 2 15" xfId="11772"/>
    <cellStyle name="Header2 13 6" xfId="11773"/>
    <cellStyle name="origAmountDrD 10 2 16" xfId="11774"/>
    <cellStyle name="Header2 13 7" xfId="11775"/>
    <cellStyle name="origAmountDrD 10 2 17" xfId="11776"/>
    <cellStyle name="Header2 13 8" xfId="11777"/>
    <cellStyle name="Header2 13 9" xfId="11778"/>
    <cellStyle name="Header2 14" xfId="11779"/>
    <cellStyle name="百分比 2 2 8" xfId="11780"/>
    <cellStyle name="Input [yellow] 2 3 2 2 7" xfId="11781"/>
    <cellStyle name="常规 69 2 2 11" xfId="11782"/>
    <cellStyle name="常规 74 2 2 11" xfId="11783"/>
    <cellStyle name="Header2 14 10" xfId="11784"/>
    <cellStyle name="常规 69 2 2 12" xfId="11785"/>
    <cellStyle name="常规 74 2 2 12" xfId="11786"/>
    <cellStyle name="Header2 14 11" xfId="11787"/>
    <cellStyle name="常规 69 2 2 13" xfId="11788"/>
    <cellStyle name="常规 74 2 2 13" xfId="11789"/>
    <cellStyle name="Header2 14 12" xfId="11790"/>
    <cellStyle name="常规 69 2 2 14" xfId="11791"/>
    <cellStyle name="常规 74 2 2 14" xfId="11792"/>
    <cellStyle name="Header2 14 13" xfId="11793"/>
    <cellStyle name="差 2 2 2" xfId="11794"/>
    <cellStyle name="汇总 3 3 5 12" xfId="11795"/>
    <cellStyle name="Input [yellow] 2 6 2 2 2 2" xfId="11796"/>
    <cellStyle name="常规 69 2 2 15" xfId="11797"/>
    <cellStyle name="常规 74 2 2 15" xfId="11798"/>
    <cellStyle name="Header2 14 14" xfId="11799"/>
    <cellStyle name="常规 69 2 2 16" xfId="11800"/>
    <cellStyle name="常规 74 2 2 16" xfId="11801"/>
    <cellStyle name="Header2 14 15" xfId="11802"/>
    <cellStyle name="常规 69 2 2 17" xfId="11803"/>
    <cellStyle name="常规 74 2 2 17" xfId="11804"/>
    <cellStyle name="Header2 14 16" xfId="11805"/>
    <cellStyle name="常规 106 2 18" xfId="11806"/>
    <cellStyle name="常规 111 2 18" xfId="11807"/>
    <cellStyle name="Header2 14 2" xfId="11808"/>
    <cellStyle name="常规 176 15" xfId="11809"/>
    <cellStyle name="Header2 14 2 2" xfId="11810"/>
    <cellStyle name="常规 106 2 19" xfId="11811"/>
    <cellStyle name="常规 111 2 19" xfId="11812"/>
    <cellStyle name="Header2 14 3" xfId="11813"/>
    <cellStyle name="Header2 14 4" xfId="11814"/>
    <cellStyle name="Header2 14 5" xfId="11815"/>
    <cellStyle name="Header2 14 6" xfId="11816"/>
    <cellStyle name="Header2 14 7" xfId="11817"/>
    <cellStyle name="Header2 14 8" xfId="11818"/>
    <cellStyle name="Header2 14 9" xfId="11819"/>
    <cellStyle name="常规 119 2" xfId="11820"/>
    <cellStyle name="常规 124 2" xfId="11821"/>
    <cellStyle name="Header2 15" xfId="11822"/>
    <cellStyle name="Header2 20" xfId="11823"/>
    <cellStyle name="百分比 2 2 9" xfId="11824"/>
    <cellStyle name="Input [yellow] 2 3 2 2 8" xfId="11825"/>
    <cellStyle name="Header2 15 10" xfId="11826"/>
    <cellStyle name="计算 2 7 2 7" xfId="11827"/>
    <cellStyle name="常规 119 2 10" xfId="11828"/>
    <cellStyle name="常规 124 2 10" xfId="11829"/>
    <cellStyle name="Header2 15 11" xfId="11830"/>
    <cellStyle name="计算 2 7 2 8" xfId="11831"/>
    <cellStyle name="常规 119 2 11" xfId="11832"/>
    <cellStyle name="常规 124 2 11" xfId="11833"/>
    <cellStyle name="Header2 15 12" xfId="11834"/>
    <cellStyle name="计算 2 7 2 9" xfId="11835"/>
    <cellStyle name="常规 119 2 12" xfId="11836"/>
    <cellStyle name="常规 124 2 12" xfId="11837"/>
    <cellStyle name="常规 119 2 13" xfId="11838"/>
    <cellStyle name="常规 124 2 13" xfId="11839"/>
    <cellStyle name="Header2 15 13" xfId="11840"/>
    <cellStyle name="常规 119 2 14" xfId="11841"/>
    <cellStyle name="常规 124 2 14" xfId="11842"/>
    <cellStyle name="Header2 15 14" xfId="11843"/>
    <cellStyle name="常规 119 2 15" xfId="11844"/>
    <cellStyle name="常规 124 2 15" xfId="11845"/>
    <cellStyle name="Header2 15 15" xfId="11846"/>
    <cellStyle name="常规 119 2 16" xfId="11847"/>
    <cellStyle name="常规 124 2 16" xfId="11848"/>
    <cellStyle name="Header2 15 16" xfId="11849"/>
    <cellStyle name="常规 119 2 17" xfId="11850"/>
    <cellStyle name="常规 124 2 17" xfId="11851"/>
    <cellStyle name="Header2 15 17" xfId="11852"/>
    <cellStyle name="常规 119 2 2" xfId="11853"/>
    <cellStyle name="常规 124 2 2" xfId="11854"/>
    <cellStyle name="Header2 15 2" xfId="11855"/>
    <cellStyle name="常规 119 2 3" xfId="11856"/>
    <cellStyle name="常规 124 2 3" xfId="11857"/>
    <cellStyle name="Header2 15 3" xfId="11858"/>
    <cellStyle name="常规 119 2 4" xfId="11859"/>
    <cellStyle name="常规 124 2 4" xfId="11860"/>
    <cellStyle name="Header2 15 4" xfId="11861"/>
    <cellStyle name="常规 119 2 5" xfId="11862"/>
    <cellStyle name="常规 124 2 5" xfId="11863"/>
    <cellStyle name="Header2 15 5" xfId="11864"/>
    <cellStyle name="常规 119 2 6" xfId="11865"/>
    <cellStyle name="常规 124 2 6" xfId="11866"/>
    <cellStyle name="Header2 15 6" xfId="11867"/>
    <cellStyle name="常规 119 2 7" xfId="11868"/>
    <cellStyle name="常规 124 2 7" xfId="11869"/>
    <cellStyle name="Header2 15 7" xfId="11870"/>
    <cellStyle name="常规 119 2 8" xfId="11871"/>
    <cellStyle name="常规 124 2 8" xfId="11872"/>
    <cellStyle name="Header2 15 8" xfId="11873"/>
    <cellStyle name="常规 119 3" xfId="11874"/>
    <cellStyle name="常规 124 3" xfId="11875"/>
    <cellStyle name="Header2 16" xfId="11876"/>
    <cellStyle name="Header2 21" xfId="11877"/>
    <cellStyle name="Input [yellow] 2 3 2 2 9" xfId="11878"/>
    <cellStyle name="常规 119 4" xfId="11879"/>
    <cellStyle name="常规 124 4" xfId="11880"/>
    <cellStyle name="Header2 17" xfId="11881"/>
    <cellStyle name="Header2 22" xfId="11882"/>
    <cellStyle name="Mon閠aire_!!!GO" xfId="11883"/>
    <cellStyle name="常规 119 5" xfId="11884"/>
    <cellStyle name="常规 124 5" xfId="11885"/>
    <cellStyle name="Header2 18" xfId="11886"/>
    <cellStyle name="Header2 23" xfId="11887"/>
    <cellStyle name="常规 119 6" xfId="11888"/>
    <cellStyle name="常规 124 6" xfId="11889"/>
    <cellStyle name="Header2 19" xfId="11890"/>
    <cellStyle name="Header2 24" xfId="11891"/>
    <cellStyle name="输出 2 9 2 3" xfId="11892"/>
    <cellStyle name="Input [yellow] 3 12 2 10" xfId="11893"/>
    <cellStyle name="Header2 2" xfId="11894"/>
    <cellStyle name="Header2 2 10" xfId="11895"/>
    <cellStyle name="Header2 2 10 10" xfId="11896"/>
    <cellStyle name="Header2 2 10 11" xfId="11897"/>
    <cellStyle name="Header2 2 10 12" xfId="11898"/>
    <cellStyle name="Header2 2 10 13" xfId="11899"/>
    <cellStyle name="Header2 2 10 14" xfId="11900"/>
    <cellStyle name="Header2 2 10 15" xfId="11901"/>
    <cellStyle name="Header2 2 10 16" xfId="11902"/>
    <cellStyle name="Header2 2 10 17" xfId="11903"/>
    <cellStyle name="标题 3 3 3 8" xfId="11904"/>
    <cellStyle name="Header2 2 10 2" xfId="11905"/>
    <cellStyle name="常规 95 2 19" xfId="11906"/>
    <cellStyle name="Header2 2 10 2 2" xfId="11907"/>
    <cellStyle name="Header2 2 10 5" xfId="11908"/>
    <cellStyle name="Header2 2 10 6" xfId="11909"/>
    <cellStyle name="注释 3 6 3 2" xfId="11910"/>
    <cellStyle name="Header2 2 10 7" xfId="11911"/>
    <cellStyle name="注释 3 6 3 3" xfId="11912"/>
    <cellStyle name="Header2 2 10 8" xfId="11913"/>
    <cellStyle name="Header2 2 11" xfId="11914"/>
    <cellStyle name="Header2 2 11 10" xfId="11915"/>
    <cellStyle name="Header2 2 11 11" xfId="11916"/>
    <cellStyle name="Header2 2 11 12" xfId="11917"/>
    <cellStyle name="Header2 2 11 13" xfId="11918"/>
    <cellStyle name="Header2 2 11 14" xfId="11919"/>
    <cellStyle name="Header2 2 11 15" xfId="11920"/>
    <cellStyle name="madeDateD" xfId="11921"/>
    <cellStyle name="Header2 2 11 16" xfId="11922"/>
    <cellStyle name="Header2 2 11 17" xfId="11923"/>
    <cellStyle name="标题 3 3 4 8" xfId="11924"/>
    <cellStyle name="Header2 2 11 2" xfId="11925"/>
    <cellStyle name="Input [yellow] 8 14" xfId="11926"/>
    <cellStyle name="Input [yellow] 12 11" xfId="11927"/>
    <cellStyle name="标题 3 3 4 9" xfId="11928"/>
    <cellStyle name="Header2 2 11 3" xfId="11929"/>
    <cellStyle name="Input [yellow] 8 15" xfId="11930"/>
    <cellStyle name="Input [yellow] 12 12" xfId="11931"/>
    <cellStyle name="好 3 2 10" xfId="11932"/>
    <cellStyle name="Header2 2 11 4" xfId="11933"/>
    <cellStyle name="常规 105 3 2" xfId="11934"/>
    <cellStyle name="常规 110 3 2" xfId="11935"/>
    <cellStyle name="Input [yellow] 8 16" xfId="11936"/>
    <cellStyle name="Input [yellow] 12 13" xfId="11937"/>
    <cellStyle name="好 3 2 11" xfId="11938"/>
    <cellStyle name="Header2 2 11 5" xfId="11939"/>
    <cellStyle name="常规 105 3 3" xfId="11940"/>
    <cellStyle name="常规 110 3 3" xfId="11941"/>
    <cellStyle name="Input [yellow] 8 17" xfId="11942"/>
    <cellStyle name="Input [yellow] 12 14" xfId="11943"/>
    <cellStyle name="好 3 2 12" xfId="11944"/>
    <cellStyle name="Header2 2 11 6" xfId="11945"/>
    <cellStyle name="常规 105 3 4" xfId="11946"/>
    <cellStyle name="常规 110 3 4" xfId="11947"/>
    <cellStyle name="Input [yellow] 8 18" xfId="11948"/>
    <cellStyle name="Input [yellow] 12 15" xfId="11949"/>
    <cellStyle name="好 3 2 13" xfId="11950"/>
    <cellStyle name="Header2 2 11 7" xfId="11951"/>
    <cellStyle name="常规 105 3 5" xfId="11952"/>
    <cellStyle name="常规 110 3 5" xfId="11953"/>
    <cellStyle name="Input [yellow] 8 19" xfId="11954"/>
    <cellStyle name="Input [yellow] 12 16" xfId="11955"/>
    <cellStyle name="好 3 2 14" xfId="11956"/>
    <cellStyle name="Header2 2 11 8" xfId="11957"/>
    <cellStyle name="常规 105 3 6" xfId="11958"/>
    <cellStyle name="常规 110 3 6" xfId="11959"/>
    <cellStyle name="Input [yellow] 12 17" xfId="11960"/>
    <cellStyle name="好 3 2 15" xfId="11961"/>
    <cellStyle name="Header2 2 11 9" xfId="11962"/>
    <cellStyle name="Header2 2 12" xfId="11963"/>
    <cellStyle name="Header2 2 12 10" xfId="11964"/>
    <cellStyle name="Header2 2 12 11" xfId="11965"/>
    <cellStyle name="Header2 2 12 12" xfId="11966"/>
    <cellStyle name="Header2 2 12 13" xfId="11967"/>
    <cellStyle name="Header2 2 12 14" xfId="11968"/>
    <cellStyle name="标题 3 3 5 8" xfId="11969"/>
    <cellStyle name="Header2 2 12 2" xfId="11970"/>
    <cellStyle name="Input [yellow] 3 9 8" xfId="11971"/>
    <cellStyle name="Header2 2 12 2 2" xfId="11972"/>
    <cellStyle name="好_Book1 2 2 10" xfId="11973"/>
    <cellStyle name="Header2 2 13" xfId="11974"/>
    <cellStyle name="标题 3 3 6 8" xfId="11975"/>
    <cellStyle name="Header2 2 13 2" xfId="11976"/>
    <cellStyle name="标题 3 3 6 9" xfId="11977"/>
    <cellStyle name="Header2 2 13 3" xfId="11978"/>
    <cellStyle name="Header2 2 2" xfId="11979"/>
    <cellStyle name="常规 67 2 2 6" xfId="11980"/>
    <cellStyle name="常规 72 2 2 6" xfId="11981"/>
    <cellStyle name="常规 66 3 17" xfId="11982"/>
    <cellStyle name="常规 71 3 17" xfId="11983"/>
    <cellStyle name="标题 3 2 7 14" xfId="11984"/>
    <cellStyle name="Header2 2 2 10" xfId="11985"/>
    <cellStyle name="标题 3 2 7 15" xfId="11986"/>
    <cellStyle name="标题 3 2 7 20" xfId="11987"/>
    <cellStyle name="Header2 2 2 11" xfId="11988"/>
    <cellStyle name="标题 3 2 7 16" xfId="11989"/>
    <cellStyle name="Header2 2 2 12" xfId="11990"/>
    <cellStyle name="标题 3 2 7 17" xfId="11991"/>
    <cellStyle name="Header2 2 2 13" xfId="11992"/>
    <cellStyle name="标题 3 2 7 18" xfId="11993"/>
    <cellStyle name="Header2 2 2 14" xfId="11994"/>
    <cellStyle name="origAmountCrD 2 2 2 5" xfId="11995"/>
    <cellStyle name="Header2 2 2 2" xfId="11996"/>
    <cellStyle name="常规 145 5 2" xfId="11997"/>
    <cellStyle name="常规 150 5 2" xfId="11998"/>
    <cellStyle name="origAmountDrD 3 2 2 3" xfId="11999"/>
    <cellStyle name="Header2 2 2 2 10" xfId="12000"/>
    <cellStyle name="Header2 2 2 2 11" xfId="12001"/>
    <cellStyle name="Header2 2 2 2 12" xfId="12002"/>
    <cellStyle name="Header2 2 2 2 13" xfId="12003"/>
    <cellStyle name="Header2 2 2 2 14" xfId="12004"/>
    <cellStyle name="输入 3 2 5 2 2" xfId="12005"/>
    <cellStyle name="Header2 2 2 2 15" xfId="12006"/>
    <cellStyle name="输入 3 2 5 2 3" xfId="12007"/>
    <cellStyle name="Header2 2 2 2 16" xfId="12008"/>
    <cellStyle name="输入 3 2 5 2 4" xfId="12009"/>
    <cellStyle name="Header2 2 2 2 17" xfId="12010"/>
    <cellStyle name="输入 3 2 5 2 5" xfId="12011"/>
    <cellStyle name="Normal - Style1 2 2 2" xfId="12012"/>
    <cellStyle name="Header2 2 2 2 18" xfId="12013"/>
    <cellStyle name="输入 3 2 5 2 6" xfId="12014"/>
    <cellStyle name="Header2 2 2 2 19" xfId="12015"/>
    <cellStyle name="输入 3 2 5 2 7" xfId="12016"/>
    <cellStyle name="Header2 3 11 14" xfId="12017"/>
    <cellStyle name="Header2 2 2 2 2 2" xfId="12018"/>
    <cellStyle name="常规 76 3 3 2" xfId="12019"/>
    <cellStyle name="常规 81 3 3 2" xfId="12020"/>
    <cellStyle name="Header2 2 2 2 8" xfId="12021"/>
    <cellStyle name="常规 76 3 3 3" xfId="12022"/>
    <cellStyle name="常规 81 3 3 3" xfId="12023"/>
    <cellStyle name="常规 101 2 4 2" xfId="12024"/>
    <cellStyle name="Header2 2 2 2 9" xfId="12025"/>
    <cellStyle name="origAmountCrD 2 2 2 6" xfId="12026"/>
    <cellStyle name="Header2 2 2 3" xfId="12027"/>
    <cellStyle name="常规 145 5 3" xfId="12028"/>
    <cellStyle name="常规 150 5 3" xfId="12029"/>
    <cellStyle name="origAmountCrD 4 2 2 2 2" xfId="12030"/>
    <cellStyle name="origAmountDrD 3 2 2 4" xfId="12031"/>
    <cellStyle name="Header2 2 2 3 10" xfId="12032"/>
    <cellStyle name="Header2 2 2 3 11" xfId="12033"/>
    <cellStyle name="Header2 2 2 3 12" xfId="12034"/>
    <cellStyle name="Header2 2 2 3 15" xfId="12035"/>
    <cellStyle name="Header2 2 2 3 16" xfId="12036"/>
    <cellStyle name="Header2 2 2 3 17" xfId="12037"/>
    <cellStyle name="Header2 2 2 3 18" xfId="12038"/>
    <cellStyle name="origAmountDrD 2 4 2 10" xfId="12039"/>
    <cellStyle name="Header2 2 2 3 19" xfId="12040"/>
    <cellStyle name="Header2 2 2 3 2" xfId="12041"/>
    <cellStyle name="常规 55 3 12" xfId="12042"/>
    <cellStyle name="常规 60 3 12" xfId="12043"/>
    <cellStyle name="origAmountCrD 8 6" xfId="12044"/>
    <cellStyle name="Header2 2 2 3 2 2" xfId="12045"/>
    <cellStyle name="Header2 2 2 3 3" xfId="12046"/>
    <cellStyle name="常规 55 3 13" xfId="12047"/>
    <cellStyle name="常规 60 3 13" xfId="12048"/>
    <cellStyle name="origAmountCrD 8 7" xfId="12049"/>
    <cellStyle name="Header2 2 2 3 4" xfId="12050"/>
    <cellStyle name="常规 55 3 14" xfId="12051"/>
    <cellStyle name="常规 60 3 14" xfId="12052"/>
    <cellStyle name="origAmountCrD 8 8" xfId="12053"/>
    <cellStyle name="常规 36 5 2 2" xfId="12054"/>
    <cellStyle name="常规 41 5 2 2" xfId="12055"/>
    <cellStyle name="Header2 2 2 3 5" xfId="12056"/>
    <cellStyle name="常规 55 3 15" xfId="12057"/>
    <cellStyle name="常规 60 3 15" xfId="12058"/>
    <cellStyle name="origAmountCrD 8 9" xfId="12059"/>
    <cellStyle name="常规 36 5 2 3" xfId="12060"/>
    <cellStyle name="常规 41 5 2 3" xfId="12061"/>
    <cellStyle name="Header2 2 2 3 6" xfId="12062"/>
    <cellStyle name="Header2 2 2 3 7" xfId="12063"/>
    <cellStyle name="标题 3 2 14 2 2" xfId="12064"/>
    <cellStyle name="Header2 2 2 3 8" xfId="12065"/>
    <cellStyle name="Header2 2 2 3 9" xfId="12066"/>
    <cellStyle name="origAmountCrD 2 2 2 7" xfId="12067"/>
    <cellStyle name="Header2 2 2 4" xfId="12068"/>
    <cellStyle name="汇总 3 9 3 2" xfId="12069"/>
    <cellStyle name="origAmountDrD 3 2 2 5" xfId="12070"/>
    <cellStyle name="常规 28 2 2 3 2" xfId="12071"/>
    <cellStyle name="origAmountCrD 11 3 2 3" xfId="12072"/>
    <cellStyle name="标题 1 3 9" xfId="12073"/>
    <cellStyle name="Header2 2 2 4 10" xfId="12074"/>
    <cellStyle name="Header2 2 2 4 11" xfId="12075"/>
    <cellStyle name="常规 68 2 10" xfId="12076"/>
    <cellStyle name="常规 73 2 10" xfId="12077"/>
    <cellStyle name="常规 49 2 4 2" xfId="12078"/>
    <cellStyle name="常规 54 2 4 2" xfId="12079"/>
    <cellStyle name="Header2 2 2 4 12" xfId="12080"/>
    <cellStyle name="常规 68 2 11" xfId="12081"/>
    <cellStyle name="常规 73 2 11" xfId="12082"/>
    <cellStyle name="常规 49 2 4 3" xfId="12083"/>
    <cellStyle name="常规 54 2 4 3" xfId="12084"/>
    <cellStyle name="Header2 2 2 4 13" xfId="12085"/>
    <cellStyle name="常规 68 2 12" xfId="12086"/>
    <cellStyle name="常规 73 2 12" xfId="12087"/>
    <cellStyle name="Header2 2 2 4 14" xfId="12088"/>
    <cellStyle name="常规 68 2 13" xfId="12089"/>
    <cellStyle name="常规 73 2 13" xfId="12090"/>
    <cellStyle name="Header2 2 2 4 15" xfId="12091"/>
    <cellStyle name="常规 68 2 14" xfId="12092"/>
    <cellStyle name="常规 73 2 14" xfId="12093"/>
    <cellStyle name="常规 12 2" xfId="12094"/>
    <cellStyle name="Header2 2 2 4 16" xfId="12095"/>
    <cellStyle name="常规 68 2 15" xfId="12096"/>
    <cellStyle name="常规 73 2 15" xfId="12097"/>
    <cellStyle name="常规 12 3" xfId="12098"/>
    <cellStyle name="Header2 2 2 4 17" xfId="12099"/>
    <cellStyle name="常规 68 2 16" xfId="12100"/>
    <cellStyle name="常规 73 2 16" xfId="12101"/>
    <cellStyle name="常规 12 4" xfId="12102"/>
    <cellStyle name="Header2 2 2 4 18" xfId="12103"/>
    <cellStyle name="常规 68 2 17" xfId="12104"/>
    <cellStyle name="常规 73 2 17" xfId="12105"/>
    <cellStyle name="常规 12 5" xfId="12106"/>
    <cellStyle name="Header2 2 2 4 19" xfId="12107"/>
    <cellStyle name="常规 68 2 18" xfId="12108"/>
    <cellStyle name="常规 73 2 18" xfId="12109"/>
    <cellStyle name="常规 12 6" xfId="12110"/>
    <cellStyle name="常规 68 2 2 16" xfId="12111"/>
    <cellStyle name="常规 73 2 2 16" xfId="12112"/>
    <cellStyle name="Input [yellow] 2 12 13" xfId="12113"/>
    <cellStyle name="Header2 2 2 4 2" xfId="12114"/>
    <cellStyle name="汇总 3 9 3 2 2" xfId="12115"/>
    <cellStyle name="汇总 2 3 5 14" xfId="12116"/>
    <cellStyle name="常规 28 2 2 3 2 2" xfId="12117"/>
    <cellStyle name="origAmountCrD 9 6" xfId="12118"/>
    <cellStyle name="Header2 2 2 4 2 2" xfId="12119"/>
    <cellStyle name="常规 68 2 2 17" xfId="12120"/>
    <cellStyle name="常规 73 2 2 17" xfId="12121"/>
    <cellStyle name="Input [yellow] 2 12 14" xfId="12122"/>
    <cellStyle name="Header2 2 2 4 3" xfId="12123"/>
    <cellStyle name="汇总 3 9 3 2 3" xfId="12124"/>
    <cellStyle name="汇总 2 3 5 15" xfId="12125"/>
    <cellStyle name="常规 28 2 2 3 2 3" xfId="12126"/>
    <cellStyle name="origAmountCrD 9 7" xfId="12127"/>
    <cellStyle name="常规 68 2 2 18" xfId="12128"/>
    <cellStyle name="常规 73 2 2 18" xfId="12129"/>
    <cellStyle name="Input [yellow] 2 12 15" xfId="12130"/>
    <cellStyle name="Header2 2 2 4 4" xfId="12131"/>
    <cellStyle name="汇总 2 3 5 16" xfId="12132"/>
    <cellStyle name="origAmountCrD 9 8" xfId="12133"/>
    <cellStyle name="Input [yellow] 2 12 16" xfId="12134"/>
    <cellStyle name="Header2 2 2 4 5" xfId="12135"/>
    <cellStyle name="汇总 2 3 5 17" xfId="12136"/>
    <cellStyle name="origAmountCrD 9 9" xfId="12137"/>
    <cellStyle name="Input [yellow] 2 12 17" xfId="12138"/>
    <cellStyle name="Header2 2 2 4 6" xfId="12139"/>
    <cellStyle name="Header2 2 2 4 7" xfId="12140"/>
    <cellStyle name="Header2 2 2 4 8" xfId="12141"/>
    <cellStyle name="Header2 2 2 4 9" xfId="12142"/>
    <cellStyle name="origAmountCrD 2 2 2 8" xfId="12143"/>
    <cellStyle name="Header2 2 2 5" xfId="12144"/>
    <cellStyle name="汇总 3 9 3 3" xfId="12145"/>
    <cellStyle name="origAmountDrD 3 2 2 6" xfId="12146"/>
    <cellStyle name="常规 28 2 2 3 3" xfId="12147"/>
    <cellStyle name="origAmountCrD 2 2 2 9" xfId="12148"/>
    <cellStyle name="Header2 2 2 6" xfId="12149"/>
    <cellStyle name="origAmountDrD 3 2 2 7" xfId="12150"/>
    <cellStyle name="Header2 2 2 7" xfId="12151"/>
    <cellStyle name="origAmountDrD 3 2 2 8" xfId="12152"/>
    <cellStyle name="Header2 2 2 8" xfId="12153"/>
    <cellStyle name="常规 148 3 3 2 2" xfId="12154"/>
    <cellStyle name="常规 153 3 3 2 2" xfId="12155"/>
    <cellStyle name="origAmountDrD 3 2 2 9" xfId="12156"/>
    <cellStyle name="Header2 2 2 9" xfId="12157"/>
    <cellStyle name="Header2 2 3" xfId="12158"/>
    <cellStyle name="常规 67 2 2 7" xfId="12159"/>
    <cellStyle name="常规 72 2 2 7" xfId="12160"/>
    <cellStyle name="常规 66 3 18" xfId="12161"/>
    <cellStyle name="常规 71 3 18" xfId="12162"/>
    <cellStyle name="常规 78 3 3 3" xfId="12163"/>
    <cellStyle name="常规 83 3 3 3" xfId="12164"/>
    <cellStyle name="常规 103 2 4 2" xfId="12165"/>
    <cellStyle name="Header2 2 3 17" xfId="12166"/>
    <cellStyle name="常规 103 2 4 3" xfId="12167"/>
    <cellStyle name="Header2 2 3 18" xfId="12168"/>
    <cellStyle name="Header2 2 3 19" xfId="12169"/>
    <cellStyle name="Header2 2 3 2" xfId="12170"/>
    <cellStyle name="origAmountDrD 3 2 3 3" xfId="12171"/>
    <cellStyle name="计算 3 2 11 2 10" xfId="12172"/>
    <cellStyle name="常规 103 2 10" xfId="12173"/>
    <cellStyle name="Header2 2 3 3" xfId="12174"/>
    <cellStyle name="常规 103 2 11" xfId="12175"/>
    <cellStyle name="Header2 2 3 4" xfId="12176"/>
    <cellStyle name="常规 103 2 12" xfId="12177"/>
    <cellStyle name="Header2 2 3 5" xfId="12178"/>
    <cellStyle name="常规 103 2 13" xfId="12179"/>
    <cellStyle name="Header2 2 3 6" xfId="12180"/>
    <cellStyle name="常规 103 2 14" xfId="12181"/>
    <cellStyle name="Header2 2 3 7" xfId="12182"/>
    <cellStyle name="常规 103 2 15" xfId="12183"/>
    <cellStyle name="Header2 2 3 8" xfId="12184"/>
    <cellStyle name="常规 103 2 16" xfId="12185"/>
    <cellStyle name="Header2 2 3 9" xfId="12186"/>
    <cellStyle name="Header2 2 4" xfId="12187"/>
    <cellStyle name="常规 67 2 2 8" xfId="12188"/>
    <cellStyle name="常规 72 2 2 8" xfId="12189"/>
    <cellStyle name="Header2 2 4 19" xfId="12190"/>
    <cellStyle name="Input [yellow] 4 4 3" xfId="12191"/>
    <cellStyle name="PSDate" xfId="12192"/>
    <cellStyle name="Header2 2 4 2 2" xfId="12193"/>
    <cellStyle name="Header2 2 4 2 3" xfId="12194"/>
    <cellStyle name="Header2 2 4 5" xfId="12195"/>
    <cellStyle name="Header2 2 4 6" xfId="12196"/>
    <cellStyle name="Header2 2 4 7" xfId="12197"/>
    <cellStyle name="Header2 2 4 8" xfId="12198"/>
    <cellStyle name="Header2 2 4 9" xfId="12199"/>
    <cellStyle name="Header2 2 5" xfId="12200"/>
    <cellStyle name="常规 67 2 2 9" xfId="12201"/>
    <cellStyle name="常规 72 2 2 9" xfId="12202"/>
    <cellStyle name="PSDate 2 17" xfId="12203"/>
    <cellStyle name="Header2 2 5 10" xfId="12204"/>
    <cellStyle name="Header2 2 5 11" xfId="12205"/>
    <cellStyle name="Header2 2 5 12" xfId="12206"/>
    <cellStyle name="Header2 2 5 13" xfId="12207"/>
    <cellStyle name="Header2 2 5 14" xfId="12208"/>
    <cellStyle name="Header2 2 5 15" xfId="12209"/>
    <cellStyle name="Header2 2 5 16" xfId="12210"/>
    <cellStyle name="Header2 2 5 17" xfId="12211"/>
    <cellStyle name="Header2 2 5 18" xfId="12212"/>
    <cellStyle name="Header2 2 5 19" xfId="12213"/>
    <cellStyle name="常规 135 2 10" xfId="12214"/>
    <cellStyle name="常规 140 2 10" xfId="12215"/>
    <cellStyle name="常规 136 2 19" xfId="12216"/>
    <cellStyle name="常规 141 2 19" xfId="12217"/>
    <cellStyle name="New Times Roman 14" xfId="12218"/>
    <cellStyle name="Header2 2 5 2 2" xfId="12219"/>
    <cellStyle name="Header2 2 5 5" xfId="12220"/>
    <cellStyle name="Header2 2 5 6" xfId="12221"/>
    <cellStyle name="Header2 2 5 7" xfId="12222"/>
    <cellStyle name="Header2 2 5 8" xfId="12223"/>
    <cellStyle name="Header2 2 5 9" xfId="12224"/>
    <cellStyle name="Header2 2 6 10" xfId="12225"/>
    <cellStyle name="Header2 2 6 11" xfId="12226"/>
    <cellStyle name="Header2 2 6 12" xfId="12227"/>
    <cellStyle name="Header2 2 6 13" xfId="12228"/>
    <cellStyle name="Header2 2 6 14" xfId="12229"/>
    <cellStyle name="Header2 2 6 15" xfId="12230"/>
    <cellStyle name="Input [yellow] 2 2 5 3" xfId="12231"/>
    <cellStyle name="Header2 2 6 18" xfId="12232"/>
    <cellStyle name="Header2 2 6 19" xfId="12233"/>
    <cellStyle name="常规 135 3 10" xfId="12234"/>
    <cellStyle name="常规 140 3 10" xfId="12235"/>
    <cellStyle name="Input [yellow] 2 2 14" xfId="12236"/>
    <cellStyle name="Header2 2 6 2" xfId="12237"/>
    <cellStyle name="Header2 6 6" xfId="12238"/>
    <cellStyle name="Header2 2 6 2 2" xfId="12239"/>
    <cellStyle name="Input [yellow] 2 2 15" xfId="12240"/>
    <cellStyle name="Input [yellow] 2 2 20" xfId="12241"/>
    <cellStyle name="Header2 2 6 3" xfId="12242"/>
    <cellStyle name="Input [yellow] 2 2 16" xfId="12243"/>
    <cellStyle name="Input [yellow] 2 2 21" xfId="12244"/>
    <cellStyle name="Header2 2 6 4" xfId="12245"/>
    <cellStyle name="Input [yellow] 2 2 17" xfId="12246"/>
    <cellStyle name="Header2 2 6 5" xfId="12247"/>
    <cellStyle name="Input [yellow] 2 2 18" xfId="12248"/>
    <cellStyle name="Header2 2 6 6" xfId="12249"/>
    <cellStyle name="Input [yellow] 2 2 19" xfId="12250"/>
    <cellStyle name="Header2 2 6 7" xfId="12251"/>
    <cellStyle name="Header2 2 6 8" xfId="12252"/>
    <cellStyle name="Input [yellow] 2 5 2 2 10" xfId="12253"/>
    <cellStyle name="Header2 2 6 9" xfId="12254"/>
    <cellStyle name="Header2 2 7 10" xfId="12255"/>
    <cellStyle name="Header2 2 7 11" xfId="12256"/>
    <cellStyle name="Header2 2 7 12" xfId="12257"/>
    <cellStyle name="Header2 2 7 13" xfId="12258"/>
    <cellStyle name="Header2 2 7 14" xfId="12259"/>
    <cellStyle name="Header2 2 7 2" xfId="12260"/>
    <cellStyle name="Header2 2 7 2 2" xfId="12261"/>
    <cellStyle name="Header2 2 7 2 3" xfId="12262"/>
    <cellStyle name="Header2 2 7 3" xfId="12263"/>
    <cellStyle name="Header2 2 7 4" xfId="12264"/>
    <cellStyle name="Header2 2 7 5" xfId="12265"/>
    <cellStyle name="Header2 2 7 6" xfId="12266"/>
    <cellStyle name="Header2 2 7 7" xfId="12267"/>
    <cellStyle name="Header2 2 7 8" xfId="12268"/>
    <cellStyle name="Header2 2 7 9" xfId="12269"/>
    <cellStyle name="Header2 2 9 12" xfId="12270"/>
    <cellStyle name="Header2 2 9 2 2" xfId="12271"/>
    <cellStyle name="常规 119 7" xfId="12272"/>
    <cellStyle name="常规 124 7" xfId="12273"/>
    <cellStyle name="Header2 25" xfId="12274"/>
    <cellStyle name="Header2 30" xfId="12275"/>
    <cellStyle name="常规 119 8" xfId="12276"/>
    <cellStyle name="常规 124 8" xfId="12277"/>
    <cellStyle name="Header2 26" xfId="12278"/>
    <cellStyle name="Header2 31" xfId="12279"/>
    <cellStyle name="警告文本 3 2" xfId="12280"/>
    <cellStyle name="常规 119 9" xfId="12281"/>
    <cellStyle name="常规 124 9" xfId="12282"/>
    <cellStyle name="Header2 27" xfId="12283"/>
    <cellStyle name="Header2 32" xfId="12284"/>
    <cellStyle name="Header2 28" xfId="12285"/>
    <cellStyle name="Header2 33" xfId="12286"/>
    <cellStyle name="Header2 29" xfId="12287"/>
    <cellStyle name="输出 2 9 2 4" xfId="12288"/>
    <cellStyle name="Input [yellow] 3 12 2 11" xfId="12289"/>
    <cellStyle name="Header2 3" xfId="12290"/>
    <cellStyle name="汇总 3 3 2 2 7" xfId="12291"/>
    <cellStyle name="Header2 3 10" xfId="12292"/>
    <cellStyle name="常规 69 3 9" xfId="12293"/>
    <cellStyle name="常规 74 3 9" xfId="12294"/>
    <cellStyle name="标题1 13 7" xfId="12295"/>
    <cellStyle name="Header2 3 10 10" xfId="12296"/>
    <cellStyle name="Header2 3 10 11" xfId="12297"/>
    <cellStyle name="Header2 3 10 12" xfId="12298"/>
    <cellStyle name="Header2 3 10 13" xfId="12299"/>
    <cellStyle name="Header2 3 10 14" xfId="12300"/>
    <cellStyle name="Header2 3 10 15" xfId="12301"/>
    <cellStyle name="Header2 3 10 16" xfId="12302"/>
    <cellStyle name="计算 3 3 10" xfId="12303"/>
    <cellStyle name="Header2 3 10 17" xfId="12304"/>
    <cellStyle name="Header2 3 10 2" xfId="12305"/>
    <cellStyle name="Header2 3 10 2 2" xfId="12306"/>
    <cellStyle name="Header2 3 10 2 3" xfId="12307"/>
    <cellStyle name="Header2 3 10 3" xfId="12308"/>
    <cellStyle name="Header2 3 10 4" xfId="12309"/>
    <cellStyle name="Header2 3 10 5" xfId="12310"/>
    <cellStyle name="Header2 3 10 6" xfId="12311"/>
    <cellStyle name="Header2 3 10 7" xfId="12312"/>
    <cellStyle name="Header2 3 10 8" xfId="12313"/>
    <cellStyle name="Header2 3 10 9" xfId="12314"/>
    <cellStyle name="汇总 3 3 2 2 8" xfId="12315"/>
    <cellStyle name="Header2 3 11" xfId="12316"/>
    <cellStyle name="标题1 13 8" xfId="12317"/>
    <cellStyle name="Header2 3 11 10" xfId="12318"/>
    <cellStyle name="Header2 3 11 13" xfId="12319"/>
    <cellStyle name="Header2 3 11 15" xfId="12320"/>
    <cellStyle name="Header2 3 11 16" xfId="12321"/>
    <cellStyle name="Header2 3 11 2" xfId="12322"/>
    <cellStyle name="Header2 3 11 3" xfId="12323"/>
    <cellStyle name="Header2 3 11 4" xfId="12324"/>
    <cellStyle name="Header2 3 11 5" xfId="12325"/>
    <cellStyle name="Header2 3 11 6" xfId="12326"/>
    <cellStyle name="Header2 3 11 7" xfId="12327"/>
    <cellStyle name="Header2 3 11 8" xfId="12328"/>
    <cellStyle name="常规 115 3 6" xfId="12329"/>
    <cellStyle name="常规 120 3 6" xfId="12330"/>
    <cellStyle name="Input [yellow] 13 2 2" xfId="12331"/>
    <cellStyle name="常规 12 14" xfId="12332"/>
    <cellStyle name="Header2 3 11 9" xfId="12333"/>
    <cellStyle name="常规 115 3 7" xfId="12334"/>
    <cellStyle name="常规 120 3 7" xfId="12335"/>
    <cellStyle name="Input [yellow] 13 2 3" xfId="12336"/>
    <cellStyle name="常规 12 15" xfId="12337"/>
    <cellStyle name="常规 12 20" xfId="12338"/>
    <cellStyle name="汇总 3 3 2 2 9" xfId="12339"/>
    <cellStyle name="Header2 3 12" xfId="12340"/>
    <cellStyle name="标题1 13 9" xfId="12341"/>
    <cellStyle name="Header2 3 12 10" xfId="12342"/>
    <cellStyle name="Header2 3 12 11" xfId="12343"/>
    <cellStyle name="常规 108 5 2" xfId="12344"/>
    <cellStyle name="常规 113 5 2" xfId="12345"/>
    <cellStyle name="Header2 3 12 12" xfId="12346"/>
    <cellStyle name="标题 3 3 9 10" xfId="12347"/>
    <cellStyle name="输出 2 26" xfId="12348"/>
    <cellStyle name="注释 4 14" xfId="12349"/>
    <cellStyle name="常规 108 19" xfId="12350"/>
    <cellStyle name="常规 113 19" xfId="12351"/>
    <cellStyle name="Header2 3 12 6" xfId="12352"/>
    <cellStyle name="标题 3 3 9 11" xfId="12353"/>
    <cellStyle name="输出 2 27" xfId="12354"/>
    <cellStyle name="注释 4 15" xfId="12355"/>
    <cellStyle name="Header2 3 12 7" xfId="12356"/>
    <cellStyle name="标题 3 3 9 12" xfId="12357"/>
    <cellStyle name="输出 2 28" xfId="12358"/>
    <cellStyle name="Header2 3 12 8" xfId="12359"/>
    <cellStyle name="Input [yellow] 13 3 2" xfId="12360"/>
    <cellStyle name="标题 3 3 9 13" xfId="12361"/>
    <cellStyle name="输出 2 29" xfId="12362"/>
    <cellStyle name="Header2 3 12 9" xfId="12363"/>
    <cellStyle name="Input [yellow] 13 3 3" xfId="12364"/>
    <cellStyle name="Header2 3 13" xfId="12365"/>
    <cellStyle name="Header2 3 14" xfId="12366"/>
    <cellStyle name="Header2 3 15" xfId="12367"/>
    <cellStyle name="Header2 3 20" xfId="12368"/>
    <cellStyle name="Header2 3 16" xfId="12369"/>
    <cellStyle name="Header2 3 21" xfId="12370"/>
    <cellStyle name="Header2 3 17" xfId="12371"/>
    <cellStyle name="Header2 3 22" xfId="12372"/>
    <cellStyle name="Header2 3 18" xfId="12373"/>
    <cellStyle name="Header2 3 23" xfId="12374"/>
    <cellStyle name="Header2 3 2" xfId="12375"/>
    <cellStyle name="标题 3 3 7 14" xfId="12376"/>
    <cellStyle name="注释 2 23" xfId="12377"/>
    <cellStyle name="注释 2 18" xfId="12378"/>
    <cellStyle name="Header2 3 2 10" xfId="12379"/>
    <cellStyle name="标题 3 3 7 15" xfId="12380"/>
    <cellStyle name="注释 2 24" xfId="12381"/>
    <cellStyle name="注释 2 19" xfId="12382"/>
    <cellStyle name="Header2 3 2 11" xfId="12383"/>
    <cellStyle name="标题 3 3 7 16" xfId="12384"/>
    <cellStyle name="Header2 3 2 12" xfId="12385"/>
    <cellStyle name="标题 3 3 7 17" xfId="12386"/>
    <cellStyle name="Header2 3 2 13" xfId="12387"/>
    <cellStyle name="Header2 3 2 14" xfId="12388"/>
    <cellStyle name="Header2 3 2 15" xfId="12389"/>
    <cellStyle name="Header2 3 2 16" xfId="12390"/>
    <cellStyle name="Header2 3 2 17" xfId="12391"/>
    <cellStyle name="Header2 3 2 18" xfId="12392"/>
    <cellStyle name="Header2 3 2 19" xfId="12393"/>
    <cellStyle name="origAmountCrD 2 3 2 5" xfId="12394"/>
    <cellStyle name="Header2 3 2 2" xfId="12395"/>
    <cellStyle name="origAmountCrD 2 3 2 6" xfId="12396"/>
    <cellStyle name="Header2 3 2 3" xfId="12397"/>
    <cellStyle name="origAmountCrD 2 3 2 7" xfId="12398"/>
    <cellStyle name="Input [yellow] 11 2 2 2" xfId="12399"/>
    <cellStyle name="Header2 3 2 4" xfId="12400"/>
    <cellStyle name="origAmountCrD 2 3 2 8" xfId="12401"/>
    <cellStyle name="Input [yellow] 11 2 2 3" xfId="12402"/>
    <cellStyle name="Header2 3 2 5" xfId="12403"/>
    <cellStyle name="Input [yellow] 11 2 2 4" xfId="12404"/>
    <cellStyle name="常规 103 2 4 2 2" xfId="12405"/>
    <cellStyle name="Header2 3 2 6" xfId="12406"/>
    <cellStyle name="origAmountCrD 2 3 2 9" xfId="12407"/>
    <cellStyle name="Input [yellow] 11 2 2 5" xfId="12408"/>
    <cellStyle name="常规 103 2 4 2 3" xfId="12409"/>
    <cellStyle name="Header2 3 2 7" xfId="12410"/>
    <cellStyle name="Input [yellow] 11 2 2 6" xfId="12411"/>
    <cellStyle name="Header2 3 2 8" xfId="12412"/>
    <cellStyle name="Input [yellow] 11 2 2 7" xfId="12413"/>
    <cellStyle name="Header2 3 2 9" xfId="12414"/>
    <cellStyle name="Header2 3 3" xfId="12415"/>
    <cellStyle name="标题 3 3 8 14" xfId="12416"/>
    <cellStyle name="注释 3 23" xfId="12417"/>
    <cellStyle name="注释 3 18" xfId="12418"/>
    <cellStyle name="Header2 3 3 10" xfId="12419"/>
    <cellStyle name="标题 3 3 8 15" xfId="12420"/>
    <cellStyle name="注释 3 24" xfId="12421"/>
    <cellStyle name="注释 3 19" xfId="12422"/>
    <cellStyle name="origAmountCrD 10" xfId="12423"/>
    <cellStyle name="Header2 3 3 11" xfId="12424"/>
    <cellStyle name="标题 3 3 8 16" xfId="12425"/>
    <cellStyle name="origAmountCrD 11" xfId="12426"/>
    <cellStyle name="Header2 3 3 12" xfId="12427"/>
    <cellStyle name="标题 3 3 8 17" xfId="12428"/>
    <cellStyle name="origAmountCrD 12" xfId="12429"/>
    <cellStyle name="Header2 3 3 13" xfId="12430"/>
    <cellStyle name="常规 14 3 2" xfId="12431"/>
    <cellStyle name="origAmountCrD 13" xfId="12432"/>
    <cellStyle name="Header2 3 3 14" xfId="12433"/>
    <cellStyle name="常规 14 3 3" xfId="12434"/>
    <cellStyle name="origAmountCrD 14" xfId="12435"/>
    <cellStyle name="Header2 3 3 15" xfId="12436"/>
    <cellStyle name="常规 14 3 4" xfId="12437"/>
    <cellStyle name="origAmountCrD 15" xfId="12438"/>
    <cellStyle name="origAmountCrD 20" xfId="12439"/>
    <cellStyle name="Header2 3 3 16" xfId="12440"/>
    <cellStyle name="常规 14 3 5" xfId="12441"/>
    <cellStyle name="origAmountCrD 16" xfId="12442"/>
    <cellStyle name="origAmountCrD 21" xfId="12443"/>
    <cellStyle name="Header2 3 3 17" xfId="12444"/>
    <cellStyle name="常规 14 3 6" xfId="12445"/>
    <cellStyle name="origAmountCrD 17" xfId="12446"/>
    <cellStyle name="origAmountCrD 22" xfId="12447"/>
    <cellStyle name="Header2 3 3 18" xfId="12448"/>
    <cellStyle name="常规 14 3 7" xfId="12449"/>
    <cellStyle name="origAmountCrD 18" xfId="12450"/>
    <cellStyle name="origAmountCrD 23" xfId="12451"/>
    <cellStyle name="Header2 3 3 19" xfId="12452"/>
    <cellStyle name="汇总 3 3 2 2 12" xfId="12453"/>
    <cellStyle name="Header2 3 3 2" xfId="12454"/>
    <cellStyle name="标题1 13 12" xfId="12455"/>
    <cellStyle name="差 3 8" xfId="12456"/>
    <cellStyle name="Header2 3 3 2 2" xfId="12457"/>
    <cellStyle name="标题1 13 13" xfId="12458"/>
    <cellStyle name="Header2 3 3 3" xfId="12459"/>
    <cellStyle name="标题1 13 14" xfId="12460"/>
    <cellStyle name="Input [yellow] 11 2 3 2" xfId="12461"/>
    <cellStyle name="Header2 3 3 4" xfId="12462"/>
    <cellStyle name="标题1 13 15" xfId="12463"/>
    <cellStyle name="Input [yellow] 11 2 3 3" xfId="12464"/>
    <cellStyle name="Header2 3 3 5" xfId="12465"/>
    <cellStyle name="标题1 13 16" xfId="12466"/>
    <cellStyle name="Header2 3 3 6" xfId="12467"/>
    <cellStyle name="标题1 13 17" xfId="12468"/>
    <cellStyle name="Header2 3 3 7" xfId="12469"/>
    <cellStyle name="Header2 3 3 8" xfId="12470"/>
    <cellStyle name="Header2 3 3 9" xfId="12471"/>
    <cellStyle name="Header2 3 4" xfId="12472"/>
    <cellStyle name="标题 3 3 9 14" xfId="12473"/>
    <cellStyle name="Header2 3 4 10" xfId="12474"/>
    <cellStyle name="标题 3 3 9 15" xfId="12475"/>
    <cellStyle name="Header2 3 4 11" xfId="12476"/>
    <cellStyle name="标题 3 3 9 16" xfId="12477"/>
    <cellStyle name="Header2 3 4 12" xfId="12478"/>
    <cellStyle name="标题 3 3 9 17" xfId="12479"/>
    <cellStyle name="Header2 3 4 13" xfId="12480"/>
    <cellStyle name="Header2 3 4 14" xfId="12481"/>
    <cellStyle name="Header2 3 4 15" xfId="12482"/>
    <cellStyle name="Header2 3 4 16" xfId="12483"/>
    <cellStyle name="Header2 3 4 17" xfId="12484"/>
    <cellStyle name="Header2 3 4 18" xfId="12485"/>
    <cellStyle name="Header2 3 4 19" xfId="12486"/>
    <cellStyle name="Header2 3 6 2 2" xfId="12487"/>
    <cellStyle name="输出 2 5" xfId="12488"/>
    <cellStyle name="Header2 3 4 2" xfId="12489"/>
    <cellStyle name="输出 2 5 2" xfId="12490"/>
    <cellStyle name="Header2 3 4 2 2" xfId="12491"/>
    <cellStyle name="输出 2 6" xfId="12492"/>
    <cellStyle name="Header2 3 4 3" xfId="12493"/>
    <cellStyle name="输出 2 7" xfId="12494"/>
    <cellStyle name="Header2 3 4 4" xfId="12495"/>
    <cellStyle name="输出 2 9" xfId="12496"/>
    <cellStyle name="Header2 3 4 6" xfId="12497"/>
    <cellStyle name="Header2 3 4 7" xfId="12498"/>
    <cellStyle name="Header2 3 4 8" xfId="12499"/>
    <cellStyle name="Header2 3 4 9" xfId="12500"/>
    <cellStyle name="Header2 3 5" xfId="12501"/>
    <cellStyle name="Header2 3 5 10" xfId="12502"/>
    <cellStyle name="Header2 3 5 11" xfId="12503"/>
    <cellStyle name="Header2 3 5 12" xfId="12504"/>
    <cellStyle name="Header2 3 5 13" xfId="12505"/>
    <cellStyle name="Header2 3 5 14" xfId="12506"/>
    <cellStyle name="输出 3 5" xfId="12507"/>
    <cellStyle name="Header2 3 5 2" xfId="12508"/>
    <cellStyle name="常规 146 2 19" xfId="12509"/>
    <cellStyle name="常规 151 2 19" xfId="12510"/>
    <cellStyle name="输出 3 5 2" xfId="12511"/>
    <cellStyle name="Header2 3 5 2 2" xfId="12512"/>
    <cellStyle name="Header2 3 6" xfId="12513"/>
    <cellStyle name="Header2 3 6 10" xfId="12514"/>
    <cellStyle name="Header2 3 6 11" xfId="12515"/>
    <cellStyle name="Header2 3 6 12" xfId="12516"/>
    <cellStyle name="Header2 3 6 13" xfId="12517"/>
    <cellStyle name="Header2 3 6 14" xfId="12518"/>
    <cellStyle name="输出 4 5" xfId="12519"/>
    <cellStyle name="Input [yellow] 2 7 14" xfId="12520"/>
    <cellStyle name="Header2 3 6 2" xfId="12521"/>
    <cellStyle name="Header2 3 7" xfId="12522"/>
    <cellStyle name="强调文字颜色 6 2 3 2" xfId="12523"/>
    <cellStyle name="Header2 3 7 10" xfId="12524"/>
    <cellStyle name="强调文字颜色 6 2 3 3" xfId="12525"/>
    <cellStyle name="Header2 3 7 11" xfId="12526"/>
    <cellStyle name="强调文字颜色 6 2 3 4" xfId="12527"/>
    <cellStyle name="Header2 3 7 12" xfId="12528"/>
    <cellStyle name="Header2 3 7 13" xfId="12529"/>
    <cellStyle name="百分比 2 2 2" xfId="12530"/>
    <cellStyle name="Header2 3 7 14" xfId="12531"/>
    <cellStyle name="百分比 2 2 3" xfId="12532"/>
    <cellStyle name="Header2 3 7 15" xfId="12533"/>
    <cellStyle name="Input [yellow] 2 3 2 2 2" xfId="12534"/>
    <cellStyle name="Header2 3 7 2" xfId="12535"/>
    <cellStyle name="输入 2 2 18" xfId="12536"/>
    <cellStyle name="输入 2 2 23" xfId="12537"/>
    <cellStyle name="Header2 3 7 2 2" xfId="12538"/>
    <cellStyle name="Header2 3 7 3" xfId="12539"/>
    <cellStyle name="Header2 3 7 4" xfId="12540"/>
    <cellStyle name="Header2 3 7 5" xfId="12541"/>
    <cellStyle name="Header2 3 7 6" xfId="12542"/>
    <cellStyle name="Header2 3 7 7" xfId="12543"/>
    <cellStyle name="Header2 3 7 8" xfId="12544"/>
    <cellStyle name="PSInt" xfId="12545"/>
    <cellStyle name="Header2 3 7 9" xfId="12546"/>
    <cellStyle name="Header2 3 8" xfId="12547"/>
    <cellStyle name="no dec 2 3 2 3" xfId="12548"/>
    <cellStyle name="Header2 3 8 10" xfId="12549"/>
    <cellStyle name="Header2 3 8 11" xfId="12550"/>
    <cellStyle name="输出 2 11 2 2" xfId="12551"/>
    <cellStyle name="Header2 3 8 12" xfId="12552"/>
    <cellStyle name="输出 2 11 2 3" xfId="12553"/>
    <cellStyle name="Header2 3 8 13" xfId="12554"/>
    <cellStyle name="常规 15 3 2" xfId="12555"/>
    <cellStyle name="常规 20 3 2" xfId="12556"/>
    <cellStyle name="Header2 3 8 14" xfId="12557"/>
    <cellStyle name="常规 15 3 3" xfId="12558"/>
    <cellStyle name="常规 20 3 3" xfId="12559"/>
    <cellStyle name="Header2 3 8 15" xfId="12560"/>
    <cellStyle name="常规 15 3 4" xfId="12561"/>
    <cellStyle name="常规 20 3 4" xfId="12562"/>
    <cellStyle name="Header2 3 8 16" xfId="12563"/>
    <cellStyle name="常规 15 3 5" xfId="12564"/>
    <cellStyle name="常规 20 3 5" xfId="12565"/>
    <cellStyle name="Header2 3 8 17" xfId="12566"/>
    <cellStyle name="强调文字颜色 5 2 8" xfId="12567"/>
    <cellStyle name="Header2 3 8 2" xfId="12568"/>
    <cellStyle name="Header2 3 8 2 2" xfId="12569"/>
    <cellStyle name="Header2 3 8 2 3" xfId="12570"/>
    <cellStyle name="Header2 3 8 5" xfId="12571"/>
    <cellStyle name="Header2 3 8 6" xfId="12572"/>
    <cellStyle name="Header2 3 8 9" xfId="12573"/>
    <cellStyle name="Header2 3 9" xfId="12574"/>
    <cellStyle name="Header2 3 9 10" xfId="12575"/>
    <cellStyle name="Header2 3 9 11" xfId="12576"/>
    <cellStyle name="Header2 3 9 12" xfId="12577"/>
    <cellStyle name="Header2 3 9 13" xfId="12578"/>
    <cellStyle name="Header2 3 9 14" xfId="12579"/>
    <cellStyle name="Header2 3 9 15" xfId="12580"/>
    <cellStyle name="常规 98 2 2 3 2" xfId="12581"/>
    <cellStyle name="Header2 3 9 16" xfId="12582"/>
    <cellStyle name="常规 98 2 2 3 3" xfId="12583"/>
    <cellStyle name="Header2 3 9 17" xfId="12584"/>
    <cellStyle name="Header2 3 9 2" xfId="12585"/>
    <cellStyle name="Header2 3 9 2 2" xfId="12586"/>
    <cellStyle name="Header2 3 9 2 3" xfId="12587"/>
    <cellStyle name="Header2 3 9 3" xfId="12588"/>
    <cellStyle name="Header2 3 9 4" xfId="12589"/>
    <cellStyle name="Header2 3 9 5" xfId="12590"/>
    <cellStyle name="输出 2 9 2 5" xfId="12591"/>
    <cellStyle name="Input [yellow] 3 12 2 12" xfId="12592"/>
    <cellStyle name="Header2 4" xfId="12593"/>
    <cellStyle name="Header2 4 12" xfId="12594"/>
    <cellStyle name="Header2 4 13" xfId="12595"/>
    <cellStyle name="Header2 4 14" xfId="12596"/>
    <cellStyle name="Header2 4 15" xfId="12597"/>
    <cellStyle name="Header2 4 20" xfId="12598"/>
    <cellStyle name="Header2 4 16" xfId="12599"/>
    <cellStyle name="Header2 4 21" xfId="12600"/>
    <cellStyle name="常规 19 3 3 2" xfId="12601"/>
    <cellStyle name="常规 24 3 3 2" xfId="12602"/>
    <cellStyle name="origAmountDrD 14 2" xfId="12603"/>
    <cellStyle name="常规 18 3 6" xfId="12604"/>
    <cellStyle name="常规 23 3 6" xfId="12605"/>
    <cellStyle name="输入 3 4 2 6" xfId="12606"/>
    <cellStyle name="强调文字颜色 5 4 3 2" xfId="12607"/>
    <cellStyle name="常规 86 2 2 3 2" xfId="12608"/>
    <cellStyle name="常规 91 2 2 3 2" xfId="12609"/>
    <cellStyle name="Header2 4 17" xfId="12610"/>
    <cellStyle name="Header2 4 22" xfId="12611"/>
    <cellStyle name="常规 19 3 3 3" xfId="12612"/>
    <cellStyle name="常规 24 3 3 3" xfId="12613"/>
    <cellStyle name="origAmountDrD 14 3" xfId="12614"/>
    <cellStyle name="常规 18 3 7" xfId="12615"/>
    <cellStyle name="常规 23 3 7" xfId="12616"/>
    <cellStyle name="输入 3 4 2 7" xfId="12617"/>
    <cellStyle name="强调文字颜色 5 4 3 3" xfId="12618"/>
    <cellStyle name="常规 86 2 2 3 3" xfId="12619"/>
    <cellStyle name="常规 91 2 2 3 3" xfId="12620"/>
    <cellStyle name="Header2 4 18" xfId="12621"/>
    <cellStyle name="Header2 4 19" xfId="12622"/>
    <cellStyle name="t_HVAC Equipment (3) 2 15" xfId="12623"/>
    <cellStyle name="Header2 4 2" xfId="12624"/>
    <cellStyle name="Header2 4 2 10" xfId="12625"/>
    <cellStyle name="Header2 4 2 11" xfId="12626"/>
    <cellStyle name="Header2 4 2 12" xfId="12627"/>
    <cellStyle name="汇总 3 3 3 2 7" xfId="12628"/>
    <cellStyle name="Header2 8 10" xfId="12629"/>
    <cellStyle name="常规 75 3 9" xfId="12630"/>
    <cellStyle name="常规 80 3 9" xfId="12631"/>
    <cellStyle name="Header2 4 2 13" xfId="12632"/>
    <cellStyle name="汇总 3 3 3 2 8" xfId="12633"/>
    <cellStyle name="Header2 8 11" xfId="12634"/>
    <cellStyle name="Header2 4 2 14" xfId="12635"/>
    <cellStyle name="汇总 3 3 3 2 9" xfId="12636"/>
    <cellStyle name="Header2 8 12" xfId="12637"/>
    <cellStyle name="Header2 4 2 15" xfId="12638"/>
    <cellStyle name="Header2 8 13" xfId="12639"/>
    <cellStyle name="Header2 4 2 16" xfId="12640"/>
    <cellStyle name="Header2 8 14" xfId="12641"/>
    <cellStyle name="Header2 4 2 17" xfId="12642"/>
    <cellStyle name="Header2 8 15" xfId="12643"/>
    <cellStyle name="origAmountCrD 2 4 2 5" xfId="12644"/>
    <cellStyle name="Header2 4 2 2" xfId="12645"/>
    <cellStyle name="origAmountCrD 2 4 2 6" xfId="12646"/>
    <cellStyle name="Header2 4 2 3" xfId="12647"/>
    <cellStyle name="origAmountCrD 2 4 2 7" xfId="12648"/>
    <cellStyle name="Header2 4 2 4" xfId="12649"/>
    <cellStyle name="origAmountCrD 2 4 2 8" xfId="12650"/>
    <cellStyle name="Header2 4 2 5" xfId="12651"/>
    <cellStyle name="t_HVAC Equipment (3) 2 16" xfId="12652"/>
    <cellStyle name="Header2 4 3" xfId="12653"/>
    <cellStyle name="Header2 4 3 10" xfId="12654"/>
    <cellStyle name="origAmountDrD 10" xfId="12655"/>
    <cellStyle name="Header2 4 3 11" xfId="12656"/>
    <cellStyle name="origAmountDrD 11" xfId="12657"/>
    <cellStyle name="Header2 4 3 12" xfId="12658"/>
    <cellStyle name="Header2 9 10" xfId="12659"/>
    <cellStyle name="origAmountDrD 12" xfId="12660"/>
    <cellStyle name="Header2 4 3 13" xfId="12661"/>
    <cellStyle name="Header2 9 11" xfId="12662"/>
    <cellStyle name="常规 19 3 2" xfId="12663"/>
    <cellStyle name="常规 24 3 2" xfId="12664"/>
    <cellStyle name="origAmountDrD 13" xfId="12665"/>
    <cellStyle name="Header2 4 3 14" xfId="12666"/>
    <cellStyle name="Header2 9 12" xfId="12667"/>
    <cellStyle name="常规 19 3 3" xfId="12668"/>
    <cellStyle name="常规 24 3 3" xfId="12669"/>
    <cellStyle name="origAmountDrD 14" xfId="12670"/>
    <cellStyle name="Header2 4 3 15" xfId="12671"/>
    <cellStyle name="Header2 9 13" xfId="12672"/>
    <cellStyle name="汇总 3 2 2 2 2" xfId="12673"/>
    <cellStyle name="常规 19 3 4" xfId="12674"/>
    <cellStyle name="常规 24 3 4" xfId="12675"/>
    <cellStyle name="origAmountDrD 15" xfId="12676"/>
    <cellStyle name="origAmountDrD 20" xfId="12677"/>
    <cellStyle name="Header2 4 3 16" xfId="12678"/>
    <cellStyle name="Header2 9 14" xfId="12679"/>
    <cellStyle name="汇总 3 2 2 2 3" xfId="12680"/>
    <cellStyle name="常规 19 3 5" xfId="12681"/>
    <cellStyle name="常规 24 3 5" xfId="12682"/>
    <cellStyle name="origAmountDrD 16" xfId="12683"/>
    <cellStyle name="origAmountDrD 21" xfId="12684"/>
    <cellStyle name="Header2 4 3 17" xfId="12685"/>
    <cellStyle name="Header2 9 15" xfId="12686"/>
    <cellStyle name="汇总 3 2 2 2 4" xfId="12687"/>
    <cellStyle name="常规 19 3 6" xfId="12688"/>
    <cellStyle name="常规 24 3 6" xfId="12689"/>
    <cellStyle name="origAmountDrD 17" xfId="12690"/>
    <cellStyle name="origAmountDrD 22" xfId="12691"/>
    <cellStyle name="Header2 4 3 18" xfId="12692"/>
    <cellStyle name="Header2 9 16" xfId="12693"/>
    <cellStyle name="汇总 3 2 2 2 5" xfId="12694"/>
    <cellStyle name="常规 19 3 7" xfId="12695"/>
    <cellStyle name="常规 24 3 7" xfId="12696"/>
    <cellStyle name="origAmountDrD 18" xfId="12697"/>
    <cellStyle name="origAmountDrD 23" xfId="12698"/>
    <cellStyle name="Header2 4 3 19" xfId="12699"/>
    <cellStyle name="Header2 9 17" xfId="12700"/>
    <cellStyle name="Header2 4 3 2" xfId="12701"/>
    <cellStyle name="Header2 4 3 3" xfId="12702"/>
    <cellStyle name="Header2 4 3 4" xfId="12703"/>
    <cellStyle name="Header2 4 3 5" xfId="12704"/>
    <cellStyle name="t_HVAC Equipment (3) 2 17" xfId="12705"/>
    <cellStyle name="Header2 4 4" xfId="12706"/>
    <cellStyle name="Header2 4 4 10" xfId="12707"/>
    <cellStyle name="Header2 4 4 11" xfId="12708"/>
    <cellStyle name="Header2 4 4 12" xfId="12709"/>
    <cellStyle name="常规 99 2 2 10" xfId="12710"/>
    <cellStyle name="Header2 4 4 13" xfId="12711"/>
    <cellStyle name="常规 99 2 2 11" xfId="12712"/>
    <cellStyle name="Header2 4 4 14" xfId="12713"/>
    <cellStyle name="常规 99 2 2 12" xfId="12714"/>
    <cellStyle name="Header2 4 4 15" xfId="12715"/>
    <cellStyle name="常规 99 2 2 13" xfId="12716"/>
    <cellStyle name="Header2 4 4 16" xfId="12717"/>
    <cellStyle name="常规 99 2 2 14" xfId="12718"/>
    <cellStyle name="Header2 4 4 17" xfId="12719"/>
    <cellStyle name="Input [yellow] 2 9 2 2 2 2" xfId="12720"/>
    <cellStyle name="常规 99 2 2 15" xfId="12721"/>
    <cellStyle name="Header2 4 4 18" xfId="12722"/>
    <cellStyle name="常规 99 2 2 16" xfId="12723"/>
    <cellStyle name="Header2 4 4 19" xfId="12724"/>
    <cellStyle name="Header2 4 4 6" xfId="12725"/>
    <cellStyle name="Header2 4 4 7" xfId="12726"/>
    <cellStyle name="Header2 4 4 8" xfId="12727"/>
    <cellStyle name="Header2 4 4 9" xfId="12728"/>
    <cellStyle name="Header2 4 5" xfId="12729"/>
    <cellStyle name="常规 147 8" xfId="12730"/>
    <cellStyle name="常规 152 8" xfId="12731"/>
    <cellStyle name="origAmountDrD 10 2 2" xfId="12732"/>
    <cellStyle name="Header2 4 5 2" xfId="12733"/>
    <cellStyle name="常规 97 2 2 11" xfId="12734"/>
    <cellStyle name="origAmountDrD 10 2 2 2" xfId="12735"/>
    <cellStyle name="Header2 4 5 3" xfId="12736"/>
    <cellStyle name="常规 97 2 2 12" xfId="12737"/>
    <cellStyle name="origAmountDrD 10 2 2 3" xfId="12738"/>
    <cellStyle name="Header2 4 6" xfId="12739"/>
    <cellStyle name="常规 147 9" xfId="12740"/>
    <cellStyle name="常规 152 9" xfId="12741"/>
    <cellStyle name="origAmountDrD 10 2 3" xfId="12742"/>
    <cellStyle name="Header2 4 7" xfId="12743"/>
    <cellStyle name="常规 18 10" xfId="12744"/>
    <cellStyle name="常规 23 10" xfId="12745"/>
    <cellStyle name="origAmountDrD 10 2 4" xfId="12746"/>
    <cellStyle name="强调文字颜色 5 4 10" xfId="12747"/>
    <cellStyle name="常规 86 2 2 10" xfId="12748"/>
    <cellStyle name="常规 91 2 2 10" xfId="12749"/>
    <cellStyle name="Header2 4 8" xfId="12750"/>
    <cellStyle name="常规 18 11" xfId="12751"/>
    <cellStyle name="常规 23 11" xfId="12752"/>
    <cellStyle name="origAmountDrD 10 2 5" xfId="12753"/>
    <cellStyle name="强调文字颜色 5 4 11" xfId="12754"/>
    <cellStyle name="常规 86 2 2 11" xfId="12755"/>
    <cellStyle name="常规 91 2 2 11" xfId="12756"/>
    <cellStyle name="Header2 4 9" xfId="12757"/>
    <cellStyle name="常规 18 12" xfId="12758"/>
    <cellStyle name="常规 23 12" xfId="12759"/>
    <cellStyle name="origAmountDrD 10 2 6" xfId="12760"/>
    <cellStyle name="输出 2 9 2 6" xfId="12761"/>
    <cellStyle name="Input [yellow] 3 12 2 13" xfId="12762"/>
    <cellStyle name="Header2 5" xfId="12763"/>
    <cellStyle name="常规 147 2 12" xfId="12764"/>
    <cellStyle name="常规 152 2 12" xfId="12765"/>
    <cellStyle name="Header2 5 10" xfId="12766"/>
    <cellStyle name="常规 147 2 13" xfId="12767"/>
    <cellStyle name="常规 152 2 13" xfId="12768"/>
    <cellStyle name="Header2 5 11" xfId="12769"/>
    <cellStyle name="常规 147 2 14" xfId="12770"/>
    <cellStyle name="常规 152 2 14" xfId="12771"/>
    <cellStyle name="Header2 5 12" xfId="12772"/>
    <cellStyle name="常规 147 2 15" xfId="12773"/>
    <cellStyle name="常规 152 2 15" xfId="12774"/>
    <cellStyle name="Header2 5 13" xfId="12775"/>
    <cellStyle name="常规 147 2 16" xfId="12776"/>
    <cellStyle name="常规 152 2 16" xfId="12777"/>
    <cellStyle name="Header2 5 14" xfId="12778"/>
    <cellStyle name="常规 147 2 17" xfId="12779"/>
    <cellStyle name="常规 152 2 17" xfId="12780"/>
    <cellStyle name="Header2 5 15" xfId="12781"/>
    <cellStyle name="常规 147 2 18" xfId="12782"/>
    <cellStyle name="常规 152 2 18" xfId="12783"/>
    <cellStyle name="Header2 5 16" xfId="12784"/>
    <cellStyle name="常规 147 2 19" xfId="12785"/>
    <cellStyle name="常规 152 2 19" xfId="12786"/>
    <cellStyle name="Header2 5 17" xfId="12787"/>
    <cellStyle name="Header2 5 18" xfId="12788"/>
    <cellStyle name="Header2 5 19" xfId="12789"/>
    <cellStyle name="常规 119 12" xfId="12790"/>
    <cellStyle name="常规 124 12" xfId="12791"/>
    <cellStyle name="Header2 5 2" xfId="12792"/>
    <cellStyle name="常规 23 2 2 12" xfId="12793"/>
    <cellStyle name="Header2 5 2 2" xfId="12794"/>
    <cellStyle name="常规 119 13" xfId="12795"/>
    <cellStyle name="常规 124 13" xfId="12796"/>
    <cellStyle name="Header2 5 3" xfId="12797"/>
    <cellStyle name="常规 119 14" xfId="12798"/>
    <cellStyle name="常规 124 14" xfId="12799"/>
    <cellStyle name="Header2 5 4" xfId="12800"/>
    <cellStyle name="常规 119 15" xfId="12801"/>
    <cellStyle name="常规 119 20" xfId="12802"/>
    <cellStyle name="常规 124 15" xfId="12803"/>
    <cellStyle name="常规 124 20" xfId="12804"/>
    <cellStyle name="Header2 5 5" xfId="12805"/>
    <cellStyle name="常规 148 8" xfId="12806"/>
    <cellStyle name="常规 153 8" xfId="12807"/>
    <cellStyle name="origAmountDrD 10 3 2" xfId="12808"/>
    <cellStyle name="常规 119 16" xfId="12809"/>
    <cellStyle name="常规 119 21" xfId="12810"/>
    <cellStyle name="常规 124 16" xfId="12811"/>
    <cellStyle name="常规 124 21" xfId="12812"/>
    <cellStyle name="Header2 5 6" xfId="12813"/>
    <cellStyle name="常规 148 9" xfId="12814"/>
    <cellStyle name="常规 153 9" xfId="12815"/>
    <cellStyle name="origAmountDrD 10 3 3" xfId="12816"/>
    <cellStyle name="常规 119 17" xfId="12817"/>
    <cellStyle name="常规 119 22" xfId="12818"/>
    <cellStyle name="常规 124 17" xfId="12819"/>
    <cellStyle name="常规 124 22" xfId="12820"/>
    <cellStyle name="Header2 5 7" xfId="12821"/>
    <cellStyle name="常规 119 18" xfId="12822"/>
    <cellStyle name="常规 119 23" xfId="12823"/>
    <cellStyle name="常规 124 18" xfId="12824"/>
    <cellStyle name="常规 124 23" xfId="12825"/>
    <cellStyle name="Header2 5 8" xfId="12826"/>
    <cellStyle name="常规 119 19" xfId="12827"/>
    <cellStyle name="常规 124 19" xfId="12828"/>
    <cellStyle name="Header2 5 9" xfId="12829"/>
    <cellStyle name="输出 2 9 2 7" xfId="12830"/>
    <cellStyle name="Input [yellow] 3 12 2 14" xfId="12831"/>
    <cellStyle name="Header2 6" xfId="12832"/>
    <cellStyle name="强调文字颜色 3 2 2 2" xfId="12833"/>
    <cellStyle name="Header2 6 10" xfId="12834"/>
    <cellStyle name="常规 147 3 12" xfId="12835"/>
    <cellStyle name="常规 152 3 12" xfId="12836"/>
    <cellStyle name="强调文字颜色 3 2 2 3" xfId="12837"/>
    <cellStyle name="Header2 6 11" xfId="12838"/>
    <cellStyle name="常规 147 3 13" xfId="12839"/>
    <cellStyle name="常规 152 3 13" xfId="12840"/>
    <cellStyle name="强调文字颜色 3 2 2 4" xfId="12841"/>
    <cellStyle name="Header2 6 12" xfId="12842"/>
    <cellStyle name="常规 147 3 14" xfId="12843"/>
    <cellStyle name="常规 152 3 14" xfId="12844"/>
    <cellStyle name="常规 147 3 15" xfId="12845"/>
    <cellStyle name="常规 152 3 15" xfId="12846"/>
    <cellStyle name="Header2 6 13" xfId="12847"/>
    <cellStyle name="常规 147 3 16" xfId="12848"/>
    <cellStyle name="常规 152 3 16" xfId="12849"/>
    <cellStyle name="Header2 6 14" xfId="12850"/>
    <cellStyle name="常规 147 3 17" xfId="12851"/>
    <cellStyle name="常规 152 3 17" xfId="12852"/>
    <cellStyle name="Header2 6 15" xfId="12853"/>
    <cellStyle name="常规 147 3 18" xfId="12854"/>
    <cellStyle name="常规 152 3 18" xfId="12855"/>
    <cellStyle name="Header2 6 16" xfId="12856"/>
    <cellStyle name="Header2 6 17" xfId="12857"/>
    <cellStyle name="Header2 6 18" xfId="12858"/>
    <cellStyle name="Header2 6 19" xfId="12859"/>
    <cellStyle name="Header2 6 2" xfId="12860"/>
    <cellStyle name="Header2 6 2 2" xfId="12861"/>
    <cellStyle name="Header2 6 2 3" xfId="12862"/>
    <cellStyle name="Header2 6 3" xfId="12863"/>
    <cellStyle name="Header2 6 4" xfId="12864"/>
    <cellStyle name="Header2 6 5" xfId="12865"/>
    <cellStyle name="Header2 6 7" xfId="12866"/>
    <cellStyle name="Header2 6 8" xfId="12867"/>
    <cellStyle name="Header2 6 9" xfId="12868"/>
    <cellStyle name="Header2 7 10" xfId="12869"/>
    <cellStyle name="Header2 7 11" xfId="12870"/>
    <cellStyle name="Header2 7 12" xfId="12871"/>
    <cellStyle name="Input [yellow] 2 13 2 10" xfId="12872"/>
    <cellStyle name="计算 2 2 3 2 10" xfId="12873"/>
    <cellStyle name="Header2 7 13" xfId="12874"/>
    <cellStyle name="Input [yellow] 2 13 2 11" xfId="12875"/>
    <cellStyle name="计算 2 2 3 2 11" xfId="12876"/>
    <cellStyle name="Header2 7 14" xfId="12877"/>
    <cellStyle name="Input [yellow] 2 13 2 12" xfId="12878"/>
    <cellStyle name="计算 2 2 3 2 12" xfId="12879"/>
    <cellStyle name="Header2 7 15" xfId="12880"/>
    <cellStyle name="Header2 7 16" xfId="12881"/>
    <cellStyle name="Input [yellow] 3 2" xfId="12882"/>
    <cellStyle name="百分比 3 4 2 3" xfId="12883"/>
    <cellStyle name="Header2 7 19" xfId="12884"/>
    <cellStyle name="Input [yellow] 3 5" xfId="12885"/>
    <cellStyle name="常规 145 3 3 2 2" xfId="12886"/>
    <cellStyle name="常规 150 3 3 2 2" xfId="12887"/>
    <cellStyle name="Header2 7 2" xfId="12888"/>
    <cellStyle name="Header2 7 2 2" xfId="12889"/>
    <cellStyle name="常规 145 3 3 2 3" xfId="12890"/>
    <cellStyle name="常规 150 3 3 2 3" xfId="12891"/>
    <cellStyle name="Header2 7 3" xfId="12892"/>
    <cellStyle name="输出 2 2 10 2 2" xfId="12893"/>
    <cellStyle name="Header2 7 4" xfId="12894"/>
    <cellStyle name="输出 2 2 10 2 3" xfId="12895"/>
    <cellStyle name="Header2 7 5" xfId="12896"/>
    <cellStyle name="输出 2 2 10 2 4" xfId="12897"/>
    <cellStyle name="Header2 7 6" xfId="12898"/>
    <cellStyle name="输出 2 2 10 2 5" xfId="12899"/>
    <cellStyle name="Header2 7 7" xfId="12900"/>
    <cellStyle name="输出 2 2 10 2 6" xfId="12901"/>
    <cellStyle name="Header2 7 8" xfId="12902"/>
    <cellStyle name="输出 2 2 10 2 7" xfId="12903"/>
    <cellStyle name="Header2 7 9" xfId="12904"/>
    <cellStyle name="常规 44 2 2 3 2 3" xfId="12905"/>
    <cellStyle name="Header2 8 18" xfId="12906"/>
    <cellStyle name="Input [yellow] 8 4" xfId="12907"/>
    <cellStyle name="Header2 8 19" xfId="12908"/>
    <cellStyle name="Input [yellow] 8 5" xfId="12909"/>
    <cellStyle name="Input [yellow] 2 8 2 9" xfId="12910"/>
    <cellStyle name="Header2 8 2" xfId="12911"/>
    <cellStyle name="Header2 8 2 2" xfId="12912"/>
    <cellStyle name="Header2 8 2 3" xfId="12913"/>
    <cellStyle name="Header2 8 3" xfId="12914"/>
    <cellStyle name="Header2 8 4" xfId="12915"/>
    <cellStyle name="Header2 8 5" xfId="12916"/>
    <cellStyle name="Header2 8 6" xfId="12917"/>
    <cellStyle name="Header2 8 7" xfId="12918"/>
    <cellStyle name="Header2 8 8" xfId="12919"/>
    <cellStyle name="Header2 8 9" xfId="12920"/>
    <cellStyle name="Input [yellow] 3 12 2 17" xfId="12921"/>
    <cellStyle name="Header2 9" xfId="12922"/>
    <cellStyle name="Header2 9 18" xfId="12923"/>
    <cellStyle name="汇总 3 2 2 2 6" xfId="12924"/>
    <cellStyle name="常规 19 3 8" xfId="12925"/>
    <cellStyle name="常规 24 3 8" xfId="12926"/>
    <cellStyle name="origAmountDrD 19" xfId="12927"/>
    <cellStyle name="origAmountDrD 24" xfId="12928"/>
    <cellStyle name="Header2 9 19" xfId="12929"/>
    <cellStyle name="汇总 3 2 2 2 7" xfId="12930"/>
    <cellStyle name="常规 19 3 9" xfId="12931"/>
    <cellStyle name="常规 24 3 9" xfId="12932"/>
    <cellStyle name="origAmountDrD 25" xfId="12933"/>
    <cellStyle name="origAmountDrD 30" xfId="12934"/>
    <cellStyle name="样式 1 2 14" xfId="12935"/>
    <cellStyle name="常规 135 3 3 3" xfId="12936"/>
    <cellStyle name="常规 140 3 3 3" xfId="12937"/>
    <cellStyle name="Header2 9 2" xfId="12938"/>
    <cellStyle name="常规 157 5" xfId="12939"/>
    <cellStyle name="常规 162 5" xfId="12940"/>
    <cellStyle name="origAmountDrD 2 2 2 2 7" xfId="12941"/>
    <cellStyle name="PSDate 18" xfId="12942"/>
    <cellStyle name="Header2 9 2 2" xfId="12943"/>
    <cellStyle name="常规 10 3 8" xfId="12944"/>
    <cellStyle name="origAmountDrD 2 7" xfId="12945"/>
    <cellStyle name="Header2 9 3" xfId="12946"/>
    <cellStyle name="常规 157 6" xfId="12947"/>
    <cellStyle name="常规 162 6" xfId="12948"/>
    <cellStyle name="origAmountDrD 2 2 2 2 8" xfId="12949"/>
    <cellStyle name="Header2 9 4" xfId="12950"/>
    <cellStyle name="常规 157 7" xfId="12951"/>
    <cellStyle name="常规 162 7" xfId="12952"/>
    <cellStyle name="origAmountDrD 2 2 2 2 9" xfId="12953"/>
    <cellStyle name="Header2 9 5" xfId="12954"/>
    <cellStyle name="Header2 9 6" xfId="12955"/>
    <cellStyle name="Header2 9 7" xfId="12956"/>
    <cellStyle name="Header2 9 8" xfId="12957"/>
    <cellStyle name="Header2 9 9" xfId="12958"/>
    <cellStyle name="Input [yellow]" xfId="12959"/>
    <cellStyle name="Input [yellow] 6 13" xfId="12960"/>
    <cellStyle name="Input [yellow] 2 8 2 2 8" xfId="12961"/>
    <cellStyle name="Input [yellow] 10 10" xfId="12962"/>
    <cellStyle name="Input [yellow] 6 14" xfId="12963"/>
    <cellStyle name="Input [yellow] 2 8 2 2 9" xfId="12964"/>
    <cellStyle name="Input [yellow] 2 6 2 10" xfId="12965"/>
    <cellStyle name="Input [yellow] 10 11" xfId="12966"/>
    <cellStyle name="Input [yellow] 6 15" xfId="12967"/>
    <cellStyle name="Input [yellow] 2 6 2 11" xfId="12968"/>
    <cellStyle name="Input [yellow] 10 12" xfId="12969"/>
    <cellStyle name="Input [yellow] 6 16" xfId="12970"/>
    <cellStyle name="Input [yellow] 2 6 2 12" xfId="12971"/>
    <cellStyle name="Input [yellow] 10 13" xfId="12972"/>
    <cellStyle name="常规 55 2 2" xfId="12973"/>
    <cellStyle name="常规 60 2 2" xfId="12974"/>
    <cellStyle name="Input [yellow] 10 14" xfId="12975"/>
    <cellStyle name="Input [yellow] 6 17" xfId="12976"/>
    <cellStyle name="Input [yellow] 2 6 2 13" xfId="12977"/>
    <cellStyle name="常规 55 2 3" xfId="12978"/>
    <cellStyle name="常规 60 2 3" xfId="12979"/>
    <cellStyle name="Input [yellow] 10 15" xfId="12980"/>
    <cellStyle name="Input [yellow] 6 18" xfId="12981"/>
    <cellStyle name="Input [yellow] 2 6 2 14" xfId="12982"/>
    <cellStyle name="常规 55 2 4" xfId="12983"/>
    <cellStyle name="常规 60 2 4" xfId="12984"/>
    <cellStyle name="Input [yellow] 10 16" xfId="12985"/>
    <cellStyle name="Input [yellow] 6 19" xfId="12986"/>
    <cellStyle name="Input [yellow] 2 6 2 15" xfId="12987"/>
    <cellStyle name="常规 55 2 5" xfId="12988"/>
    <cellStyle name="常规 60 2 5" xfId="12989"/>
    <cellStyle name="Input [yellow] 10 17" xfId="12990"/>
    <cellStyle name="常规 104 3 3 2" xfId="12991"/>
    <cellStyle name="Input [yellow] 2 6 2 16" xfId="12992"/>
    <cellStyle name="Input [yellow] 10 2 10" xfId="12993"/>
    <cellStyle name="Input [yellow] 10 2 11" xfId="12994"/>
    <cellStyle name="Input [yellow] 10 2 12" xfId="12995"/>
    <cellStyle name="Input [yellow] 10 2 13" xfId="12996"/>
    <cellStyle name="Input [yellow] 10 2 14" xfId="12997"/>
    <cellStyle name="Input [yellow] 10 2 17" xfId="12998"/>
    <cellStyle name="Input [yellow] 3 13 2 9" xfId="12999"/>
    <cellStyle name="Input [yellow] 10 2 2 10" xfId="13000"/>
    <cellStyle name="Input [yellow] 10 2 2 11" xfId="13001"/>
    <cellStyle name="常规 108 2 2 3 2 2" xfId="13002"/>
    <cellStyle name="常规 113 2 2 3 2 2" xfId="13003"/>
    <cellStyle name="注释 3 2 6 12" xfId="13004"/>
    <cellStyle name="Input [yellow] 10 2 2 12" xfId="13005"/>
    <cellStyle name="汇总 3 3 4 17" xfId="13006"/>
    <cellStyle name="Input [yellow] 10 2 2 7" xfId="13007"/>
    <cellStyle name="汇总 3 3 4 18" xfId="13008"/>
    <cellStyle name="Input [yellow] 10 2 2 8" xfId="13009"/>
    <cellStyle name="汇总 3 3 4 19" xfId="13010"/>
    <cellStyle name="输出 3 6 2 2" xfId="13011"/>
    <cellStyle name="Input [yellow] 10 2 2 9" xfId="13012"/>
    <cellStyle name="Input [yellow] 10 2 3 2" xfId="13013"/>
    <cellStyle name="Input [yellow] 10 2 3 3" xfId="13014"/>
    <cellStyle name="Input [yellow] 10 3 2" xfId="13015"/>
    <cellStyle name="Input [yellow] 10 3 3" xfId="13016"/>
    <cellStyle name="Input [yellow] 10 4" xfId="13017"/>
    <cellStyle name="Input [yellow] 3 5 2" xfId="13018"/>
    <cellStyle name="Input [yellow] 10 5" xfId="13019"/>
    <cellStyle name="Input [yellow] 3 5 3" xfId="13020"/>
    <cellStyle name="Input [yellow] 10 6" xfId="13021"/>
    <cellStyle name="Input [yellow] 3 5 4" xfId="13022"/>
    <cellStyle name="Input [yellow] 10 7" xfId="13023"/>
    <cellStyle name="常规 104 3 10" xfId="13024"/>
    <cellStyle name="Input [yellow] 3 5 5" xfId="13025"/>
    <cellStyle name="Input [yellow] 10 8" xfId="13026"/>
    <cellStyle name="常规 104 3 11" xfId="13027"/>
    <cellStyle name="Input [yellow] 3 5 6" xfId="13028"/>
    <cellStyle name="Input [yellow] 10 9" xfId="13029"/>
    <cellStyle name="Input [yellow] 7 13" xfId="13030"/>
    <cellStyle name="Input [yellow] 11 10" xfId="13031"/>
    <cellStyle name="注释 2 4 2 10" xfId="13032"/>
    <cellStyle name="Input [yellow] 7 14" xfId="13033"/>
    <cellStyle name="Input [yellow] 11 11" xfId="13034"/>
    <cellStyle name="注释 2 4 2 11" xfId="13035"/>
    <cellStyle name="Input [yellow] 7 15" xfId="13036"/>
    <cellStyle name="Input [yellow] 11 12" xfId="13037"/>
    <cellStyle name="注释 2 4 2 12" xfId="13038"/>
    <cellStyle name="Input [yellow] 7 16" xfId="13039"/>
    <cellStyle name="Input [yellow] 11 13" xfId="13040"/>
    <cellStyle name="Input [yellow] 7 17" xfId="13041"/>
    <cellStyle name="Input [yellow] 11 14" xfId="13042"/>
    <cellStyle name="Input [yellow] 7 18" xfId="13043"/>
    <cellStyle name="Input [yellow] 11 15" xfId="13044"/>
    <cellStyle name="Input [yellow] 7 19" xfId="13045"/>
    <cellStyle name="Input [yellow] 11 16" xfId="13046"/>
    <cellStyle name="Input [yellow] 11 17" xfId="13047"/>
    <cellStyle name="常规 106 5 2 2" xfId="13048"/>
    <cellStyle name="常规 111 5 2 2" xfId="13049"/>
    <cellStyle name="Input [yellow] 3 2 2 9" xfId="13050"/>
    <cellStyle name="Input [yellow] 11 2" xfId="13051"/>
    <cellStyle name="注释 2 4 2 2" xfId="13052"/>
    <cellStyle name="输出 2 10 5" xfId="13053"/>
    <cellStyle name="origAmountCrD 2 3 11" xfId="13054"/>
    <cellStyle name="Input [yellow] 11 2 10" xfId="13055"/>
    <cellStyle name="输出 2 10 6" xfId="13056"/>
    <cellStyle name="origAmountCrD 2 3 12" xfId="13057"/>
    <cellStyle name="Input [yellow] 11 2 11" xfId="13058"/>
    <cellStyle name="输出 2 10 7" xfId="13059"/>
    <cellStyle name="origAmountCrD 2 3 13" xfId="13060"/>
    <cellStyle name="Input [yellow] 11 2 12" xfId="13061"/>
    <cellStyle name="输出 2 10 8" xfId="13062"/>
    <cellStyle name="origAmountCrD 2 3 14" xfId="13063"/>
    <cellStyle name="Input [yellow] 11 2 13" xfId="13064"/>
    <cellStyle name="输出 2 10 9" xfId="13065"/>
    <cellStyle name="origAmountCrD 2 3 15" xfId="13066"/>
    <cellStyle name="Input [yellow] 11 2 14" xfId="13067"/>
    <cellStyle name="origAmountCrD 2 3 16" xfId="13068"/>
    <cellStyle name="Input [yellow] 11 2 15" xfId="13069"/>
    <cellStyle name="origAmountCrD 2 3 17" xfId="13070"/>
    <cellStyle name="Input [yellow] 11 2 16" xfId="13071"/>
    <cellStyle name="Input [yellow] 11 2 17" xfId="13072"/>
    <cellStyle name="Input [yellow] 11 2 2 10" xfId="13073"/>
    <cellStyle name="Input [yellow] 11 2 2 11" xfId="13074"/>
    <cellStyle name="Input [yellow] 11 2 2 12" xfId="13075"/>
    <cellStyle name="Input [yellow] 11 2 2 8" xfId="13076"/>
    <cellStyle name="Input [yellow] 11 2 2 9" xfId="13077"/>
    <cellStyle name="常规 108 3 8" xfId="13078"/>
    <cellStyle name="常规 113 3 8" xfId="13079"/>
    <cellStyle name="Input [yellow] 11 2 4" xfId="13080"/>
    <cellStyle name="常规 108 3 9" xfId="13081"/>
    <cellStyle name="常规 113 3 9" xfId="13082"/>
    <cellStyle name="Input [yellow] 11 2 5" xfId="13083"/>
    <cellStyle name="Input [yellow] 11 2 6" xfId="13084"/>
    <cellStyle name="Input [yellow] 11 2 7" xfId="13085"/>
    <cellStyle name="Input [yellow] 11 2 8" xfId="13086"/>
    <cellStyle name="Input [yellow] 11 2 9" xfId="13087"/>
    <cellStyle name="常规 106 5 2 3" xfId="13088"/>
    <cellStyle name="常规 111 5 2 3" xfId="13089"/>
    <cellStyle name="Input [yellow] 11 3" xfId="13090"/>
    <cellStyle name="注释 2 4 2 3" xfId="13091"/>
    <cellStyle name="Input [yellow] 11 4" xfId="13092"/>
    <cellStyle name="注释 2 4 2 4" xfId="13093"/>
    <cellStyle name="Input [yellow] 3 6 2" xfId="13094"/>
    <cellStyle name="Input [yellow] 11 5" xfId="13095"/>
    <cellStyle name="注释 2 4 2 5" xfId="13096"/>
    <cellStyle name="Input [yellow] 3 6 3" xfId="13097"/>
    <cellStyle name="Input [yellow] 11 6" xfId="13098"/>
    <cellStyle name="注释 2 4 2 6" xfId="13099"/>
    <cellStyle name="Input [yellow] 3 6 4" xfId="13100"/>
    <cellStyle name="Input [yellow] 11 7" xfId="13101"/>
    <cellStyle name="注释 2 4 2 7" xfId="13102"/>
    <cellStyle name="Input [yellow] 3 6 5" xfId="13103"/>
    <cellStyle name="Input [yellow] 11 8" xfId="13104"/>
    <cellStyle name="注释 2 4 2 8" xfId="13105"/>
    <cellStyle name="Input [yellow] 3 6 6" xfId="13106"/>
    <cellStyle name="Input [yellow] 11 9" xfId="13107"/>
    <cellStyle name="注释 2 4 2 9" xfId="13108"/>
    <cellStyle name="Input [yellow] 8 13" xfId="13109"/>
    <cellStyle name="Input [yellow] 12 10" xfId="13110"/>
    <cellStyle name="输出 3 10 5" xfId="13111"/>
    <cellStyle name="注释 3 4 2 3" xfId="13112"/>
    <cellStyle name="常规 107 5 2 3" xfId="13113"/>
    <cellStyle name="常规 112 5 2 3" xfId="13114"/>
    <cellStyle name="Input [yellow] 12 2 10" xfId="13115"/>
    <cellStyle name="输出 3 10 6" xfId="13116"/>
    <cellStyle name="注释 3 4 2 4" xfId="13117"/>
    <cellStyle name="Input [yellow] 12 2 11" xfId="13118"/>
    <cellStyle name="常规 109 3 6" xfId="13119"/>
    <cellStyle name="常规 114 3 6" xfId="13120"/>
    <cellStyle name="Input [yellow] 12 2 2" xfId="13121"/>
    <cellStyle name="Input [yellow] 12 2 2 10" xfId="13122"/>
    <cellStyle name="Input [yellow] 12 2 2 11" xfId="13123"/>
    <cellStyle name="Input [yellow] 12 2 2 12" xfId="13124"/>
    <cellStyle name="Input [yellow] 12 2 2 2" xfId="13125"/>
    <cellStyle name="Input [yellow] 12 2 2 3" xfId="13126"/>
    <cellStyle name="origAmountDrD 2 4 2" xfId="13127"/>
    <cellStyle name="Input [yellow] 12 2 2 4" xfId="13128"/>
    <cellStyle name="origAmountDrD 2 4 3" xfId="13129"/>
    <cellStyle name="Input [yellow] 12 2 2 5" xfId="13130"/>
    <cellStyle name="origAmountDrD 2 4 4" xfId="13131"/>
    <cellStyle name="Input [yellow] 12 2 2 6" xfId="13132"/>
    <cellStyle name="origAmountDrD 2 4 5" xfId="13133"/>
    <cellStyle name="Input [yellow] 12 2 2 7" xfId="13134"/>
    <cellStyle name="常规 109 3 7" xfId="13135"/>
    <cellStyle name="常规 114 3 7" xfId="13136"/>
    <cellStyle name="Input [yellow] 12 2 3" xfId="13137"/>
    <cellStyle name="标题 4 3 13" xfId="13138"/>
    <cellStyle name="Input [yellow] 12 2 3 2" xfId="13139"/>
    <cellStyle name="标题 4 3 14" xfId="13140"/>
    <cellStyle name="Input [yellow] 12 2 3 3" xfId="13141"/>
    <cellStyle name="常规 109 3 8" xfId="13142"/>
    <cellStyle name="常规 114 3 8" xfId="13143"/>
    <cellStyle name="Input [yellow] 12 2 4" xfId="13144"/>
    <cellStyle name="常规 109 3 9" xfId="13145"/>
    <cellStyle name="常规 114 3 9" xfId="13146"/>
    <cellStyle name="Input [yellow] 12 2 5" xfId="13147"/>
    <cellStyle name="Input [yellow] 12 2 6" xfId="13148"/>
    <cellStyle name="Input [yellow] 12 2 7" xfId="13149"/>
    <cellStyle name="Input [yellow] 12 2 8" xfId="13150"/>
    <cellStyle name="Input [yellow] 12 2 9" xfId="13151"/>
    <cellStyle name="Input [yellow] 12 3 2" xfId="13152"/>
    <cellStyle name="Input [yellow] 3 7 6" xfId="13153"/>
    <cellStyle name="Input [yellow] 12 9" xfId="13154"/>
    <cellStyle name="Input [yellow] 9 13" xfId="13155"/>
    <cellStyle name="Input [yellow] 13 10" xfId="13156"/>
    <cellStyle name="Input [yellow] 9 14" xfId="13157"/>
    <cellStyle name="Input [yellow] 13 11" xfId="13158"/>
    <cellStyle name="Input [yellow] 9 15" xfId="13159"/>
    <cellStyle name="Input [yellow] 13 12" xfId="13160"/>
    <cellStyle name="汇总 3 8 2" xfId="13161"/>
    <cellStyle name="Input [yellow] 13 2 10" xfId="13162"/>
    <cellStyle name="常规 137 2 2 4" xfId="13163"/>
    <cellStyle name="常规 142 2 2 4" xfId="13164"/>
    <cellStyle name="汇总 3 8 3" xfId="13165"/>
    <cellStyle name="Input [yellow] 13 2 11" xfId="13166"/>
    <cellStyle name="常规 137 2 2 5" xfId="13167"/>
    <cellStyle name="常规 142 2 2 5" xfId="13168"/>
    <cellStyle name="Input [yellow] 13 2 2 10" xfId="13169"/>
    <cellStyle name="Input [yellow] 13 2 2 11" xfId="13170"/>
    <cellStyle name="输入 2 2 4 2 4" xfId="13171"/>
    <cellStyle name="Input [yellow] 13 2 2 2" xfId="13172"/>
    <cellStyle name="Input [yellow] 13 2 2 2 2" xfId="13173"/>
    <cellStyle name="输入 2 2 4 2 5" xfId="13174"/>
    <cellStyle name="Input [yellow] 13 2 2 3" xfId="13175"/>
    <cellStyle name="输入 2 2 4 2 6" xfId="13176"/>
    <cellStyle name="PSHeading 4 3 2" xfId="13177"/>
    <cellStyle name="Input [yellow] 13 2 2 4" xfId="13178"/>
    <cellStyle name="输入 2 2 4 2 7" xfId="13179"/>
    <cellStyle name="Input [yellow] 13 2 2 5" xfId="13180"/>
    <cellStyle name="输入 2 2 4 2 8" xfId="13181"/>
    <cellStyle name="Input [yellow] 13 2 2 6" xfId="13182"/>
    <cellStyle name="计算 2 3 2 8" xfId="13183"/>
    <cellStyle name="Input [yellow] 13 2 3 2" xfId="13184"/>
    <cellStyle name="计算 2 3 2 9" xfId="13185"/>
    <cellStyle name="Input [yellow] 13 2 3 3" xfId="13186"/>
    <cellStyle name="常规 115 3 8" xfId="13187"/>
    <cellStyle name="常规 120 3 8" xfId="13188"/>
    <cellStyle name="Input [yellow] 13 2 4" xfId="13189"/>
    <cellStyle name="常规 12 16" xfId="13190"/>
    <cellStyle name="常规 12 21" xfId="13191"/>
    <cellStyle name="常规 115 3 9" xfId="13192"/>
    <cellStyle name="常规 120 3 9" xfId="13193"/>
    <cellStyle name="Input [yellow] 13 2 5" xfId="13194"/>
    <cellStyle name="常规 12 17" xfId="13195"/>
    <cellStyle name="常规 12 22" xfId="13196"/>
    <cellStyle name="常规 12 18" xfId="13197"/>
    <cellStyle name="常规 12 23" xfId="13198"/>
    <cellStyle name="Input [yellow] 13 2 6" xfId="13199"/>
    <cellStyle name="常规 12 19" xfId="13200"/>
    <cellStyle name="Input [yellow] 13 2 7" xfId="13201"/>
    <cellStyle name="Input [yellow] 13 2 8" xfId="13202"/>
    <cellStyle name="Input [yellow] 13 2 9" xfId="13203"/>
    <cellStyle name="Input [yellow] 3 8 5" xfId="13204"/>
    <cellStyle name="Input [yellow] 3 3 15" xfId="13205"/>
    <cellStyle name="Input [yellow] 13 8" xfId="13206"/>
    <cellStyle name="Input [yellow] 3 8 6" xfId="13207"/>
    <cellStyle name="Input [yellow] 13 9" xfId="13208"/>
    <cellStyle name="输入 2 2 6" xfId="13209"/>
    <cellStyle name="Input [yellow] 14 10" xfId="13210"/>
    <cellStyle name="输入 2 2 7" xfId="13211"/>
    <cellStyle name="Input [yellow] 14 11" xfId="13212"/>
    <cellStyle name="输入 2 2 8" xfId="13213"/>
    <cellStyle name="Input [yellow] 14 12" xfId="13214"/>
    <cellStyle name="常规 145 3 15" xfId="13215"/>
    <cellStyle name="常规 150 3 15" xfId="13216"/>
    <cellStyle name="Input [yellow] 14 2" xfId="13217"/>
    <cellStyle name="Input [yellow] 14 2 11" xfId="13218"/>
    <cellStyle name="Input [yellow] 14 2 12" xfId="13219"/>
    <cellStyle name="Input [yellow] 14 2 13" xfId="13220"/>
    <cellStyle name="Input [yellow] 14 2 14" xfId="13221"/>
    <cellStyle name="Input [yellow] 14 2 15" xfId="13222"/>
    <cellStyle name="Input [yellow] 14 2 16" xfId="13223"/>
    <cellStyle name="常规 17 5 2" xfId="13224"/>
    <cellStyle name="常规 22 5 2" xfId="13225"/>
    <cellStyle name="Input [yellow] 14 2 17" xfId="13226"/>
    <cellStyle name="origAmountCrD 10 2 2 2 2" xfId="13227"/>
    <cellStyle name="常规 17 14" xfId="13228"/>
    <cellStyle name="常规 22 14" xfId="13229"/>
    <cellStyle name="常规 116 3 6" xfId="13230"/>
    <cellStyle name="常规 121 3 6" xfId="13231"/>
    <cellStyle name="Input [yellow] 14 2 2" xfId="13232"/>
    <cellStyle name="origAmountCrD 11 2 13" xfId="13233"/>
    <cellStyle name="Input [yellow] 14 2 2 10" xfId="13234"/>
    <cellStyle name="origAmountCrD 11 2 14" xfId="13235"/>
    <cellStyle name="Input [yellow] 14 2 2 11" xfId="13236"/>
    <cellStyle name="Input [yellow] 14 2 2 2 2" xfId="13237"/>
    <cellStyle name="常规 17 15" xfId="13238"/>
    <cellStyle name="常规 17 20" xfId="13239"/>
    <cellStyle name="常规 22 15" xfId="13240"/>
    <cellStyle name="常规 22 20" xfId="13241"/>
    <cellStyle name="常规 116 3 7" xfId="13242"/>
    <cellStyle name="常规 121 3 7" xfId="13243"/>
    <cellStyle name="Input [yellow] 14 2 3" xfId="13244"/>
    <cellStyle name="计算 3 3 2 8" xfId="13245"/>
    <cellStyle name="Input [yellow] 14 2 3 2" xfId="13246"/>
    <cellStyle name="计算 3 3 2 9" xfId="13247"/>
    <cellStyle name="Input [yellow] 14 2 3 3" xfId="13248"/>
    <cellStyle name="New Times Roman" xfId="13249"/>
    <cellStyle name="常规 17 16" xfId="13250"/>
    <cellStyle name="常规 17 21" xfId="13251"/>
    <cellStyle name="常规 22 16" xfId="13252"/>
    <cellStyle name="常规 22 21" xfId="13253"/>
    <cellStyle name="常规 116 3 8" xfId="13254"/>
    <cellStyle name="常规 121 3 8" xfId="13255"/>
    <cellStyle name="Input [yellow] 14 2 4" xfId="13256"/>
    <cellStyle name="常规 17 17" xfId="13257"/>
    <cellStyle name="常规 17 22" xfId="13258"/>
    <cellStyle name="常规 22 17" xfId="13259"/>
    <cellStyle name="常规 22 22" xfId="13260"/>
    <cellStyle name="常规 116 3 9" xfId="13261"/>
    <cellStyle name="常规 121 3 9" xfId="13262"/>
    <cellStyle name="Input [yellow] 14 2 5" xfId="13263"/>
    <cellStyle name="Input [yellow] 2 2 3 10" xfId="13264"/>
    <cellStyle name="常规 17 18" xfId="13265"/>
    <cellStyle name="常规 17 23" xfId="13266"/>
    <cellStyle name="常规 22 18" xfId="13267"/>
    <cellStyle name="常规 22 23" xfId="13268"/>
    <cellStyle name="Input [yellow] 14 2 6" xfId="13269"/>
    <cellStyle name="Input [yellow] 2 2 3 11" xfId="13270"/>
    <cellStyle name="常规 17 19" xfId="13271"/>
    <cellStyle name="常规 22 19" xfId="13272"/>
    <cellStyle name="Input [yellow] 14 2 7" xfId="13273"/>
    <cellStyle name="Input [yellow] 2 2 3 12" xfId="13274"/>
    <cellStyle name="Input [yellow] 14 2 8" xfId="13275"/>
    <cellStyle name="Input [yellow] 2 2 3 13" xfId="13276"/>
    <cellStyle name="Input [yellow] 14 2 9" xfId="13277"/>
    <cellStyle name="Input [yellow] 2 2 3 14" xfId="13278"/>
    <cellStyle name="常规 145 3 16" xfId="13279"/>
    <cellStyle name="常规 150 3 16" xfId="13280"/>
    <cellStyle name="Input [yellow] 14 3" xfId="13281"/>
    <cellStyle name="Input [yellow] 14 3 2" xfId="13282"/>
    <cellStyle name="常规 145 3 17" xfId="13283"/>
    <cellStyle name="常规 150 3 17" xfId="13284"/>
    <cellStyle name="Input [yellow] 14 4" xfId="13285"/>
    <cellStyle name="Input [yellow] 3 9 2" xfId="13286"/>
    <cellStyle name="常规 145 3 18" xfId="13287"/>
    <cellStyle name="常规 150 3 18" xfId="13288"/>
    <cellStyle name="Input [yellow] 14 5" xfId="13289"/>
    <cellStyle name="Input [yellow] 3 9 3" xfId="13290"/>
    <cellStyle name="Input [yellow] 14 6" xfId="13291"/>
    <cellStyle name="Input [yellow] 3 9 4" xfId="13292"/>
    <cellStyle name="Input [yellow] 14 7" xfId="13293"/>
    <cellStyle name="Input [yellow] 3 9 5" xfId="13294"/>
    <cellStyle name="Input [yellow] 14 8" xfId="13295"/>
    <cellStyle name="Input [yellow] 3 9 6" xfId="13296"/>
    <cellStyle name="Input [yellow] 14 9" xfId="13297"/>
    <cellStyle name="Input [yellow] 15 10" xfId="13298"/>
    <cellStyle name="Input [yellow] 15 11" xfId="13299"/>
    <cellStyle name="Input [yellow] 15 12" xfId="13300"/>
    <cellStyle name="Input [yellow] 15 2" xfId="13301"/>
    <cellStyle name="Input [yellow] 15 2 10" xfId="13302"/>
    <cellStyle name="Input [yellow] 15 2 11" xfId="13303"/>
    <cellStyle name="Input [yellow] 15 2 12" xfId="13304"/>
    <cellStyle name="Input [yellow] 15 2 13" xfId="13305"/>
    <cellStyle name="汇总 2 4 10" xfId="13306"/>
    <cellStyle name="Input [yellow] 15 2 14" xfId="13307"/>
    <cellStyle name="汇总 2 4 11" xfId="13308"/>
    <cellStyle name="Input [yellow] 15 2 15" xfId="13309"/>
    <cellStyle name="汇总 2 4 12" xfId="13310"/>
    <cellStyle name="Input [yellow] 15 2 16" xfId="13311"/>
    <cellStyle name="常规 27 5 2" xfId="13312"/>
    <cellStyle name="常规 32 5 2" xfId="13313"/>
    <cellStyle name="汇总 2 4 13" xfId="13314"/>
    <cellStyle name="Input [yellow] 15 2 17" xfId="13315"/>
    <cellStyle name="常规 167 5" xfId="13316"/>
    <cellStyle name="常规 172 5" xfId="13317"/>
    <cellStyle name="Input [yellow] 15 2 2 10" xfId="13318"/>
    <cellStyle name="常规 167 6" xfId="13319"/>
    <cellStyle name="常规 172 6" xfId="13320"/>
    <cellStyle name="Input [yellow] 15 2 2 11" xfId="13321"/>
    <cellStyle name="Input [yellow] 15 2 2 2" xfId="13322"/>
    <cellStyle name="Input [yellow] 15 2 2 2 2" xfId="13323"/>
    <cellStyle name="常规 25 2" xfId="13324"/>
    <cellStyle name="常规 30 2" xfId="13325"/>
    <cellStyle name="Input [yellow] 15 2 2 3" xfId="13326"/>
    <cellStyle name="常规 25 3" xfId="13327"/>
    <cellStyle name="常规 30 3" xfId="13328"/>
    <cellStyle name="Input [yellow] 15 2 2 4" xfId="13329"/>
    <cellStyle name="常规 25 4" xfId="13330"/>
    <cellStyle name="常规 30 4" xfId="13331"/>
    <cellStyle name="Input [yellow] 15 2 2 5" xfId="13332"/>
    <cellStyle name="常规 25 5" xfId="13333"/>
    <cellStyle name="常规 30 5" xfId="13334"/>
    <cellStyle name="Input [yellow] 15 2 2 6" xfId="13335"/>
    <cellStyle name="汇总 2 4 2 7" xfId="13336"/>
    <cellStyle name="Input [yellow] 15 2 3 2" xfId="13337"/>
    <cellStyle name="汇总 2 4 2 8" xfId="13338"/>
    <cellStyle name="常规 26 2" xfId="13339"/>
    <cellStyle name="常规 31 2" xfId="13340"/>
    <cellStyle name="Input [yellow] 15 2 3 3" xfId="13341"/>
    <cellStyle name="常规 27 17" xfId="13342"/>
    <cellStyle name="常规 27 22" xfId="13343"/>
    <cellStyle name="常规 32 17" xfId="13344"/>
    <cellStyle name="常规 32 22" xfId="13345"/>
    <cellStyle name="常规 117 3 9" xfId="13346"/>
    <cellStyle name="常规 122 3 9" xfId="13347"/>
    <cellStyle name="Input [yellow] 15 2 5" xfId="13348"/>
    <cellStyle name="常规 27 18" xfId="13349"/>
    <cellStyle name="常规 27 23" xfId="13350"/>
    <cellStyle name="常规 32 18" xfId="13351"/>
    <cellStyle name="常规 32 23" xfId="13352"/>
    <cellStyle name="Input [yellow] 15 2 6" xfId="13353"/>
    <cellStyle name="常规 27 19" xfId="13354"/>
    <cellStyle name="常规 32 19" xfId="13355"/>
    <cellStyle name="Input [yellow] 15 2 7" xfId="13356"/>
    <cellStyle name="Input [yellow] 15 2 8" xfId="13357"/>
    <cellStyle name="Input [yellow] 15 2 9" xfId="13358"/>
    <cellStyle name="Input [yellow] 15 3" xfId="13359"/>
    <cellStyle name="Input [yellow] 15 3 2" xfId="13360"/>
    <cellStyle name="Input [yellow] 15 3 3" xfId="13361"/>
    <cellStyle name="Input [yellow] 15 4" xfId="13362"/>
    <cellStyle name="Input [yellow] 15 5" xfId="13363"/>
    <cellStyle name="Percent [2]" xfId="13364"/>
    <cellStyle name="注释 2 2 6 3 2 2" xfId="13365"/>
    <cellStyle name="Input [yellow] 15 6" xfId="13366"/>
    <cellStyle name="注释 2 2 6 3 2 3" xfId="13367"/>
    <cellStyle name="Input [yellow] 15 7" xfId="13368"/>
    <cellStyle name="Input [yellow] 15 8" xfId="13369"/>
    <cellStyle name="输出 2 8 2 2" xfId="13370"/>
    <cellStyle name="Input [yellow] 15 9" xfId="13371"/>
    <cellStyle name="输出 3 4 2 11" xfId="13372"/>
    <cellStyle name="常规 117 2 2 12" xfId="13373"/>
    <cellStyle name="常规 122 2 2 12" xfId="13374"/>
    <cellStyle name="Input [yellow] 16 10" xfId="13375"/>
    <cellStyle name="输出 3 4 2 12" xfId="13376"/>
    <cellStyle name="常规 117 2 2 13" xfId="13377"/>
    <cellStyle name="常规 122 2 2 13" xfId="13378"/>
    <cellStyle name="Input [yellow] 16 11" xfId="13379"/>
    <cellStyle name="常规 117 2 2 14" xfId="13380"/>
    <cellStyle name="常规 122 2 2 14" xfId="13381"/>
    <cellStyle name="Input [yellow] 16 12" xfId="13382"/>
    <cellStyle name="常规 117 2 2 15" xfId="13383"/>
    <cellStyle name="常规 122 2 2 15" xfId="13384"/>
    <cellStyle name="Input [yellow] 16 13" xfId="13385"/>
    <cellStyle name="Input [yellow] 2 7 2 2 2" xfId="13386"/>
    <cellStyle name="常规 117 2 2 16" xfId="13387"/>
    <cellStyle name="常规 122 2 2 16" xfId="13388"/>
    <cellStyle name="Input [yellow] 16 14" xfId="13389"/>
    <cellStyle name="Input [yellow] 2 7 2 2 3" xfId="13390"/>
    <cellStyle name="常规 117 2 2 17" xfId="13391"/>
    <cellStyle name="常规 122 2 2 17" xfId="13392"/>
    <cellStyle name="Input [yellow] 16 15" xfId="13393"/>
    <cellStyle name="Input [yellow] 2 7 2 2 4" xfId="13394"/>
    <cellStyle name="常规 117 2 2 18" xfId="13395"/>
    <cellStyle name="常规 122 2 2 18" xfId="13396"/>
    <cellStyle name="Input [yellow] 16 16" xfId="13397"/>
    <cellStyle name="Input [yellow] 2 7 2 2 5" xfId="13398"/>
    <cellStyle name="Input [yellow] 16 17" xfId="13399"/>
    <cellStyle name="Input [yellow] 2 7 2 2 6" xfId="13400"/>
    <cellStyle name="Normal - Style1 14" xfId="13401"/>
    <cellStyle name="Input [yellow] 3 10 9" xfId="13402"/>
    <cellStyle name="Input [yellow] 16 2" xfId="13403"/>
    <cellStyle name="origAmountCrD 10 11" xfId="13404"/>
    <cellStyle name="常规 135 3 9" xfId="13405"/>
    <cellStyle name="常规 140 3 9" xfId="13406"/>
    <cellStyle name="Input [yellow] 16 2 2 2" xfId="13407"/>
    <cellStyle name="Input [yellow] 16 2 8" xfId="13408"/>
    <cellStyle name="Input [yellow] 3 10 2 2 5" xfId="13409"/>
    <cellStyle name="Input [yellow] 16 2 9" xfId="13410"/>
    <cellStyle name="Input [yellow] 3 10 2 2 6" xfId="13411"/>
    <cellStyle name="Normal - Style1 15" xfId="13412"/>
    <cellStyle name="Input [yellow] 16 3" xfId="13413"/>
    <cellStyle name="origAmountCrD 10 12" xfId="13414"/>
    <cellStyle name="Normal - Style1 16" xfId="13415"/>
    <cellStyle name="Input [yellow] 16 4" xfId="13416"/>
    <cellStyle name="origAmountCrD 10 13" xfId="13417"/>
    <cellStyle name="Normal - Style1 18" xfId="13418"/>
    <cellStyle name="Input [yellow] 16 6" xfId="13419"/>
    <cellStyle name="origAmountCrD 10 15" xfId="13420"/>
    <cellStyle name="Input [yellow] 16 7" xfId="13421"/>
    <cellStyle name="origAmountCrD 10 16" xfId="13422"/>
    <cellStyle name="Input [yellow] 16 8" xfId="13423"/>
    <cellStyle name="origAmountCrD 10 17" xfId="13424"/>
    <cellStyle name="输出 2 8 3 2" xfId="13425"/>
    <cellStyle name="Input [yellow] 16 9" xfId="13426"/>
    <cellStyle name="origAmountCrD 10 18" xfId="13427"/>
    <cellStyle name="Input [yellow] 2" xfId="13428"/>
    <cellStyle name="Input [yellow] 2 10" xfId="13429"/>
    <cellStyle name="Input [yellow] 2 10 10" xfId="13430"/>
    <cellStyle name="Input [yellow] 2 10 11" xfId="13431"/>
    <cellStyle name="Input [yellow] 2 10 12" xfId="13432"/>
    <cellStyle name="Input [yellow] 2 10 13" xfId="13433"/>
    <cellStyle name="Input [yellow] 2 10 14" xfId="13434"/>
    <cellStyle name="Input [yellow] 2 10 15" xfId="13435"/>
    <cellStyle name="Input [yellow] 2 10 16" xfId="13436"/>
    <cellStyle name="汇总 2 9 2" xfId="13437"/>
    <cellStyle name="Input [yellow] 2 10 17" xfId="13438"/>
    <cellStyle name="Input [yellow] 2 10 2" xfId="13439"/>
    <cellStyle name="Input [yellow] 2 13 8" xfId="13440"/>
    <cellStyle name="Input [yellow] 2 10 2 10" xfId="13441"/>
    <cellStyle name="Input [yellow] 2 13 9" xfId="13442"/>
    <cellStyle name="Input [yellow] 2 10 2 11" xfId="13443"/>
    <cellStyle name="Input [yellow] 2 10 2 12" xfId="13444"/>
    <cellStyle name="Input [yellow] 2 10 2 13" xfId="13445"/>
    <cellStyle name="常规 154 2 3 2" xfId="13446"/>
    <cellStyle name="Input [yellow] 2 10 2 14" xfId="13447"/>
    <cellStyle name="常规 154 2 3 3" xfId="13448"/>
    <cellStyle name="常规 45 2 2 2" xfId="13449"/>
    <cellStyle name="常规 50 2 2 2" xfId="13450"/>
    <cellStyle name="Input [yellow] 2 10 2 15" xfId="13451"/>
    <cellStyle name="汇总 3 8 2 10" xfId="13452"/>
    <cellStyle name="Input [yellow] 2 10 2 16" xfId="13453"/>
    <cellStyle name="常规 45 2 2 3" xfId="13454"/>
    <cellStyle name="常规 50 2 2 3" xfId="13455"/>
    <cellStyle name="汇总 3 8 2 11" xfId="13456"/>
    <cellStyle name="Input [yellow] 2 10 2 17" xfId="13457"/>
    <cellStyle name="常规 45 2 2 4" xfId="13458"/>
    <cellStyle name="常规 50 2 2 4" xfId="13459"/>
    <cellStyle name="Input [yellow] 2 10 2 2" xfId="13460"/>
    <cellStyle name="常规 8 18" xfId="13461"/>
    <cellStyle name="常规 8 23" xfId="13462"/>
    <cellStyle name="Input [yellow] 2 10 2 2 11" xfId="13463"/>
    <cellStyle name="常规 8 19" xfId="13464"/>
    <cellStyle name="Input [yellow] 2 10 2 2 12" xfId="13465"/>
    <cellStyle name="Input [yellow] 2 10 2 2 2" xfId="13466"/>
    <cellStyle name="常规 23 2 2 6" xfId="13467"/>
    <cellStyle name="Input [yellow] 2 10 2 2 2 2" xfId="13468"/>
    <cellStyle name="Input [yellow] 2 10 2 2 3" xfId="13469"/>
    <cellStyle name="Input [yellow] 2 10 2 2 4" xfId="13470"/>
    <cellStyle name="好_Book1" xfId="13471"/>
    <cellStyle name="Input [yellow] 2 10 2 2 5" xfId="13472"/>
    <cellStyle name="Input [yellow] 2 10 2 2 6" xfId="13473"/>
    <cellStyle name="Input [yellow] 2 10 2 2 7" xfId="13474"/>
    <cellStyle name="Input [yellow] 2 10 2 2 8" xfId="13475"/>
    <cellStyle name="Input [yellow] 2 10 2 2 9" xfId="13476"/>
    <cellStyle name="Input [yellow] 2 10 2 3" xfId="13477"/>
    <cellStyle name="Input [yellow] 2 13 17" xfId="13478"/>
    <cellStyle name="Input [yellow] 2 10 2 3 2" xfId="13479"/>
    <cellStyle name="Input [yellow] 2 10 2 3 3" xfId="13480"/>
    <cellStyle name="Input [yellow] 2 10 2 4" xfId="13481"/>
    <cellStyle name="PSHeading 6 10" xfId="13482"/>
    <cellStyle name="Input [yellow] 2 10 2 5" xfId="13483"/>
    <cellStyle name="Input [yellow] 2 10 3" xfId="13484"/>
    <cellStyle name="Input [yellow] 2 10 3 2" xfId="13485"/>
    <cellStyle name="Input [yellow] 2 10 4" xfId="13486"/>
    <cellStyle name="Input [yellow] 2 10 5" xfId="13487"/>
    <cellStyle name="Input [yellow] 2 10 6" xfId="13488"/>
    <cellStyle name="Input [yellow] 2 10 7" xfId="13489"/>
    <cellStyle name="Input [yellow] 2 10 8" xfId="13490"/>
    <cellStyle name="Input [yellow] 2 11" xfId="13491"/>
    <cellStyle name="Input [yellow] 2 11 11" xfId="13492"/>
    <cellStyle name="汇总 2 3 4 12" xfId="13493"/>
    <cellStyle name="origAmountCrD 4 4" xfId="13494"/>
    <cellStyle name="Input [yellow] 2 11 12" xfId="13495"/>
    <cellStyle name="汇总 2 3 4 13" xfId="13496"/>
    <cellStyle name="origAmountCrD 4 5" xfId="13497"/>
    <cellStyle name="origAmountCrD 2 2 2 2 2" xfId="13498"/>
    <cellStyle name="Input [yellow] 2 11 13" xfId="13499"/>
    <cellStyle name="汇总 2 3 4 14" xfId="13500"/>
    <cellStyle name="origAmountCrD 4 6" xfId="13501"/>
    <cellStyle name="常规 26 2 2 3 2" xfId="13502"/>
    <cellStyle name="常规 31 2 2 3 2" xfId="13503"/>
    <cellStyle name="origAmountCrD 2 2 2 2 3" xfId="13504"/>
    <cellStyle name="Input [yellow] 2 11 14" xfId="13505"/>
    <cellStyle name="汇总 2 3 4 15" xfId="13506"/>
    <cellStyle name="汇总 2 3 4 20" xfId="13507"/>
    <cellStyle name="注释 3 6 2" xfId="13508"/>
    <cellStyle name="origAmountCrD 4 7" xfId="13509"/>
    <cellStyle name="常规 26 2 2 3 3" xfId="13510"/>
    <cellStyle name="常规 31 2 2 3 3" xfId="13511"/>
    <cellStyle name="origAmountCrD 2 2 2 2 4" xfId="13512"/>
    <cellStyle name="Input [yellow] 2 11 15" xfId="13513"/>
    <cellStyle name="汇总 2 3 4 16" xfId="13514"/>
    <cellStyle name="汇总 2 3 4 21" xfId="13515"/>
    <cellStyle name="注释 3 6 3" xfId="13516"/>
    <cellStyle name="origAmountCrD 4 8" xfId="13517"/>
    <cellStyle name="origAmountCrD 2 2 2 2 5" xfId="13518"/>
    <cellStyle name="Input [yellow] 2 11 16" xfId="13519"/>
    <cellStyle name="汇总 2 3 4 17" xfId="13520"/>
    <cellStyle name="注释 3 6 4" xfId="13521"/>
    <cellStyle name="origAmountCrD 4 9" xfId="13522"/>
    <cellStyle name="origAmountCrD 2 2 2 2 6" xfId="13523"/>
    <cellStyle name="Input [yellow] 2 11 17" xfId="13524"/>
    <cellStyle name="Input [yellow] 2 11 2" xfId="13525"/>
    <cellStyle name="Input [yellow] 3 13 8" xfId="13526"/>
    <cellStyle name="Input [yellow] 2 11 2 10" xfId="13527"/>
    <cellStyle name="Input [yellow] 3 13 9" xfId="13528"/>
    <cellStyle name="Input [yellow] 2 11 2 11" xfId="13529"/>
    <cellStyle name="Input [yellow] 2 11 2 12" xfId="13530"/>
    <cellStyle name="Input [yellow] 2 11 2 13" xfId="13531"/>
    <cellStyle name="Input [yellow] 2 11 2 15" xfId="13532"/>
    <cellStyle name="汇总 3 9 2 10" xfId="13533"/>
    <cellStyle name="Input [yellow] 2 11 2 16" xfId="13534"/>
    <cellStyle name="汇总 3 9 2 11" xfId="13535"/>
    <cellStyle name="Input [yellow] 2 11 2 17" xfId="13536"/>
    <cellStyle name="常规 38 2 2 18" xfId="13537"/>
    <cellStyle name="常规 43 2 2 18" xfId="13538"/>
    <cellStyle name="Input [yellow] 2 11 2 2" xfId="13539"/>
    <cellStyle name="Input [yellow] 2 11 2 2 11" xfId="13540"/>
    <cellStyle name="Input [yellow] 2 11 2 2 2" xfId="13541"/>
    <cellStyle name="常规 76 3 17" xfId="13542"/>
    <cellStyle name="常规 81 3 17" xfId="13543"/>
    <cellStyle name="常规 68 2 2 6" xfId="13544"/>
    <cellStyle name="常规 73 2 2 6" xfId="13545"/>
    <cellStyle name="Input [yellow] 2 11 2 2 2 2" xfId="13546"/>
    <cellStyle name="常规 38 2 4 2 2" xfId="13547"/>
    <cellStyle name="常规 43 2 4 2 2" xfId="13548"/>
    <cellStyle name="Input [yellow] 2 11 2 2 5" xfId="13549"/>
    <cellStyle name="常规 38 2 4 2 3" xfId="13550"/>
    <cellStyle name="常规 43 2 4 2 3" xfId="13551"/>
    <cellStyle name="Input [yellow] 2 11 2 2 6" xfId="13552"/>
    <cellStyle name="Input [yellow] 2 11 2 3" xfId="13553"/>
    <cellStyle name="部门 3" xfId="13554"/>
    <cellStyle name="Input [yellow] 3 13 17" xfId="13555"/>
    <cellStyle name="Input [yellow] 2 11 2 3 2" xfId="13556"/>
    <cellStyle name="Input [yellow] 2 3 2 8" xfId="13557"/>
    <cellStyle name="Input [yellow] 2 11 2 4" xfId="13558"/>
    <cellStyle name="Input [yellow] 2 11 2 5" xfId="13559"/>
    <cellStyle name="Input [yellow] 2 11 2 6" xfId="13560"/>
    <cellStyle name="Input [yellow] 2 11 2 7" xfId="13561"/>
    <cellStyle name="Input [yellow] 2 11 3" xfId="13562"/>
    <cellStyle name="Input [yellow] 2 11 3 2" xfId="13563"/>
    <cellStyle name="Input [yellow] 2 11 3 3" xfId="13564"/>
    <cellStyle name="Input [yellow] 2 11 4" xfId="13565"/>
    <cellStyle name="Input [yellow] 2 11 5" xfId="13566"/>
    <cellStyle name="Input [yellow] 2 11 6" xfId="13567"/>
    <cellStyle name="Input [yellow] 2 11 7" xfId="13568"/>
    <cellStyle name="Input [yellow] 2 11 8" xfId="13569"/>
    <cellStyle name="Input [yellow] 2 12" xfId="13570"/>
    <cellStyle name="常规 68 2 2 13" xfId="13571"/>
    <cellStyle name="常规 73 2 2 13" xfId="13572"/>
    <cellStyle name="Input [yellow] 2 12 10" xfId="13573"/>
    <cellStyle name="汇总 2 3 5 11" xfId="13574"/>
    <cellStyle name="origAmountCrD 9 3" xfId="13575"/>
    <cellStyle name="常规 68 2 2 14" xfId="13576"/>
    <cellStyle name="常规 73 2 2 14" xfId="13577"/>
    <cellStyle name="Input [yellow] 2 12 11" xfId="13578"/>
    <cellStyle name="汇总 2 3 5 12" xfId="13579"/>
    <cellStyle name="origAmountCrD 9 4" xfId="13580"/>
    <cellStyle name="常规 68 2 2 15" xfId="13581"/>
    <cellStyle name="常规 73 2 2 15" xfId="13582"/>
    <cellStyle name="Input [yellow] 2 12 12" xfId="13583"/>
    <cellStyle name="汇总 2 3 5 13" xfId="13584"/>
    <cellStyle name="origAmountCrD 9 5" xfId="13585"/>
    <cellStyle name="Input [yellow] 2 12 2" xfId="13586"/>
    <cellStyle name="Input [yellow] 2 12 2 10" xfId="13587"/>
    <cellStyle name="计算 2 2 2 2 10" xfId="13588"/>
    <cellStyle name="Input [yellow] 2 12 2 11" xfId="13589"/>
    <cellStyle name="计算 2 2 2 2 11" xfId="13590"/>
    <cellStyle name="Input [yellow] 2 12 2 12" xfId="13591"/>
    <cellStyle name="计算 2 2 2 2 12" xfId="13592"/>
    <cellStyle name="常规 37 2 3 2 2" xfId="13593"/>
    <cellStyle name="Input [yellow] 2 12 2 13" xfId="13594"/>
    <cellStyle name="常规 37 2 3 2 3" xfId="13595"/>
    <cellStyle name="Input [yellow] 2 12 2 14" xfId="13596"/>
    <cellStyle name="常规 100 3 3 2" xfId="13597"/>
    <cellStyle name="Input [yellow] 2 12 2 15" xfId="13598"/>
    <cellStyle name="常规 100 3 3 3" xfId="13599"/>
    <cellStyle name="Input [yellow] 2 12 2 16" xfId="13600"/>
    <cellStyle name="Input [yellow] 2 12 2 17" xfId="13601"/>
    <cellStyle name="标题 1 3 2 17" xfId="13602"/>
    <cellStyle name="Input [yellow] 2 12 2 2" xfId="13603"/>
    <cellStyle name="Input [yellow] 2 12 2 2 10" xfId="13604"/>
    <cellStyle name="Input [yellow] 2 12 2 2 11" xfId="13605"/>
    <cellStyle name="Input [yellow] 2 12 2 2 12" xfId="13606"/>
    <cellStyle name="Input [yellow] 2 12 2 2 2" xfId="13607"/>
    <cellStyle name="Input [yellow] 2 12 2 2 3" xfId="13608"/>
    <cellStyle name="Input [yellow] 2 12 2 2 7" xfId="13609"/>
    <cellStyle name="Input [yellow] 2 12 2 2 8" xfId="13610"/>
    <cellStyle name="标题 3 3 7 2" xfId="13611"/>
    <cellStyle name="Input [yellow] 2 12 2 2 9" xfId="13612"/>
    <cellStyle name="Input [yellow] 2 12 2 3" xfId="13613"/>
    <cellStyle name="Input [yellow] 2 12 2 3 3" xfId="13614"/>
    <cellStyle name="注释 2 5 2 2" xfId="13615"/>
    <cellStyle name="常规 87 2 2 15" xfId="13616"/>
    <cellStyle name="常规 92 2 2 15" xfId="13617"/>
    <cellStyle name="Input [yellow] 3 3 2 9" xfId="13618"/>
    <cellStyle name="Input [yellow] 2 12 2 6" xfId="13619"/>
    <cellStyle name="Input [yellow] 2 12 2 7" xfId="13620"/>
    <cellStyle name="Input [yellow] 2 12 2 8" xfId="13621"/>
    <cellStyle name="Input [yellow] 2 12 2 9" xfId="13622"/>
    <cellStyle name="Input [yellow] 2 12 3" xfId="13623"/>
    <cellStyle name="Input [yellow] 2 12 4" xfId="13624"/>
    <cellStyle name="Input [yellow] 2 12 5" xfId="13625"/>
    <cellStyle name="Input [yellow] 2 12 6" xfId="13626"/>
    <cellStyle name="Input [yellow] 2 12 7" xfId="13627"/>
    <cellStyle name="常规 7 3 3 2 2" xfId="13628"/>
    <cellStyle name="Input [yellow] 2 12 8" xfId="13629"/>
    <cellStyle name="常规 7 3 3 2 3" xfId="13630"/>
    <cellStyle name="Input [yellow] 2 12 9" xfId="13631"/>
    <cellStyle name="Input [yellow] 2 13 10" xfId="13632"/>
    <cellStyle name="Input [yellow] 2 13 13" xfId="13633"/>
    <cellStyle name="Input [yellow] 2 13 14" xfId="13634"/>
    <cellStyle name="Input [yellow] 2 13 15" xfId="13635"/>
    <cellStyle name="Input [yellow] 2 13 16" xfId="13636"/>
    <cellStyle name="输入 2 2 6 2 8" xfId="13637"/>
    <cellStyle name="Input [yellow] 2 13 2" xfId="13638"/>
    <cellStyle name="常规 49 9" xfId="13639"/>
    <cellStyle name="常规 54 9" xfId="13640"/>
    <cellStyle name="Input [yellow] 2 13 2 2" xfId="13641"/>
    <cellStyle name="Input [yellow] 2 13 2 3" xfId="13642"/>
    <cellStyle name="Input [yellow] 2 13 2 4" xfId="13643"/>
    <cellStyle name="Input [yellow] 2 13 2 5" xfId="13644"/>
    <cellStyle name="Input [yellow] 2 13 2 6" xfId="13645"/>
    <cellStyle name="Input [yellow] 2 13 2 7" xfId="13646"/>
    <cellStyle name="Input [yellow] 2 13 2 8" xfId="13647"/>
    <cellStyle name="Input [yellow] 2 13 2 9" xfId="13648"/>
    <cellStyle name="输入 2 2 6 2 9" xfId="13649"/>
    <cellStyle name="Input [yellow] 2 13 3" xfId="13650"/>
    <cellStyle name="常规 55 9" xfId="13651"/>
    <cellStyle name="常规 60 9" xfId="13652"/>
    <cellStyle name="Input [yellow] 2 13 3 2" xfId="13653"/>
    <cellStyle name="Input [yellow] 2 13 3 3" xfId="13654"/>
    <cellStyle name="Input [yellow] 2 13 4" xfId="13655"/>
    <cellStyle name="Input [yellow] 2 13 7" xfId="13656"/>
    <cellStyle name="标题1 8 13" xfId="13657"/>
    <cellStyle name="Input [yellow] 2 2" xfId="13658"/>
    <cellStyle name="Input [yellow] 2 2 2 10" xfId="13659"/>
    <cellStyle name="Input [yellow] 2 2 2 11" xfId="13660"/>
    <cellStyle name="Input [yellow] 2 2 2 12" xfId="13661"/>
    <cellStyle name="常规 15 2 2" xfId="13662"/>
    <cellStyle name="常规 20 2 2" xfId="13663"/>
    <cellStyle name="Input [yellow] 2 2 2 13" xfId="13664"/>
    <cellStyle name="常规 15 2 3" xfId="13665"/>
    <cellStyle name="常规 20 2 3" xfId="13666"/>
    <cellStyle name="Input [yellow] 2 2 2 14" xfId="13667"/>
    <cellStyle name="常规 15 2 4" xfId="13668"/>
    <cellStyle name="常规 20 2 4" xfId="13669"/>
    <cellStyle name="Input [yellow] 2 2 2 15" xfId="13670"/>
    <cellStyle name="常规 15 2 5" xfId="13671"/>
    <cellStyle name="常规 20 2 5" xfId="13672"/>
    <cellStyle name="Input [yellow] 2 2 2 16" xfId="13673"/>
    <cellStyle name="常规 15 2 6" xfId="13674"/>
    <cellStyle name="常规 20 2 6" xfId="13675"/>
    <cellStyle name="Input [yellow] 2 2 2 17" xfId="13676"/>
    <cellStyle name="常规 15 2 7" xfId="13677"/>
    <cellStyle name="常规 20 2 7" xfId="13678"/>
    <cellStyle name="Input [yellow] 2 2 2 18" xfId="13679"/>
    <cellStyle name="常规 15 2 8" xfId="13680"/>
    <cellStyle name="常规 20 2 8" xfId="13681"/>
    <cellStyle name="Input [yellow] 2 2 2 19" xfId="13682"/>
    <cellStyle name="Input [yellow] 2 2 2 2 10" xfId="13683"/>
    <cellStyle name="Input [yellow] 2 2 2 2 11" xfId="13684"/>
    <cellStyle name="Input [yellow] 2 2 2 2 12" xfId="13685"/>
    <cellStyle name="Input [yellow] 2 2 2 2 13" xfId="13686"/>
    <cellStyle name="Input [yellow] 2 2 2 2 14" xfId="13687"/>
    <cellStyle name="Input [yellow] 2 2 2 2 15" xfId="13688"/>
    <cellStyle name="Input [yellow] 2 2 2 2 16" xfId="13689"/>
    <cellStyle name="Input [yellow] 2 2 2 2 17" xfId="13690"/>
    <cellStyle name="汇总 2 2 4 2 3" xfId="13691"/>
    <cellStyle name="Input [yellow] 2 2 2 2 2 10" xfId="13692"/>
    <cellStyle name="汇总 2 2 4 2 4" xfId="13693"/>
    <cellStyle name="Input [yellow] 2 2 2 2 2 11" xfId="13694"/>
    <cellStyle name="汇总 2 2 4 2 5" xfId="13695"/>
    <cellStyle name="注释 2 2 2 10" xfId="13696"/>
    <cellStyle name="Input [yellow] 2 2 2 2 2 12" xfId="13697"/>
    <cellStyle name="汇总 3 2 5 2 6" xfId="13698"/>
    <cellStyle name="Input [yellow] 2 2 2 2 2 2" xfId="13699"/>
    <cellStyle name="常规 27 3 8" xfId="13700"/>
    <cellStyle name="常规 32 3 8" xfId="13701"/>
    <cellStyle name="Input [yellow] 2 2 2 2 2 2 2" xfId="13702"/>
    <cellStyle name="汇总 3 2 5 2 7" xfId="13703"/>
    <cellStyle name="Input [yellow] 2 2 2 2 2 3" xfId="13704"/>
    <cellStyle name="常规 27 3 9" xfId="13705"/>
    <cellStyle name="常规 32 3 9" xfId="13706"/>
    <cellStyle name="汇总 3 2 5 2 8" xfId="13707"/>
    <cellStyle name="Input [yellow] 2 2 2 2 2 4" xfId="13708"/>
    <cellStyle name="常规 29 2 2 16" xfId="13709"/>
    <cellStyle name="Input [yellow] 3 2 3 2 2 2" xfId="13710"/>
    <cellStyle name="输入 3 8 2 9" xfId="13711"/>
    <cellStyle name="汇总 3 2 5 2 9" xfId="13712"/>
    <cellStyle name="Input [yellow] 2 2 2 2 2 5" xfId="13713"/>
    <cellStyle name="Input [yellow] 2 2 2 2 2 8" xfId="13714"/>
    <cellStyle name="Input [yellow] 2 2 2 2 2 9" xfId="13715"/>
    <cellStyle name="常规 117 3 18" xfId="13716"/>
    <cellStyle name="常规 122 3 18" xfId="13717"/>
    <cellStyle name="Input [yellow] 2 2 2 2 3 2" xfId="13718"/>
    <cellStyle name="Input [yellow] 2 2 2 2 3 3" xfId="13719"/>
    <cellStyle name="强调文字颜色 5 2 3 9" xfId="13720"/>
    <cellStyle name="Input [yellow] 2 2 2 2 4" xfId="13721"/>
    <cellStyle name="Input [yellow] 2 2 2 2 5" xfId="13722"/>
    <cellStyle name="Input [yellow] 2 2 2 2 6" xfId="13723"/>
    <cellStyle name="Input [yellow] 2 2 2 2 7" xfId="13724"/>
    <cellStyle name="Input [yellow] 2 2 2 2 8" xfId="13725"/>
    <cellStyle name="Input [yellow] 2 2 2 2 9" xfId="13726"/>
    <cellStyle name="Input [yellow] 2 2 2 3 2" xfId="13727"/>
    <cellStyle name="Input [yellow] 2 2 2 3 3" xfId="13728"/>
    <cellStyle name="Input [yellow] 2 2 2 4" xfId="13729"/>
    <cellStyle name="Input [yellow] 2 2 2 5" xfId="13730"/>
    <cellStyle name="Input [yellow] 2 2 2 6" xfId="13731"/>
    <cellStyle name="Input [yellow] 2 2 2 7" xfId="13732"/>
    <cellStyle name="Input [yellow] 2 2 2 8" xfId="13733"/>
    <cellStyle name="常规 105 5 2 2" xfId="13734"/>
    <cellStyle name="常规 110 5 2 2" xfId="13735"/>
    <cellStyle name="Input [yellow] 2 2 2 9" xfId="13736"/>
    <cellStyle name="Input [yellow] 2 2 3 15" xfId="13737"/>
    <cellStyle name="Input [yellow] 2 2 3 16" xfId="13738"/>
    <cellStyle name="Input [yellow] 2 2 3 17" xfId="13739"/>
    <cellStyle name="origAmountCrD 10 2 2 10" xfId="13740"/>
    <cellStyle name="Input [yellow] 2 2 3 18" xfId="13741"/>
    <cellStyle name="Input [yellow] 2 2 3 2" xfId="13742"/>
    <cellStyle name="汇总 2 5 2 6" xfId="13743"/>
    <cellStyle name="Input [yellow] 2 2 3 2 17" xfId="13744"/>
    <cellStyle name="Input [yellow] 2 2 3 2 2" xfId="13745"/>
    <cellStyle name="Input [yellow] 2 2 3 2 2 2" xfId="13746"/>
    <cellStyle name="常规 77 3 8" xfId="13747"/>
    <cellStyle name="常规 82 3 8" xfId="13748"/>
    <cellStyle name="输入 3 5 10" xfId="13749"/>
    <cellStyle name="Input [yellow] 2 2 3 2 2 3" xfId="13750"/>
    <cellStyle name="常规 77 3 9" xfId="13751"/>
    <cellStyle name="常规 82 3 9" xfId="13752"/>
    <cellStyle name="输入 3 5 11" xfId="13753"/>
    <cellStyle name="Input [yellow] 2 2 3 2 2 4" xfId="13754"/>
    <cellStyle name="输入 3 5 12" xfId="13755"/>
    <cellStyle name="Input [yellow] 2 2 3 2 2 8" xfId="13756"/>
    <cellStyle name="输入 3 5 16" xfId="13757"/>
    <cellStyle name="Input [yellow] 2 2 3 2 2 9" xfId="13758"/>
    <cellStyle name="输入 3 5 17" xfId="13759"/>
    <cellStyle name="常规 127 3 18" xfId="13760"/>
    <cellStyle name="常规 132 3 18" xfId="13761"/>
    <cellStyle name="Input [yellow] 2 2 3 2 3 2" xfId="13762"/>
    <cellStyle name="Input [yellow] 2 2 3 2 3 3" xfId="13763"/>
    <cellStyle name="Input [yellow] 2 2 3 2 4" xfId="13764"/>
    <cellStyle name="Input [yellow] 2 2 3 2 5" xfId="13765"/>
    <cellStyle name="Input [yellow] 2 2 3 2 6" xfId="13766"/>
    <cellStyle name="Input [yellow] 2 2 3 2 7" xfId="13767"/>
    <cellStyle name="Input [yellow] 2 2 3 2 8" xfId="13768"/>
    <cellStyle name="Input [yellow] 2 2 3 2 9" xfId="13769"/>
    <cellStyle name="Input [yellow] 2 2 3 3" xfId="13770"/>
    <cellStyle name="Input [yellow] 2 2 3 3 2" xfId="13771"/>
    <cellStyle name="Input [yellow] 2 2 3 4" xfId="13772"/>
    <cellStyle name="Input [yellow] 2 2 3 5" xfId="13773"/>
    <cellStyle name="Input [yellow] 2 2 3 6" xfId="13774"/>
    <cellStyle name="Input [yellow] 2 2 3 7" xfId="13775"/>
    <cellStyle name="Input [yellow] 2 2 3 8" xfId="13776"/>
    <cellStyle name="Input [yellow] 2 2 3 9" xfId="13777"/>
    <cellStyle name="强调文字颜色 5 4 16" xfId="13778"/>
    <cellStyle name="Input [yellow] 2 2 4 10" xfId="13779"/>
    <cellStyle name="常规 86 2 2 16" xfId="13780"/>
    <cellStyle name="常规 91 2 2 16" xfId="13781"/>
    <cellStyle name="强调文字颜色 5 4 17" xfId="13782"/>
    <cellStyle name="Input [yellow] 2 2 4 11" xfId="13783"/>
    <cellStyle name="常规 86 2 2 17" xfId="13784"/>
    <cellStyle name="常规 91 2 2 17" xfId="13785"/>
    <cellStyle name="强调文字颜色 5 4 18" xfId="13786"/>
    <cellStyle name="Input [yellow] 2 2 4 12" xfId="13787"/>
    <cellStyle name="常规 86 2 2 18" xfId="13788"/>
    <cellStyle name="常规 91 2 2 18" xfId="13789"/>
    <cellStyle name="Input [yellow] 2 2 4 13" xfId="13790"/>
    <cellStyle name="Input [yellow] 2 2 4 14" xfId="13791"/>
    <cellStyle name="Input [yellow] 2 2 4 15" xfId="13792"/>
    <cellStyle name="输入 3 8 3 2 2" xfId="13793"/>
    <cellStyle name="Input [yellow] 2 2 4 16" xfId="13794"/>
    <cellStyle name="输入 3 8 3 2 3" xfId="13795"/>
    <cellStyle name="Input [yellow] 2 2 4 17" xfId="13796"/>
    <cellStyle name="Input [yellow] 2 2 4 2" xfId="13797"/>
    <cellStyle name="Input [yellow] 3 9 11" xfId="13798"/>
    <cellStyle name="Input [yellow] 2 2 4 2 10" xfId="13799"/>
    <cellStyle name="标题 3 3 2 2 6" xfId="13800"/>
    <cellStyle name="计算 3 3 3 2 10" xfId="13801"/>
    <cellStyle name="Input [yellow] 2 2 4 2 2" xfId="13802"/>
    <cellStyle name="常规 165 15" xfId="13803"/>
    <cellStyle name="常规 170 15" xfId="13804"/>
    <cellStyle name="常规 170 20" xfId="13805"/>
    <cellStyle name="Input [yellow] 2 2 4 2 2 2" xfId="13806"/>
    <cellStyle name="计算 3 3 3 2 11" xfId="13807"/>
    <cellStyle name="Input [yellow] 2 2 4 2 3" xfId="13808"/>
    <cellStyle name="计算 3 3 3 2 12" xfId="13809"/>
    <cellStyle name="Input [yellow] 2 2 4 2 4" xfId="13810"/>
    <cellStyle name="Input [yellow] 2 2 4 2 5" xfId="13811"/>
    <cellStyle name="origAmountDrD 10 2 10" xfId="13812"/>
    <cellStyle name="Input [yellow] 2 2 4 2 6" xfId="13813"/>
    <cellStyle name="常规 148 2 2 3 2 2" xfId="13814"/>
    <cellStyle name="origAmountDrD 10 2 11" xfId="13815"/>
    <cellStyle name="Input [yellow] 2 2 4 3" xfId="13816"/>
    <cellStyle name="常规 59 2 2 10" xfId="13817"/>
    <cellStyle name="常规 64 2 2 10" xfId="13818"/>
    <cellStyle name="Input [yellow] 3 9 12" xfId="13819"/>
    <cellStyle name="常规 106 2 13" xfId="13820"/>
    <cellStyle name="常规 111 2 13" xfId="13821"/>
    <cellStyle name="Input [yellow] 2 2 4 3 2" xfId="13822"/>
    <cellStyle name="常规 106 2 14" xfId="13823"/>
    <cellStyle name="常规 111 2 14" xfId="13824"/>
    <cellStyle name="Input [yellow] 2 2 4 3 3" xfId="13825"/>
    <cellStyle name="Input [yellow] 2 2 4 4" xfId="13826"/>
    <cellStyle name="常规 59 2 2 11" xfId="13827"/>
    <cellStyle name="常规 64 2 2 11" xfId="13828"/>
    <cellStyle name="Input [yellow] 3 9 13" xfId="13829"/>
    <cellStyle name="Input [yellow] 2 2 4 5" xfId="13830"/>
    <cellStyle name="常规 59 2 2 12" xfId="13831"/>
    <cellStyle name="常规 64 2 2 12" xfId="13832"/>
    <cellStyle name="Input [yellow] 3 9 14" xfId="13833"/>
    <cellStyle name="Input [yellow] 2 2 4 6" xfId="13834"/>
    <cellStyle name="常规 59 2 2 13" xfId="13835"/>
    <cellStyle name="常规 64 2 2 13" xfId="13836"/>
    <cellStyle name="Input [yellow] 3 9 15" xfId="13837"/>
    <cellStyle name="Input [yellow] 2 2 4 7" xfId="13838"/>
    <cellStyle name="Input [yellow] 2 5 2 2 2 2" xfId="13839"/>
    <cellStyle name="常规 59 2 2 14" xfId="13840"/>
    <cellStyle name="常规 64 2 2 14" xfId="13841"/>
    <cellStyle name="Input [yellow] 3 9 16" xfId="13842"/>
    <cellStyle name="输入 2 3 2" xfId="13843"/>
    <cellStyle name="Input [yellow] 2 2 4 8" xfId="13844"/>
    <cellStyle name="常规 59 2 2 15" xfId="13845"/>
    <cellStyle name="常规 64 2 2 15" xfId="13846"/>
    <cellStyle name="Input [yellow] 3 9 17" xfId="13847"/>
    <cellStyle name="输入 2 3 3" xfId="13848"/>
    <cellStyle name="Input [yellow] 2 2 4 9" xfId="13849"/>
    <cellStyle name="输入 3 2 4 2 11" xfId="13850"/>
    <cellStyle name="Input [yellow] 2 2 9" xfId="13851"/>
    <cellStyle name="Input [yellow] 2 26" xfId="13852"/>
    <cellStyle name="Input [yellow] 2 31" xfId="13853"/>
    <cellStyle name="Input [yellow] 2 27" xfId="13854"/>
    <cellStyle name="Input [yellow] 2 28" xfId="13855"/>
    <cellStyle name="标题1 8 14" xfId="13856"/>
    <cellStyle name="Input [yellow] 2 3" xfId="13857"/>
    <cellStyle name="Input [yellow] 2 3 10" xfId="13858"/>
    <cellStyle name="Input [yellow] 2 3 11" xfId="13859"/>
    <cellStyle name="Input [yellow] 2 3 12" xfId="13860"/>
    <cellStyle name="Input [yellow] 2 3 13" xfId="13861"/>
    <cellStyle name="Input [yellow] 2 3 14" xfId="13862"/>
    <cellStyle name="Input [yellow] 3 9 2 2 2" xfId="13863"/>
    <cellStyle name="Input [yellow] 2 3 15" xfId="13864"/>
    <cellStyle name="Input [yellow] 3 9 2 2 3" xfId="13865"/>
    <cellStyle name="Input [yellow] 2 3 16" xfId="13866"/>
    <cellStyle name="Input [yellow] 3 9 2 2 4" xfId="13867"/>
    <cellStyle name="Input [yellow] 2 3 17" xfId="13868"/>
    <cellStyle name="Input [yellow] 3 9 2 2 5" xfId="13869"/>
    <cellStyle name="Input [yellow] 2 3 2" xfId="13870"/>
    <cellStyle name="Input [yellow] 2 3 2 10" xfId="13871"/>
    <cellStyle name="Input [yellow] 2 3 2 11" xfId="13872"/>
    <cellStyle name="Input [yellow] 2 3 2 12" xfId="13873"/>
    <cellStyle name="常规 25 2 2" xfId="13874"/>
    <cellStyle name="常规 30 2 2" xfId="13875"/>
    <cellStyle name="Input [yellow] 2 3 2 13" xfId="13876"/>
    <cellStyle name="常规 25 2 3" xfId="13877"/>
    <cellStyle name="常规 30 2 3" xfId="13878"/>
    <cellStyle name="商品名称 4 2 2" xfId="13879"/>
    <cellStyle name="Input [yellow] 2 3 2 14" xfId="13880"/>
    <cellStyle name="常规 25 2 4" xfId="13881"/>
    <cellStyle name="常规 30 2 4" xfId="13882"/>
    <cellStyle name="商品名称 4 2 3" xfId="13883"/>
    <cellStyle name="Input [yellow] 2 3 2 15" xfId="13884"/>
    <cellStyle name="常规 25 2 5" xfId="13885"/>
    <cellStyle name="常规 30 2 5" xfId="13886"/>
    <cellStyle name="Input [yellow] 2 3 2 16" xfId="13887"/>
    <cellStyle name="常规 25 2 6" xfId="13888"/>
    <cellStyle name="常规 30 2 6" xfId="13889"/>
    <cellStyle name="常规 19 5 2 2" xfId="13890"/>
    <cellStyle name="常规 24 5 2 2" xfId="13891"/>
    <cellStyle name="Input [yellow] 2 3 2 17" xfId="13892"/>
    <cellStyle name="标题 1 2 2 5" xfId="13893"/>
    <cellStyle name="Input [yellow] 2 3 2 2" xfId="13894"/>
    <cellStyle name="Input [yellow] 3 13 11" xfId="13895"/>
    <cellStyle name="常规 59 2 2 3 3" xfId="13896"/>
    <cellStyle name="常规 64 2 2 3 3" xfId="13897"/>
    <cellStyle name="百分比 2 2 17" xfId="13898"/>
    <cellStyle name="Input [yellow] 2 3 2 2 12" xfId="13899"/>
    <cellStyle name="标题 1 2 2 6" xfId="13900"/>
    <cellStyle name="Input [yellow] 2 3 2 3" xfId="13901"/>
    <cellStyle name="Input [yellow] 3 13 12" xfId="13902"/>
    <cellStyle name="百分比 2 3 3" xfId="13903"/>
    <cellStyle name="Input [yellow] 2 3 2 3 2" xfId="13904"/>
    <cellStyle name="百分比 2 3 4" xfId="13905"/>
    <cellStyle name="Input [yellow] 2 3 2 3 3" xfId="13906"/>
    <cellStyle name="标题 1 2 2 7" xfId="13907"/>
    <cellStyle name="Input [yellow] 2 3 2 4" xfId="13908"/>
    <cellStyle name="Input [yellow] 3 13 13" xfId="13909"/>
    <cellStyle name="标题 1 2 2 8" xfId="13910"/>
    <cellStyle name="Input [yellow] 2 3 2 5" xfId="13911"/>
    <cellStyle name="Input [yellow] 3 13 14" xfId="13912"/>
    <cellStyle name="标题 1 2 2 9" xfId="13913"/>
    <cellStyle name="Input [yellow] 2 3 2 6" xfId="13914"/>
    <cellStyle name="Input [yellow] 3 13 15" xfId="13915"/>
    <cellStyle name="Input [yellow] 2 3 2 7" xfId="13916"/>
    <cellStyle name="部门 2" xfId="13917"/>
    <cellStyle name="Input [yellow] 3 13 16" xfId="13918"/>
    <cellStyle name="Input [yellow] 2 3 3" xfId="13919"/>
    <cellStyle name="标题 1 2 3 5" xfId="13920"/>
    <cellStyle name="Input [yellow] 2 3 3 2" xfId="13921"/>
    <cellStyle name="Input [yellow] 2 3 4" xfId="13922"/>
    <cellStyle name="Input [yellow] 2 3 5" xfId="13923"/>
    <cellStyle name="Input [yellow] 2 3 6" xfId="13924"/>
    <cellStyle name="Input [yellow] 2 3 7" xfId="13925"/>
    <cellStyle name="Input [yellow] 2 3 8" xfId="13926"/>
    <cellStyle name="标题 3 3 4 2 2" xfId="13927"/>
    <cellStyle name="Input [yellow] 2 3 9" xfId="13928"/>
    <cellStyle name="标题1 8 15" xfId="13929"/>
    <cellStyle name="Input [yellow] 2 4" xfId="13930"/>
    <cellStyle name="Input [yellow] 2 4 10" xfId="13931"/>
    <cellStyle name="常规 149 2 2 2" xfId="13932"/>
    <cellStyle name="Input [yellow] 2 4 11" xfId="13933"/>
    <cellStyle name="常规 149 2 2 3" xfId="13934"/>
    <cellStyle name="Input [yellow] 2 4 12" xfId="13935"/>
    <cellStyle name="常规 149 2 2 4" xfId="13936"/>
    <cellStyle name="Input [yellow] 2 4 13" xfId="13937"/>
    <cellStyle name="常规 149 2 2 5" xfId="13938"/>
    <cellStyle name="Input [yellow] 2 4 14" xfId="13939"/>
    <cellStyle name="输出 2 3 5 3" xfId="13940"/>
    <cellStyle name="常规 149 2 2 8" xfId="13941"/>
    <cellStyle name="Input [yellow] 2 4 17" xfId="13942"/>
    <cellStyle name="输出 2 3 5 4" xfId="13943"/>
    <cellStyle name="常规 149 2 2 9" xfId="13944"/>
    <cellStyle name="Input [yellow] 2 4 18" xfId="13945"/>
    <cellStyle name="输出 2 3 5 5" xfId="13946"/>
    <cellStyle name="Input [yellow] 2 4 19" xfId="13947"/>
    <cellStyle name="Input [yellow] 2 4 2" xfId="13948"/>
    <cellStyle name="Input [yellow] 2 4 2 10" xfId="13949"/>
    <cellStyle name="Input [yellow] 2 4 2 11" xfId="13950"/>
    <cellStyle name="常规 68 2 2 3 2" xfId="13951"/>
    <cellStyle name="常规 73 2 2 3 2" xfId="13952"/>
    <cellStyle name="Input [yellow] 2 4 2 12" xfId="13953"/>
    <cellStyle name="常规 68 2 2 3 3" xfId="13954"/>
    <cellStyle name="常规 73 2 2 3 3" xfId="13955"/>
    <cellStyle name="Input [yellow] 2 4 2 13" xfId="13956"/>
    <cellStyle name="常规 35 2 2" xfId="13957"/>
    <cellStyle name="常规 40 2 2" xfId="13958"/>
    <cellStyle name="常规 35 2 3" xfId="13959"/>
    <cellStyle name="常规 40 2 3" xfId="13960"/>
    <cellStyle name="商品名称 9 2 2" xfId="13961"/>
    <cellStyle name="汇总 2 2 11 10" xfId="13962"/>
    <cellStyle name="Input [yellow] 2 4 2 14" xfId="13963"/>
    <cellStyle name="常规 35 2 4" xfId="13964"/>
    <cellStyle name="常规 40 2 4" xfId="13965"/>
    <cellStyle name="商品名称 9 2 3" xfId="13966"/>
    <cellStyle name="汇总 2 2 11 11" xfId="13967"/>
    <cellStyle name="Input [yellow] 2 4 2 15" xfId="13968"/>
    <cellStyle name="汇总 2 2 11 12" xfId="13969"/>
    <cellStyle name="Input [yellow] 2 4 2 16" xfId="13970"/>
    <cellStyle name="常规 49 2 2 2" xfId="13971"/>
    <cellStyle name="常规 54 2 2 2" xfId="13972"/>
    <cellStyle name="常规 35 2 5" xfId="13973"/>
    <cellStyle name="常规 40 2 5" xfId="13974"/>
    <cellStyle name="汇总 2 2 11 13" xfId="13975"/>
    <cellStyle name="Input [yellow] 2 4 2 17" xfId="13976"/>
    <cellStyle name="常规 49 2 2 3" xfId="13977"/>
    <cellStyle name="常规 54 2 2 3" xfId="13978"/>
    <cellStyle name="常规 35 2 6" xfId="13979"/>
    <cellStyle name="常规 40 2 6" xfId="13980"/>
    <cellStyle name="标题 1 3 2 5" xfId="13981"/>
    <cellStyle name="Input [yellow] 2 4 2 2" xfId="13982"/>
    <cellStyle name="标题 3 3 7 3" xfId="13983"/>
    <cellStyle name="Input [yellow] 2 4 2 2 10" xfId="13984"/>
    <cellStyle name="标题 3 3 7 4" xfId="13985"/>
    <cellStyle name="Input [yellow] 2 4 2 2 11" xfId="13986"/>
    <cellStyle name="标题 3 3 7 5" xfId="13987"/>
    <cellStyle name="Input [yellow] 2 4 2 2 12" xfId="13988"/>
    <cellStyle name="Input [yellow] 2 4 2 2 2" xfId="13989"/>
    <cellStyle name="Input [yellow] 2 4 2 2 3" xfId="13990"/>
    <cellStyle name="Input [yellow] 2 4 2 2 4" xfId="13991"/>
    <cellStyle name="Input [yellow] 2 4 2 2 5" xfId="13992"/>
    <cellStyle name="Input [yellow] 2 4 2 2 6" xfId="13993"/>
    <cellStyle name="Input [yellow] 2 4 2 2 7" xfId="13994"/>
    <cellStyle name="Input [yellow] 2 4 2 2 8" xfId="13995"/>
    <cellStyle name="Input [yellow] 2 4 2 2 9" xfId="13996"/>
    <cellStyle name="标题 1 3 2 6" xfId="13997"/>
    <cellStyle name="Input [yellow] 2 4 2 3" xfId="13998"/>
    <cellStyle name="汇总 2 2 11 2 7" xfId="13999"/>
    <cellStyle name="Input [yellow] 2 4 2 3 2" xfId="14000"/>
    <cellStyle name="汇总 2 2 11 2 8" xfId="14001"/>
    <cellStyle name="Input [yellow] 2 4 2 3 3" xfId="14002"/>
    <cellStyle name="标题 1 3 2 7" xfId="14003"/>
    <cellStyle name="Input [yellow] 2 4 2 4" xfId="14004"/>
    <cellStyle name="标题 1 3 2 8" xfId="14005"/>
    <cellStyle name="Input [yellow] 2 4 2 5" xfId="14006"/>
    <cellStyle name="标题 1 3 2 9" xfId="14007"/>
    <cellStyle name="Input [yellow] 2 4 2 6" xfId="14008"/>
    <cellStyle name="常规 68 2 2 10" xfId="14009"/>
    <cellStyle name="常规 73 2 2 10" xfId="14010"/>
    <cellStyle name="Input [yellow] 2 4 2 7" xfId="14011"/>
    <cellStyle name="常规 68 2 2 11" xfId="14012"/>
    <cellStyle name="常规 73 2 2 11" xfId="14013"/>
    <cellStyle name="Input [yellow] 2 4 2 8" xfId="14014"/>
    <cellStyle name="常规 68 2 2 12" xfId="14015"/>
    <cellStyle name="常规 73 2 2 12" xfId="14016"/>
    <cellStyle name="Input [yellow] 2 4 2 9" xfId="14017"/>
    <cellStyle name="汇总 2 3 5 10" xfId="14018"/>
    <cellStyle name="origAmountCrD 9 2" xfId="14019"/>
    <cellStyle name="Input [yellow] 2 4 3" xfId="14020"/>
    <cellStyle name="Input [yellow] 2 4 3 2" xfId="14021"/>
    <cellStyle name="Input [yellow] 2 4 3 3" xfId="14022"/>
    <cellStyle name="Input [yellow] 2 4 4" xfId="14023"/>
    <cellStyle name="Input [yellow] 2 4 5" xfId="14024"/>
    <cellStyle name="Input [yellow] 2 4 6" xfId="14025"/>
    <cellStyle name="Input [yellow] 2 4 7" xfId="14026"/>
    <cellStyle name="Input [yellow] 2 4 8" xfId="14027"/>
    <cellStyle name="Input [yellow] 2 4 9" xfId="14028"/>
    <cellStyle name="标题1 8 16" xfId="14029"/>
    <cellStyle name="Input [yellow] 2 5" xfId="14030"/>
    <cellStyle name="计算 2 3 3 2 6" xfId="14031"/>
    <cellStyle name="Input [yellow] 2 5 10" xfId="14032"/>
    <cellStyle name="计算 2 3 3 2 7" xfId="14033"/>
    <cellStyle name="Input [yellow] 2 5 11" xfId="14034"/>
    <cellStyle name="计算 2 3 3 2 8" xfId="14035"/>
    <cellStyle name="Input [yellow] 2 5 12" xfId="14036"/>
    <cellStyle name="计算 2 3 3 2 9" xfId="14037"/>
    <cellStyle name="Input [yellow] 2 5 13" xfId="14038"/>
    <cellStyle name="Input [yellow] 2 5 14" xfId="14039"/>
    <cellStyle name="Input [yellow] 2 5 15" xfId="14040"/>
    <cellStyle name="Input [yellow] 2 5 16" xfId="14041"/>
    <cellStyle name="Input [yellow] 2 5 17" xfId="14042"/>
    <cellStyle name="Input [yellow] 2 5 18" xfId="14043"/>
    <cellStyle name="标题 6 2 2" xfId="14044"/>
    <cellStyle name="Input [yellow] 2 5 19" xfId="14045"/>
    <cellStyle name="Input [yellow] 2 5 2" xfId="14046"/>
    <cellStyle name="常规 45 2 4" xfId="14047"/>
    <cellStyle name="常规 50 2 4" xfId="14048"/>
    <cellStyle name="Input [yellow] 2 5 2 15" xfId="14049"/>
    <cellStyle name="常规 45 2 5" xfId="14050"/>
    <cellStyle name="常规 50 2 5" xfId="14051"/>
    <cellStyle name="Input [yellow] 2 5 2 16" xfId="14052"/>
    <cellStyle name="常规 45 2 6" xfId="14053"/>
    <cellStyle name="常规 50 2 6" xfId="14054"/>
    <cellStyle name="Input [yellow] 2 5 2 17" xfId="14055"/>
    <cellStyle name="常规 45 2 17" xfId="14056"/>
    <cellStyle name="常规 50 2 17" xfId="14057"/>
    <cellStyle name="Input [yellow] 2 5 2 2" xfId="14058"/>
    <cellStyle name="Input [yellow] 2 5 2 2 11" xfId="14059"/>
    <cellStyle name="Input [yellow] 2 5 2 2 12" xfId="14060"/>
    <cellStyle name="Input [yellow] 2 5 2 2 2" xfId="14061"/>
    <cellStyle name="Input [yellow] 2 5 2 2 3" xfId="14062"/>
    <cellStyle name="Input [yellow] 2 5 2 2 4" xfId="14063"/>
    <cellStyle name="Input [yellow] 2 5 2 2 5" xfId="14064"/>
    <cellStyle name="Input [yellow] 2 5 2 2 6" xfId="14065"/>
    <cellStyle name="Input [yellow] 2 5 2 2 7" xfId="14066"/>
    <cellStyle name="Input [yellow] 2 5 2 2 8" xfId="14067"/>
    <cellStyle name="Input [yellow] 2 5 2 2 9" xfId="14068"/>
    <cellStyle name="常规 45 2 18" xfId="14069"/>
    <cellStyle name="常规 50 2 18" xfId="14070"/>
    <cellStyle name="Input [yellow] 2 5 2 3" xfId="14071"/>
    <cellStyle name="常规 45 2 19" xfId="14072"/>
    <cellStyle name="常规 50 2 19" xfId="14073"/>
    <cellStyle name="Input [yellow] 2 5 2 4" xfId="14074"/>
    <cellStyle name="Input [yellow] 2 5 2 5" xfId="14075"/>
    <cellStyle name="Input [yellow] 2 5 3" xfId="14076"/>
    <cellStyle name="Input [yellow] 2 5 3 2" xfId="14077"/>
    <cellStyle name="origAmountDrD 12 2 2 10" xfId="14078"/>
    <cellStyle name="Input [yellow] 2 5 4" xfId="14079"/>
    <cellStyle name="origAmountDrD 12 2 2 11" xfId="14080"/>
    <cellStyle name="Input [yellow] 2 5 5" xfId="14081"/>
    <cellStyle name="origAmountDrD 12 2 2 12" xfId="14082"/>
    <cellStyle name="Input [yellow] 2 5 6" xfId="14083"/>
    <cellStyle name="Input [yellow] 2 5 7" xfId="14084"/>
    <cellStyle name="Input [yellow] 2 5 8" xfId="14085"/>
    <cellStyle name="Input [yellow] 2 5 9" xfId="14086"/>
    <cellStyle name="标题1 8 17" xfId="14087"/>
    <cellStyle name="Input [yellow] 2 6" xfId="14088"/>
    <cellStyle name="Input [yellow] 2 6 10" xfId="14089"/>
    <cellStyle name="Input [yellow] 2 6 11" xfId="14090"/>
    <cellStyle name="Input [yellow] 2 6 12" xfId="14091"/>
    <cellStyle name="Input [yellow] 2 6 13" xfId="14092"/>
    <cellStyle name="Input [yellow] 2 6 14" xfId="14093"/>
    <cellStyle name="Input [yellow] 2 6 15" xfId="14094"/>
    <cellStyle name="Input [yellow] 2 6 16" xfId="14095"/>
    <cellStyle name="汇总 2 2 9 3 2" xfId="14096"/>
    <cellStyle name="Input [yellow] 2 6 17" xfId="14097"/>
    <cellStyle name="汇总 2 2 9 3 3" xfId="14098"/>
    <cellStyle name="常规 78 3 3 2 2" xfId="14099"/>
    <cellStyle name="常规 83 3 3 2 2" xfId="14100"/>
    <cellStyle name="Input [yellow] 2 6 18" xfId="14101"/>
    <cellStyle name="常规 78 3 3 2 3" xfId="14102"/>
    <cellStyle name="常规 83 3 3 2 3" xfId="14103"/>
    <cellStyle name="Input [yellow] 2 6 19" xfId="14104"/>
    <cellStyle name="常规 55 2 6" xfId="14105"/>
    <cellStyle name="常规 60 2 6" xfId="14106"/>
    <cellStyle name="常规 104 3 3 3" xfId="14107"/>
    <cellStyle name="Input [yellow] 2 6 2 17" xfId="14108"/>
    <cellStyle name="差 2" xfId="14109"/>
    <cellStyle name="Input [yellow] 2 6 2 2" xfId="14110"/>
    <cellStyle name="注释 3 2 6 2 10" xfId="14111"/>
    <cellStyle name="差 2 10" xfId="14112"/>
    <cellStyle name="Input [yellow] 2 6 2 2 10" xfId="14113"/>
    <cellStyle name="差 2 11" xfId="14114"/>
    <cellStyle name="Input [yellow] 2 6 2 2 11" xfId="14115"/>
    <cellStyle name="差 2 12" xfId="14116"/>
    <cellStyle name="Input [yellow] 2 6 2 2 12" xfId="14117"/>
    <cellStyle name="差 2 8" xfId="14118"/>
    <cellStyle name="Input [yellow] 2 6 2 2 8" xfId="14119"/>
    <cellStyle name="差 2 9" xfId="14120"/>
    <cellStyle name="Input [yellow] 2 6 2 2 9" xfId="14121"/>
    <cellStyle name="差 3" xfId="14122"/>
    <cellStyle name="Input [yellow] 2 6 2 3" xfId="14123"/>
    <cellStyle name="注释 3 2 6 2 11" xfId="14124"/>
    <cellStyle name="差 3 2" xfId="14125"/>
    <cellStyle name="Input [yellow] 2 6 2 3 2" xfId="14126"/>
    <cellStyle name="差 3 3" xfId="14127"/>
    <cellStyle name="Input [yellow] 2 6 2 3 3" xfId="14128"/>
    <cellStyle name="Input [yellow] 2 6 2 6" xfId="14129"/>
    <cellStyle name="Input [yellow] 2 6 2 7" xfId="14130"/>
    <cellStyle name="Input [yellow] 2 6 2 8" xfId="14131"/>
    <cellStyle name="Input [yellow] 2 6 2 9" xfId="14132"/>
    <cellStyle name="常规 108 3 3 2 2" xfId="14133"/>
    <cellStyle name="常规 113 3 3 2 2" xfId="14134"/>
    <cellStyle name="注释 2 3 2 6" xfId="14135"/>
    <cellStyle name="Input [yellow] 2 6 3" xfId="14136"/>
    <cellStyle name="注释 4 2 3 2 2" xfId="14137"/>
    <cellStyle name="常规 108 3 3 2 3" xfId="14138"/>
    <cellStyle name="常规 113 3 3 2 3" xfId="14139"/>
    <cellStyle name="注释 2 3 2 7" xfId="14140"/>
    <cellStyle name="Input [yellow] 2 6 4" xfId="14141"/>
    <cellStyle name="注释 4 2 3 2 3" xfId="14142"/>
    <cellStyle name="Input [yellow] 2 6 5" xfId="14143"/>
    <cellStyle name="Input [yellow] 2 6 6" xfId="14144"/>
    <cellStyle name="Input [yellow] 2 6 7" xfId="14145"/>
    <cellStyle name="汇总 2 2 9 10" xfId="14146"/>
    <cellStyle name="Input [yellow] 2 6 8" xfId="14147"/>
    <cellStyle name="汇总 2 2 9 11" xfId="14148"/>
    <cellStyle name="Input [yellow] 2 6 9" xfId="14149"/>
    <cellStyle name="输出 4 4" xfId="14150"/>
    <cellStyle name="Input [yellow] 2 7 13" xfId="14151"/>
    <cellStyle name="Input [yellow] 2 7 2 11" xfId="14152"/>
    <cellStyle name="常规 10 10" xfId="14153"/>
    <cellStyle name="Input [yellow] 2 7 2 12" xfId="14154"/>
    <cellStyle name="常规 10 11" xfId="14155"/>
    <cellStyle name="常规 65 2 2" xfId="14156"/>
    <cellStyle name="常规 70 2 2" xfId="14157"/>
    <cellStyle name="Input [yellow] 2 7 2 13" xfId="14158"/>
    <cellStyle name="常规 10 12" xfId="14159"/>
    <cellStyle name="常规 65 2 3" xfId="14160"/>
    <cellStyle name="常规 70 2 3" xfId="14161"/>
    <cellStyle name="Input [yellow] 2 7 2 14" xfId="14162"/>
    <cellStyle name="常规 10 13" xfId="14163"/>
    <cellStyle name="常规 65 2 4" xfId="14164"/>
    <cellStyle name="常规 70 2 4" xfId="14165"/>
    <cellStyle name="Input [yellow] 2 7 2 15" xfId="14166"/>
    <cellStyle name="常规 10 14" xfId="14167"/>
    <cellStyle name="常规 65 2 5" xfId="14168"/>
    <cellStyle name="常规 70 2 5" xfId="14169"/>
    <cellStyle name="Input [yellow] 2 7 2 16" xfId="14170"/>
    <cellStyle name="常规 10 15" xfId="14171"/>
    <cellStyle name="常规 10 20" xfId="14172"/>
    <cellStyle name="常规 65 2 6" xfId="14173"/>
    <cellStyle name="常规 70 2 6" xfId="14174"/>
    <cellStyle name="Input [yellow] 2 7 2 17" xfId="14175"/>
    <cellStyle name="Input [yellow] 2 7 2 2" xfId="14176"/>
    <cellStyle name="Input [yellow] 2 7 2 2 10" xfId="14177"/>
    <cellStyle name="Input [yellow] 2 7 2 2 11" xfId="14178"/>
    <cellStyle name="Input [yellow] 2 7 2 2 12" xfId="14179"/>
    <cellStyle name="Input [yellow] 2 7 2 3" xfId="14180"/>
    <cellStyle name="Input [yellow] 2 7 2 4" xfId="14181"/>
    <cellStyle name="Input [yellow] 2 7 2 5" xfId="14182"/>
    <cellStyle name="Input [yellow] 2 7 2 6" xfId="14183"/>
    <cellStyle name="Input [yellow] 2 7 2 7" xfId="14184"/>
    <cellStyle name="常规 135 2 2 2" xfId="14185"/>
    <cellStyle name="常规 140 2 2 2" xfId="14186"/>
    <cellStyle name="Input [yellow] 2 7 2 8" xfId="14187"/>
    <cellStyle name="常规 135 2 2 3" xfId="14188"/>
    <cellStyle name="常规 140 2 2 3" xfId="14189"/>
    <cellStyle name="Input [yellow] 2 7 2 9" xfId="14190"/>
    <cellStyle name="Input [yellow] 2 7 3 2" xfId="14191"/>
    <cellStyle name="Input [yellow] 2 7 3 3" xfId="14192"/>
    <cellStyle name="Input [yellow] 2 7 4" xfId="14193"/>
    <cellStyle name="Input [yellow] 2 7 5" xfId="14194"/>
    <cellStyle name="Input [yellow] 2 7 6" xfId="14195"/>
    <cellStyle name="Input [yellow] 2 7 7" xfId="14196"/>
    <cellStyle name="Input [yellow] 2 7 8" xfId="14197"/>
    <cellStyle name="Input [yellow] 2 7 9" xfId="14198"/>
    <cellStyle name="Input [yellow] 2 8 13" xfId="14199"/>
    <cellStyle name="Input [yellow] 2 8 14" xfId="14200"/>
    <cellStyle name="Input [yellow] 2 8 15" xfId="14201"/>
    <cellStyle name="Input [yellow] 2 8 16" xfId="14202"/>
    <cellStyle name="Input [yellow] 2 8 17" xfId="14203"/>
    <cellStyle name="origAmountDrD 2 2 18" xfId="14204"/>
    <cellStyle name="注释 2 3 4 5" xfId="14205"/>
    <cellStyle name="Input [yellow] 2 8 2" xfId="14206"/>
    <cellStyle name="Input [yellow] 2 8 2 2" xfId="14207"/>
    <cellStyle name="常规 102 3 3 2" xfId="14208"/>
    <cellStyle name="Input [yellow] 2 8 2 2 10" xfId="14209"/>
    <cellStyle name="常规 65 2 2 3 2" xfId="14210"/>
    <cellStyle name="常规 70 2 2 3 2" xfId="14211"/>
    <cellStyle name="常规 102 3 3 3" xfId="14212"/>
    <cellStyle name="Input [yellow] 2 8 2 2 11" xfId="14213"/>
    <cellStyle name="常规 65 2 2 3 3" xfId="14214"/>
    <cellStyle name="常规 70 2 2 3 3" xfId="14215"/>
    <cellStyle name="Input [yellow] 2 8 2 2 12" xfId="14216"/>
    <cellStyle name="计算 2 2 10 9" xfId="14217"/>
    <cellStyle name="Input [yellow] 2 8 2 2 2 2" xfId="14218"/>
    <cellStyle name="常规 98 14" xfId="14219"/>
    <cellStyle name="Input [yellow] 6 10" xfId="14220"/>
    <cellStyle name="Input [yellow] 2 8 2 2 5" xfId="14221"/>
    <cellStyle name="Input [yellow] 6 11" xfId="14222"/>
    <cellStyle name="Input [yellow] 2 8 2 2 6" xfId="14223"/>
    <cellStyle name="Input [yellow] 6 12" xfId="14224"/>
    <cellStyle name="Input [yellow] 2 8 2 2 7" xfId="14225"/>
    <cellStyle name="Input [yellow] 2 8 2 3" xfId="14226"/>
    <cellStyle name="Input [yellow] 2 8 2 4" xfId="14227"/>
    <cellStyle name="Input [yellow] 2 8 2 5" xfId="14228"/>
    <cellStyle name="Input [yellow] 2 8 2 6" xfId="14229"/>
    <cellStyle name="Input [yellow] 2 8 2 7" xfId="14230"/>
    <cellStyle name="Input [yellow] 2 8 2 8" xfId="14231"/>
    <cellStyle name="origAmountDrD 2 2 19" xfId="14232"/>
    <cellStyle name="注释 2 3 4 6" xfId="14233"/>
    <cellStyle name="Input [yellow] 2 8 3" xfId="14234"/>
    <cellStyle name="Input [yellow] 2 8 3 2" xfId="14235"/>
    <cellStyle name="Input [yellow] 2 8 6" xfId="14236"/>
    <cellStyle name="Input [yellow] 2 8 7" xfId="14237"/>
    <cellStyle name="Input [yellow] 2 8 8" xfId="14238"/>
    <cellStyle name="Input [yellow] 2 8 9" xfId="14239"/>
    <cellStyle name="RowLevel_0" xfId="14240"/>
    <cellStyle name="Input [yellow] 2 9" xfId="14241"/>
    <cellStyle name="Input [yellow] 2 9 10" xfId="14242"/>
    <cellStyle name="Input [yellow] 2 9 11" xfId="14243"/>
    <cellStyle name="Input [yellow] 2 9 12" xfId="14244"/>
    <cellStyle name="Input [yellow] 2 9 13" xfId="14245"/>
    <cellStyle name="Input [yellow] 2 9 14" xfId="14246"/>
    <cellStyle name="Input [yellow] 2 9 15" xfId="14247"/>
    <cellStyle name="常规 2 3 3 2" xfId="14248"/>
    <cellStyle name="Input [yellow] 2 9 16" xfId="14249"/>
    <cellStyle name="常规 2 3 3 3" xfId="14250"/>
    <cellStyle name="Input [yellow] 2 9 17" xfId="14251"/>
    <cellStyle name="Input [yellow] 2 9 2" xfId="14252"/>
    <cellStyle name="Input [yellow] 2 9 2 10" xfId="14253"/>
    <cellStyle name="Input [yellow] 2 9 2 11" xfId="14254"/>
    <cellStyle name="Input [yellow] 2 9 2 12" xfId="14255"/>
    <cellStyle name="常规 85 2 2" xfId="14256"/>
    <cellStyle name="常规 90 2 2" xfId="14257"/>
    <cellStyle name="Input [yellow] 2 9 2 13" xfId="14258"/>
    <cellStyle name="常规 85 2 3" xfId="14259"/>
    <cellStyle name="常规 90 2 3" xfId="14260"/>
    <cellStyle name="常规 159 2 3 2" xfId="14261"/>
    <cellStyle name="Input [yellow] 2 9 2 14" xfId="14262"/>
    <cellStyle name="常规 85 2 4" xfId="14263"/>
    <cellStyle name="常规 90 2 4" xfId="14264"/>
    <cellStyle name="常规 159 2 3 3" xfId="14265"/>
    <cellStyle name="Input [yellow] 2 9 2 15" xfId="14266"/>
    <cellStyle name="常规 85 2 5" xfId="14267"/>
    <cellStyle name="常规 90 2 5" xfId="14268"/>
    <cellStyle name="常规 55 2 2 2" xfId="14269"/>
    <cellStyle name="常规 60 2 2 2" xfId="14270"/>
    <cellStyle name="Input [yellow] 2 9 2 16" xfId="14271"/>
    <cellStyle name="常规 85 2 6" xfId="14272"/>
    <cellStyle name="常规 90 2 6" xfId="14273"/>
    <cellStyle name="常规 55 2 2 3" xfId="14274"/>
    <cellStyle name="常规 60 2 2 3" xfId="14275"/>
    <cellStyle name="Input [yellow] 2 9 2 17" xfId="14276"/>
    <cellStyle name="Input [yellow] 2 9 2 2" xfId="14277"/>
    <cellStyle name="常规 18 3 13" xfId="14278"/>
    <cellStyle name="常规 23 3 13" xfId="14279"/>
    <cellStyle name="注释 3 2 3 2" xfId="14280"/>
    <cellStyle name="常规 107 3 3 2" xfId="14281"/>
    <cellStyle name="常规 112 3 3 2" xfId="14282"/>
    <cellStyle name="Input [yellow] 2 9 2 2 10" xfId="14283"/>
    <cellStyle name="常规 18 3 14" xfId="14284"/>
    <cellStyle name="常规 23 3 14" xfId="14285"/>
    <cellStyle name="注释 3 2 3 3" xfId="14286"/>
    <cellStyle name="常规 107 3 3 3" xfId="14287"/>
    <cellStyle name="常规 112 3 3 3" xfId="14288"/>
    <cellStyle name="Input [yellow] 2 9 2 2 11" xfId="14289"/>
    <cellStyle name="常规 18 3 15" xfId="14290"/>
    <cellStyle name="常规 23 3 15" xfId="14291"/>
    <cellStyle name="注释 3 2 3 4" xfId="14292"/>
    <cellStyle name="Input [yellow] 2 9 2 2 12" xfId="14293"/>
    <cellStyle name="Input [yellow] 2 9 2 2 2" xfId="14294"/>
    <cellStyle name="Input [yellow] 2 9 2 2 3" xfId="14295"/>
    <cellStyle name="Input [yellow] 2 9 2 2 4" xfId="14296"/>
    <cellStyle name="Input [yellow] 2 9 2 2 5" xfId="14297"/>
    <cellStyle name="Input [yellow] 2 9 2 2 8" xfId="14298"/>
    <cellStyle name="Input [yellow] 2 9 2 2 9" xfId="14299"/>
    <cellStyle name="Input [yellow] 2 9 2 3" xfId="14300"/>
    <cellStyle name="Input [yellow] 2 9 2 4" xfId="14301"/>
    <cellStyle name="Input [yellow] 2 9 2 5" xfId="14302"/>
    <cellStyle name="Input [yellow] 2 9 2 6" xfId="14303"/>
    <cellStyle name="Input [yellow] 2 9 2 7" xfId="14304"/>
    <cellStyle name="Input [yellow] 2 9 2 8" xfId="14305"/>
    <cellStyle name="Input [yellow] 2 9 2 9" xfId="14306"/>
    <cellStyle name="Input [yellow] 2 9 3" xfId="14307"/>
    <cellStyle name="Input [yellow] 2 9 3 2" xfId="14308"/>
    <cellStyle name="Input [yellow] 2 9 4" xfId="14309"/>
    <cellStyle name="Input [yellow] 3 2 7" xfId="14310"/>
    <cellStyle name="Input [yellow] 3 10" xfId="14311"/>
    <cellStyle name="Input [yellow] 3 10 2" xfId="14312"/>
    <cellStyle name="常规 7 13" xfId="14313"/>
    <cellStyle name="Input [yellow] 3 10 2 10" xfId="14314"/>
    <cellStyle name="常规 7 14" xfId="14315"/>
    <cellStyle name="Input [yellow] 3 10 2 11" xfId="14316"/>
    <cellStyle name="常规 7 15" xfId="14317"/>
    <cellStyle name="常规 7 20" xfId="14318"/>
    <cellStyle name="Input [yellow] 3 10 2 12" xfId="14319"/>
    <cellStyle name="常规 7 16" xfId="14320"/>
    <cellStyle name="常规 7 21" xfId="14321"/>
    <cellStyle name="Input [yellow] 3 10 2 13" xfId="14322"/>
    <cellStyle name="常规 7 17" xfId="14323"/>
    <cellStyle name="常规 7 22" xfId="14324"/>
    <cellStyle name="Input [yellow] 3 10 2 14" xfId="14325"/>
    <cellStyle name="常规 95 2 2 2" xfId="14326"/>
    <cellStyle name="常规 7 18" xfId="14327"/>
    <cellStyle name="常规 7 23" xfId="14328"/>
    <cellStyle name="Input [yellow] 3 10 2 15" xfId="14329"/>
    <cellStyle name="常规 95 2 2 3" xfId="14330"/>
    <cellStyle name="常规 7 19" xfId="14331"/>
    <cellStyle name="Input [yellow] 3 10 2 16" xfId="14332"/>
    <cellStyle name="常规 95 2 2 4" xfId="14333"/>
    <cellStyle name="Input [yellow] 3 10 2 17" xfId="14334"/>
    <cellStyle name="Input [yellow] 3 10 2 2" xfId="14335"/>
    <cellStyle name="origAmountCrD 5 2 12" xfId="14336"/>
    <cellStyle name="Input [yellow] 3 10 2 2 10" xfId="14337"/>
    <cellStyle name="商品名称 2" xfId="14338"/>
    <cellStyle name="Input [yellow] 3 10 2 2 11" xfId="14339"/>
    <cellStyle name="商品名称 3" xfId="14340"/>
    <cellStyle name="Input [yellow] 3 10 2 2 12" xfId="14341"/>
    <cellStyle name="Input [yellow] 3 10 2 2 7" xfId="14342"/>
    <cellStyle name="Input [yellow] 3 10 2 3" xfId="14343"/>
    <cellStyle name="origAmountCrD 5 2 13" xfId="14344"/>
    <cellStyle name="Input [yellow] 3 10 2 4" xfId="14345"/>
    <cellStyle name="origAmountCrD 5 2 14" xfId="14346"/>
    <cellStyle name="Input [yellow] 3 10 2 5" xfId="14347"/>
    <cellStyle name="origAmountCrD 5 2 15" xfId="14348"/>
    <cellStyle name="Input [yellow] 3 10 2 6" xfId="14349"/>
    <cellStyle name="origAmountCrD 5 2 16" xfId="14350"/>
    <cellStyle name="Input [yellow] 3 10 2 7" xfId="14351"/>
    <cellStyle name="origAmountCrD 5 2 17" xfId="14352"/>
    <cellStyle name="Input [yellow] 3 10 2 8" xfId="14353"/>
    <cellStyle name="Input [yellow] 6 2 2 10" xfId="14354"/>
    <cellStyle name="Input [yellow] 3 10 2 9" xfId="14355"/>
    <cellStyle name="Input [yellow] 3 10 3" xfId="14356"/>
    <cellStyle name="Input [yellow] 3 10 4" xfId="14357"/>
    <cellStyle name="Normal - Style1 10" xfId="14358"/>
    <cellStyle name="Input [yellow] 3 10 5" xfId="14359"/>
    <cellStyle name="Normal - Style1 11" xfId="14360"/>
    <cellStyle name="Input [yellow] 3 10 6" xfId="14361"/>
    <cellStyle name="Normal - Style1 12" xfId="14362"/>
    <cellStyle name="Input [yellow] 3 10 7" xfId="14363"/>
    <cellStyle name="Normal - Style1 13" xfId="14364"/>
    <cellStyle name="Input [yellow] 3 10 8" xfId="14365"/>
    <cellStyle name="origAmountCrD 10 10" xfId="14366"/>
    <cellStyle name="Input [yellow] 3 2 8" xfId="14367"/>
    <cellStyle name="Input [yellow] 3 11" xfId="14368"/>
    <cellStyle name="Input [yellow] 3 11 11" xfId="14369"/>
    <cellStyle name="Millares_96 Risk" xfId="14370"/>
    <cellStyle name="Input [yellow] 3 11 12" xfId="14371"/>
    <cellStyle name="origAmountCrD 2 3 2 2 2" xfId="14372"/>
    <cellStyle name="Input [yellow] 3 11 13" xfId="14373"/>
    <cellStyle name="origAmountCrD 2 3 2 2 3" xfId="14374"/>
    <cellStyle name="Input [yellow] 3 11 14" xfId="14375"/>
    <cellStyle name="origAmountCrD 2 3 2 2 4" xfId="14376"/>
    <cellStyle name="Input [yellow] 3 11 15" xfId="14377"/>
    <cellStyle name="origAmountCrD 2 3 2 2 5" xfId="14378"/>
    <cellStyle name="Input [yellow] 3 11 16" xfId="14379"/>
    <cellStyle name="origAmountCrD 2 3 2 2 6" xfId="14380"/>
    <cellStyle name="Input [yellow] 3 11 17" xfId="14381"/>
    <cellStyle name="输出 2 4 2 3" xfId="14382"/>
    <cellStyle name="Input [yellow] 3 11 2 10" xfId="14383"/>
    <cellStyle name="输出 2 4 2 4" xfId="14384"/>
    <cellStyle name="Input [yellow] 3 11 2 11" xfId="14385"/>
    <cellStyle name="输出 2 4 2 5" xfId="14386"/>
    <cellStyle name="Input [yellow] 3 11 2 12" xfId="14387"/>
    <cellStyle name="输出 2 4 2 6" xfId="14388"/>
    <cellStyle name="Input [yellow] 3 11 2 13" xfId="14389"/>
    <cellStyle name="输出 2 4 2 7" xfId="14390"/>
    <cellStyle name="Input [yellow] 3 11 2 14" xfId="14391"/>
    <cellStyle name="输出 2 4 2 8" xfId="14392"/>
    <cellStyle name="Input [yellow] 3 11 2 15" xfId="14393"/>
    <cellStyle name="输出 2 4 2 9" xfId="14394"/>
    <cellStyle name="Input [yellow] 3 11 2 16" xfId="14395"/>
    <cellStyle name="Input [yellow] 3 11 2 17" xfId="14396"/>
    <cellStyle name="常规 44 2 2 18" xfId="14397"/>
    <cellStyle name="Input [yellow] 3 11 2 2" xfId="14398"/>
    <cellStyle name="Input [yellow] 3 11 2 2 10" xfId="14399"/>
    <cellStyle name="Input [yellow] 3 11 2 2 11" xfId="14400"/>
    <cellStyle name="Input [yellow] 3 11 2 2 12" xfId="14401"/>
    <cellStyle name="Input [yellow] 3 11 2 2 2 2" xfId="14402"/>
    <cellStyle name="Input [yellow] 3 11 2 3" xfId="14403"/>
    <cellStyle name="常规 127 15" xfId="14404"/>
    <cellStyle name="常规 127 20" xfId="14405"/>
    <cellStyle name="常规 132 15" xfId="14406"/>
    <cellStyle name="常规 132 20" xfId="14407"/>
    <cellStyle name="Input [yellow] 3 11 2 3 2" xfId="14408"/>
    <cellStyle name="常规 127 16" xfId="14409"/>
    <cellStyle name="常规 127 21" xfId="14410"/>
    <cellStyle name="常规 132 16" xfId="14411"/>
    <cellStyle name="常规 132 21" xfId="14412"/>
    <cellStyle name="Input [yellow] 3 11 2 3 3" xfId="14413"/>
    <cellStyle name="计算 3 2 7 2 10" xfId="14414"/>
    <cellStyle name="Input [yellow] 3 11 2 4" xfId="14415"/>
    <cellStyle name="计算 3 2 7 2 11" xfId="14416"/>
    <cellStyle name="Input [yellow] 3 11 2 5" xfId="14417"/>
    <cellStyle name="计算 3 2 7 2 12" xfId="14418"/>
    <cellStyle name="常规 47 3 3 2 2" xfId="14419"/>
    <cellStyle name="常规 52 3 3 2 2" xfId="14420"/>
    <cellStyle name="Input [yellow] 3 11 2 6" xfId="14421"/>
    <cellStyle name="常规 47 3 3 2 3" xfId="14422"/>
    <cellStyle name="常规 52 3 3 2 3" xfId="14423"/>
    <cellStyle name="Input [yellow] 3 11 2 7" xfId="14424"/>
    <cellStyle name="t_HVAC Equipment (3) 2 2 2" xfId="14425"/>
    <cellStyle name="Input [yellow] 3 11 2 8" xfId="14426"/>
    <cellStyle name="Input [yellow] 3 11 2 9" xfId="14427"/>
    <cellStyle name="Input [yellow] 3 2 9" xfId="14428"/>
    <cellStyle name="Input [yellow] 3 12" xfId="14429"/>
    <cellStyle name="Input [yellow] 3 12 16" xfId="14430"/>
    <cellStyle name="origAmountDrD 9 9" xfId="14431"/>
    <cellStyle name="origAmountDrD 2" xfId="14432"/>
    <cellStyle name="Input [yellow] 3 12 17" xfId="14433"/>
    <cellStyle name="origAmountDrD 3" xfId="14434"/>
    <cellStyle name="Input [yellow] 3 12 2 2 10" xfId="14435"/>
    <cellStyle name="Input [yellow] 3 12 2 2 11" xfId="14436"/>
    <cellStyle name="Input [yellow] 3 12 2 2 12" xfId="14437"/>
    <cellStyle name="百分比 2 19" xfId="14438"/>
    <cellStyle name="Input [yellow] 3 12 2 2 2" xfId="14439"/>
    <cellStyle name="Input [yellow] 3 12 2 2 2 2" xfId="14440"/>
    <cellStyle name="常规 117 2" xfId="14441"/>
    <cellStyle name="常规 122 2" xfId="14442"/>
    <cellStyle name="Input [yellow] 3 12 2 2 5" xfId="14443"/>
    <cellStyle name="常规 117 3" xfId="14444"/>
    <cellStyle name="常规 122 3" xfId="14445"/>
    <cellStyle name="Input [yellow] 3 12 2 2 6" xfId="14446"/>
    <cellStyle name="常规 117 4" xfId="14447"/>
    <cellStyle name="常规 122 4" xfId="14448"/>
    <cellStyle name="Input [yellow] 3 12 2 2 7" xfId="14449"/>
    <cellStyle name="常规 117 5" xfId="14450"/>
    <cellStyle name="常规 122 5" xfId="14451"/>
    <cellStyle name="Input [yellow] 3 12 2 2 8" xfId="14452"/>
    <cellStyle name="常规 117 6" xfId="14453"/>
    <cellStyle name="常规 122 6" xfId="14454"/>
    <cellStyle name="Input [yellow] 3 12 2 2 9" xfId="14455"/>
    <cellStyle name="Input [yellow] 3 12 2 3" xfId="14456"/>
    <cellStyle name="Input [yellow] 3 12 2 3 2" xfId="14457"/>
    <cellStyle name="Input [yellow] 3 12 2 3 3" xfId="14458"/>
    <cellStyle name="Input [yellow] 3 12 2 4" xfId="14459"/>
    <cellStyle name="Input [yellow] 3 12 2 5" xfId="14460"/>
    <cellStyle name="Input [yellow] 3 12 2 6" xfId="14461"/>
    <cellStyle name="Input [yellow] 3 12 2 7" xfId="14462"/>
    <cellStyle name="Input [yellow] 3 12 2 8" xfId="14463"/>
    <cellStyle name="Input [yellow] 3 12 2 9" xfId="14464"/>
    <cellStyle name="Input [yellow] 3 12 3 2" xfId="14465"/>
    <cellStyle name="Input [yellow] 3 12 8" xfId="14466"/>
    <cellStyle name="Input [yellow] 3 12 9" xfId="14467"/>
    <cellStyle name="Input [yellow] 3 13" xfId="14468"/>
    <cellStyle name="Input [yellow] 3 13 10" xfId="14469"/>
    <cellStyle name="Input [yellow] 3 13 2" xfId="14470"/>
    <cellStyle name="常规 105 4" xfId="14471"/>
    <cellStyle name="常规 110 4" xfId="14472"/>
    <cellStyle name="Input [yellow] 3 13 2 10" xfId="14473"/>
    <cellStyle name="常规 105 5" xfId="14474"/>
    <cellStyle name="常规 110 5" xfId="14475"/>
    <cellStyle name="Input [yellow] 3 13 2 11" xfId="14476"/>
    <cellStyle name="Input [yellow] 3 13 2 2" xfId="14477"/>
    <cellStyle name="Input [yellow] 3 13 2 2 2" xfId="14478"/>
    <cellStyle name="Input [yellow] 3 13 2 3" xfId="14479"/>
    <cellStyle name="Input [yellow] 3 13 2 4" xfId="14480"/>
    <cellStyle name="Input [yellow] 3 13 2 5" xfId="14481"/>
    <cellStyle name="Input [yellow] 3 13 2 6" xfId="14482"/>
    <cellStyle name="Input [yellow] 3 13 2 7" xfId="14483"/>
    <cellStyle name="Input [yellow] 3 13 2 8" xfId="14484"/>
    <cellStyle name="Input [yellow] 3 13 3" xfId="14485"/>
    <cellStyle name="Input [yellow] 3 13 3 2" xfId="14486"/>
    <cellStyle name="Input [yellow] 3 13 3 3" xfId="14487"/>
    <cellStyle name="Input [yellow] 3 13 4" xfId="14488"/>
    <cellStyle name="Input [yellow] 3 13 5" xfId="14489"/>
    <cellStyle name="Input [yellow] 3 13 6" xfId="14490"/>
    <cellStyle name="Input [yellow] 3 13 7" xfId="14491"/>
    <cellStyle name="Input [yellow] 3 14" xfId="14492"/>
    <cellStyle name="Input [yellow] 3 14 2" xfId="14493"/>
    <cellStyle name="Input [yellow] 3 15" xfId="14494"/>
    <cellStyle name="Input [yellow] 3 20" xfId="14495"/>
    <cellStyle name="常规 104 3 2" xfId="14496"/>
    <cellStyle name="Input [yellow] 3 16" xfId="14497"/>
    <cellStyle name="Input [yellow] 3 21" xfId="14498"/>
    <cellStyle name="常规 104 3 3" xfId="14499"/>
    <cellStyle name="Input [yellow] 3 17" xfId="14500"/>
    <cellStyle name="Input [yellow] 3 22" xfId="14501"/>
    <cellStyle name="常规 104 3 4" xfId="14502"/>
    <cellStyle name="Input [yellow] 3 18" xfId="14503"/>
    <cellStyle name="Input [yellow] 3 23" xfId="14504"/>
    <cellStyle name="常规 104 3 5" xfId="14505"/>
    <cellStyle name="Input [yellow] 3 19" xfId="14506"/>
    <cellStyle name="Input [yellow] 3 24" xfId="14507"/>
    <cellStyle name="Input [yellow] 3 3 3" xfId="14508"/>
    <cellStyle name="Input [yellow] 3 2 13" xfId="14509"/>
    <cellStyle name="Input [yellow] 3 3 5" xfId="14510"/>
    <cellStyle name="Input [yellow] 3 2 15" xfId="14511"/>
    <cellStyle name="Input [yellow] 3 2 20" xfId="14512"/>
    <cellStyle name="Input [yellow] 3 3 6" xfId="14513"/>
    <cellStyle name="Input [yellow] 3 2 16" xfId="14514"/>
    <cellStyle name="Input [yellow] 3 3 7" xfId="14515"/>
    <cellStyle name="Input [yellow] 3 2 17" xfId="14516"/>
    <cellStyle name="Input [yellow] 3 3 8" xfId="14517"/>
    <cellStyle name="标题 3 3 5 2 2" xfId="14518"/>
    <cellStyle name="Input [yellow] 3 2 18" xfId="14519"/>
    <cellStyle name="Input [yellow] 3 3 9" xfId="14520"/>
    <cellStyle name="Input [yellow] 3 2 19" xfId="14521"/>
    <cellStyle name="Input [yellow] 3 2 2" xfId="14522"/>
    <cellStyle name="常规 29 3 14" xfId="14523"/>
    <cellStyle name="常规 34 3 14" xfId="14524"/>
    <cellStyle name="Input [yellow] 3 2 2 17" xfId="14525"/>
    <cellStyle name="常规 29 3 15" xfId="14526"/>
    <cellStyle name="常规 34 3 15" xfId="14527"/>
    <cellStyle name="Input [yellow] 3 2 2 18" xfId="14528"/>
    <cellStyle name="常规 29 3 16" xfId="14529"/>
    <cellStyle name="常规 34 3 16" xfId="14530"/>
    <cellStyle name="Input [yellow] 3 2 2 19" xfId="14531"/>
    <cellStyle name="Input [yellow] 3 2 2 2" xfId="14532"/>
    <cellStyle name="Input [yellow] 3 2 2 2 12" xfId="14533"/>
    <cellStyle name="Input [yellow] 3 2 2 2 13" xfId="14534"/>
    <cellStyle name="Input [yellow] 3 2 2 2 14" xfId="14535"/>
    <cellStyle name="常规 89 2 2 2" xfId="14536"/>
    <cellStyle name="常规 94 2 2 2" xfId="14537"/>
    <cellStyle name="Input [yellow] 3 2 2 2 15" xfId="14538"/>
    <cellStyle name="常规 89 2 2 3" xfId="14539"/>
    <cellStyle name="常规 94 2 2 3" xfId="14540"/>
    <cellStyle name="Input [yellow] 3 2 2 2 16" xfId="14541"/>
    <cellStyle name="常规 89 2 2 4" xfId="14542"/>
    <cellStyle name="常规 94 2 2 4" xfId="14543"/>
    <cellStyle name="Input [yellow] 3 2 2 2 17" xfId="14544"/>
    <cellStyle name="Input [yellow] 3 2 2 2 2" xfId="14545"/>
    <cellStyle name="货币 2 3 2 4" xfId="14546"/>
    <cellStyle name="origAmountCrD 4 2 12" xfId="14547"/>
    <cellStyle name="常规 126 2 2 15" xfId="14548"/>
    <cellStyle name="常规 131 2 2 15" xfId="14549"/>
    <cellStyle name="汇总 3 3 3" xfId="14550"/>
    <cellStyle name="origAmountCrD 7 2 4" xfId="14551"/>
    <cellStyle name="Input [yellow] 3 2 2 2 2 2" xfId="14552"/>
    <cellStyle name="输入 2 8 2 9" xfId="14553"/>
    <cellStyle name="Input [yellow] 3 2 2 2 2 2 2" xfId="14554"/>
    <cellStyle name="Input [yellow] 3 2 2 2 2 3" xfId="14555"/>
    <cellStyle name="Input [yellow] 3 2 2 2 2 7" xfId="14556"/>
    <cellStyle name="Input [yellow] 3 2 2 2 2 8" xfId="14557"/>
    <cellStyle name="Input [yellow] 3 2 2 2 2 9" xfId="14558"/>
    <cellStyle name="Input [yellow] 3 2 2 2 3" xfId="14559"/>
    <cellStyle name="常规 126 2 2 16" xfId="14560"/>
    <cellStyle name="常规 131 2 2 16" xfId="14561"/>
    <cellStyle name="汇总 3 3 4" xfId="14562"/>
    <cellStyle name="origAmountCrD 7 2 5" xfId="14563"/>
    <cellStyle name="origAmountCrD 4 2 13" xfId="14564"/>
    <cellStyle name="Input [yellow] 3 2 2 2 4" xfId="14565"/>
    <cellStyle name="常规 126 2 2 17" xfId="14566"/>
    <cellStyle name="常规 131 2 2 17" xfId="14567"/>
    <cellStyle name="汇总 3 3 5" xfId="14568"/>
    <cellStyle name="origAmountCrD 7 2 6" xfId="14569"/>
    <cellStyle name="origAmountCrD 4 2 14" xfId="14570"/>
    <cellStyle name="Input [yellow] 3 2 2 2 5" xfId="14571"/>
    <cellStyle name="常规 126 2 2 18" xfId="14572"/>
    <cellStyle name="常规 131 2 2 18" xfId="14573"/>
    <cellStyle name="汇总 3 3 6" xfId="14574"/>
    <cellStyle name="origAmountCrD 7 2 7" xfId="14575"/>
    <cellStyle name="origAmountCrD 4 2 15" xfId="14576"/>
    <cellStyle name="Input [yellow] 3 2 2 2 6" xfId="14577"/>
    <cellStyle name="汇总 3 3 7" xfId="14578"/>
    <cellStyle name="origAmountCrD 7 2 8" xfId="14579"/>
    <cellStyle name="origAmountCrD 4 2 16" xfId="14580"/>
    <cellStyle name="Input [yellow] 3 2 2 2 7" xfId="14581"/>
    <cellStyle name="汇总 3 3 8" xfId="14582"/>
    <cellStyle name="origAmountCrD 7 2 9" xfId="14583"/>
    <cellStyle name="origAmountCrD 4 2 17" xfId="14584"/>
    <cellStyle name="Input [yellow] 3 2 2 2 8" xfId="14585"/>
    <cellStyle name="Input [yellow] 3 2 2 2 9" xfId="14586"/>
    <cellStyle name="Input [yellow] 3 2 2 3" xfId="14587"/>
    <cellStyle name="Input [yellow] 3 2 2 6" xfId="14588"/>
    <cellStyle name="Input [yellow] 3 2 2 7" xfId="14589"/>
    <cellStyle name="Input [yellow] 3 2 2 8" xfId="14590"/>
    <cellStyle name="Input [yellow] 3 2 3" xfId="14591"/>
    <cellStyle name="Input [yellow] 3 2 3 13" xfId="14592"/>
    <cellStyle name="origAmountCrD 13 15" xfId="14593"/>
    <cellStyle name="Input [yellow] 3 2 3 14" xfId="14594"/>
    <cellStyle name="origAmountCrD 13 16" xfId="14595"/>
    <cellStyle name="Input [yellow] 3 2 3 15" xfId="14596"/>
    <cellStyle name="标题 3 3 3 2" xfId="14597"/>
    <cellStyle name="origAmountCrD 13 17" xfId="14598"/>
    <cellStyle name="Input [yellow] 3 2 3 16" xfId="14599"/>
    <cellStyle name="Input [yellow] 3 2 3 17" xfId="14600"/>
    <cellStyle name="Input [yellow] 3 2 3 2 10" xfId="14601"/>
    <cellStyle name="Input [yellow] 3 2 3 2 11" xfId="14602"/>
    <cellStyle name="Input [yellow] 3 2 3 2 12" xfId="14603"/>
    <cellStyle name="Input [yellow] 3 2 3 2 2" xfId="14604"/>
    <cellStyle name="汇总 4 3 3" xfId="14605"/>
    <cellStyle name="origAmountCrD 8 2 4" xfId="14606"/>
    <cellStyle name="注释 3 6 2 12" xfId="14607"/>
    <cellStyle name="Input [yellow] 3 2 3 2 3" xfId="14608"/>
    <cellStyle name="origAmountCrD 8 2 5" xfId="14609"/>
    <cellStyle name="Input [yellow] 3 2 3 2 4" xfId="14610"/>
    <cellStyle name="计算 3 2 6 2 10" xfId="14611"/>
    <cellStyle name="origAmountCrD 8 2 6" xfId="14612"/>
    <cellStyle name="Input [yellow] 3 2 3 2 5" xfId="14613"/>
    <cellStyle name="计算 3 2 6 2 11" xfId="14614"/>
    <cellStyle name="origAmountCrD 8 2 7" xfId="14615"/>
    <cellStyle name="Input [yellow] 3 2 3 2 6" xfId="14616"/>
    <cellStyle name="计算 3 2 6 2 12" xfId="14617"/>
    <cellStyle name="origAmountCrD 8 2 8" xfId="14618"/>
    <cellStyle name="Input [yellow] 3 2 3 2 7" xfId="14619"/>
    <cellStyle name="origAmountCrD 8 2 9" xfId="14620"/>
    <cellStyle name="Input [yellow] 3 2 3 2 8" xfId="14621"/>
    <cellStyle name="Input [yellow] 3 2 3 2 9" xfId="14622"/>
    <cellStyle name="Input [yellow] 3 2 3 3 2" xfId="14623"/>
    <cellStyle name="Input [yellow] 3 2 4" xfId="14624"/>
    <cellStyle name="Input [yellow] 3 2 5" xfId="14625"/>
    <cellStyle name="Input [yellow] 3 2 6" xfId="14626"/>
    <cellStyle name="常规 104 3 6" xfId="14627"/>
    <cellStyle name="Input [yellow] 3 25" xfId="14628"/>
    <cellStyle name="Input [yellow] 3 30" xfId="14629"/>
    <cellStyle name="常规 104 3 7" xfId="14630"/>
    <cellStyle name="Input [yellow] 3 26" xfId="14631"/>
    <cellStyle name="Input [yellow] 3 31" xfId="14632"/>
    <cellStyle name="Input [yellow] 3 3 2 10" xfId="14633"/>
    <cellStyle name="Input [yellow] 3 3 2 11" xfId="14634"/>
    <cellStyle name="Input [yellow] 3 3 2 12" xfId="14635"/>
    <cellStyle name="常规 35 3 10" xfId="14636"/>
    <cellStyle name="常规 40 3 10" xfId="14637"/>
    <cellStyle name="Input [yellow] 3 3 2 13" xfId="14638"/>
    <cellStyle name="常规 35 3 11" xfId="14639"/>
    <cellStyle name="常规 40 3 11" xfId="14640"/>
    <cellStyle name="Input [yellow] 3 3 2 14" xfId="14641"/>
    <cellStyle name="常规 35 3 12" xfId="14642"/>
    <cellStyle name="常规 40 3 12" xfId="14643"/>
    <cellStyle name="Input [yellow] 3 3 2 15" xfId="14644"/>
    <cellStyle name="常规 35 3 13" xfId="14645"/>
    <cellStyle name="常规 40 3 13" xfId="14646"/>
    <cellStyle name="Input [yellow] 3 3 2 16" xfId="14647"/>
    <cellStyle name="常规 35 3 14" xfId="14648"/>
    <cellStyle name="常规 40 3 14" xfId="14649"/>
    <cellStyle name="常规 29 5 2 2" xfId="14650"/>
    <cellStyle name="常规 34 5 2 2" xfId="14651"/>
    <cellStyle name="Input [yellow] 3 3 2 17" xfId="14652"/>
    <cellStyle name="常规 69 2 2 3 3" xfId="14653"/>
    <cellStyle name="常规 74 2 2 3 3" xfId="14654"/>
    <cellStyle name="Input [yellow] 3 3 2 2 12" xfId="14655"/>
    <cellStyle name="Input [yellow] 3 3 2 2 2" xfId="14656"/>
    <cellStyle name="origAmountCrD 9 2 12" xfId="14657"/>
    <cellStyle name="Input [yellow] 3 3 2 2 3" xfId="14658"/>
    <cellStyle name="origAmountCrD 9 2 13" xfId="14659"/>
    <cellStyle name="Input [yellow] 3 3 2 2 4" xfId="14660"/>
    <cellStyle name="origAmountCrD 9 2 14" xfId="14661"/>
    <cellStyle name="Input [yellow] 3 3 2 2 5" xfId="14662"/>
    <cellStyle name="origAmountCrD 9 2 15" xfId="14663"/>
    <cellStyle name="Input [yellow] 3 3 2 2 6" xfId="14664"/>
    <cellStyle name="origAmountCrD 9 2 16" xfId="14665"/>
    <cellStyle name="Input [yellow] 3 3 2 2 7" xfId="14666"/>
    <cellStyle name="origAmountCrD 9 2 17" xfId="14667"/>
    <cellStyle name="Input [yellow] 3 3 2 2 8" xfId="14668"/>
    <cellStyle name="商品名称 4 6" xfId="14669"/>
    <cellStyle name="Input [yellow] 3 3 2 3 3" xfId="14670"/>
    <cellStyle name="origAmountCrD 6 2 2 11" xfId="14671"/>
    <cellStyle name="标题 2 2 2 9" xfId="14672"/>
    <cellStyle name="常规 87 2 2 12" xfId="14673"/>
    <cellStyle name="常规 92 2 2 12" xfId="14674"/>
    <cellStyle name="Input [yellow] 3 3 2 6" xfId="14675"/>
    <cellStyle name="Input [yellow] 3 4 10" xfId="14676"/>
    <cellStyle name="Input [yellow] 3 4 11" xfId="14677"/>
    <cellStyle name="Input [yellow] 3 4 12" xfId="14678"/>
    <cellStyle name="Moneda_96 Risk" xfId="14679"/>
    <cellStyle name="Input [yellow] 3 4 13" xfId="14680"/>
    <cellStyle name="Input [yellow] 3 4 14" xfId="14681"/>
    <cellStyle name="Input [yellow] 3 4 15" xfId="14682"/>
    <cellStyle name="Input [yellow] 3 4 16" xfId="14683"/>
    <cellStyle name="Input [yellow] 3 4 17" xfId="14684"/>
    <cellStyle name="Input [yellow] 3 4 18" xfId="14685"/>
    <cellStyle name="Input [yellow] 3 4 19" xfId="14686"/>
    <cellStyle name="Input [yellow] 3 4 2" xfId="14687"/>
    <cellStyle name="常规 145 2 18" xfId="14688"/>
    <cellStyle name="常规 150 2 18" xfId="14689"/>
    <cellStyle name="Input [yellow] 3 4 2 10" xfId="14690"/>
    <cellStyle name="Input [yellow] 3 4 2 12" xfId="14691"/>
    <cellStyle name="常规 36 3 10" xfId="14692"/>
    <cellStyle name="常规 41 3 10" xfId="14693"/>
    <cellStyle name="样式 1 2 2 2" xfId="14694"/>
    <cellStyle name="Input [yellow] 3 4 2 13" xfId="14695"/>
    <cellStyle name="常规 36 3 11" xfId="14696"/>
    <cellStyle name="常规 41 3 11" xfId="14697"/>
    <cellStyle name="Input [yellow] 3 4 2 14" xfId="14698"/>
    <cellStyle name="常规 36 3 12" xfId="14699"/>
    <cellStyle name="常规 41 3 12" xfId="14700"/>
    <cellStyle name="Input [yellow] 3 4 2 15" xfId="14701"/>
    <cellStyle name="常规 59 2 2 2" xfId="14702"/>
    <cellStyle name="常规 64 2 2 2" xfId="14703"/>
    <cellStyle name="常规 36 3 13" xfId="14704"/>
    <cellStyle name="常规 41 3 13" xfId="14705"/>
    <cellStyle name="Input [yellow] 3 4 2 16" xfId="14706"/>
    <cellStyle name="常规 59 2 2 3" xfId="14707"/>
    <cellStyle name="常规 64 2 2 3" xfId="14708"/>
    <cellStyle name="常规 36 3 14" xfId="14709"/>
    <cellStyle name="常规 41 3 14" xfId="14710"/>
    <cellStyle name="Input [yellow] 3 4 2 17" xfId="14711"/>
    <cellStyle name="常规 117 9" xfId="14712"/>
    <cellStyle name="常规 122 9" xfId="14713"/>
    <cellStyle name="Input [yellow] 3 4 2 2 12" xfId="14714"/>
    <cellStyle name="Input [yellow] 3 4 2 2 2" xfId="14715"/>
    <cellStyle name="Input [yellow] 3 4 2 2 2 2" xfId="14716"/>
    <cellStyle name="Input [yellow] 3 4 2 2 3" xfId="14717"/>
    <cellStyle name="Input [yellow] 3 4 2 2 4" xfId="14718"/>
    <cellStyle name="Input [yellow] 3 4 2 2 5" xfId="14719"/>
    <cellStyle name="Input [yellow] 3 4 2 2 6" xfId="14720"/>
    <cellStyle name="Input [yellow] 3 4 2 2 7" xfId="14721"/>
    <cellStyle name="强调 1 5 2 2" xfId="14722"/>
    <cellStyle name="Input [yellow] 3 4 2 2 8" xfId="14723"/>
    <cellStyle name="输出 2 9 2 2" xfId="14724"/>
    <cellStyle name="强调 1 5 2 3" xfId="14725"/>
    <cellStyle name="Input [yellow] 3 4 2 2 9" xfId="14726"/>
    <cellStyle name="Input [yellow] 3 4 2 3 2" xfId="14727"/>
    <cellStyle name="Input [yellow] 3 4 2 3 3" xfId="14728"/>
    <cellStyle name="标题 2 3 2 9" xfId="14729"/>
    <cellStyle name="Input [yellow] 3 4 2 6" xfId="14730"/>
    <cellStyle name="Input [yellow] 3 4 2 7" xfId="14731"/>
    <cellStyle name="Input [yellow] 3 4 3" xfId="14732"/>
    <cellStyle name="常规 145 2 19" xfId="14733"/>
    <cellStyle name="常规 150 2 19" xfId="14734"/>
    <cellStyle name="Input [yellow] 3 4 3 2" xfId="14735"/>
    <cellStyle name="注释 2 6 6" xfId="14736"/>
    <cellStyle name="Input [yellow] 3 4 3 3" xfId="14737"/>
    <cellStyle name="注释 2 6 7" xfId="14738"/>
    <cellStyle name="Input [yellow] 3 4 4" xfId="14739"/>
    <cellStyle name="Input [yellow] 3 4 5" xfId="14740"/>
    <cellStyle name="Input [yellow] 3 4 6" xfId="14741"/>
    <cellStyle name="Input [yellow] 3 4 7" xfId="14742"/>
    <cellStyle name="Input [yellow] 3 4 8" xfId="14743"/>
    <cellStyle name="Input [yellow] 3 4 9" xfId="14744"/>
    <cellStyle name="Input [yellow] 3 5 2 10" xfId="14745"/>
    <cellStyle name="Input [yellow] 3 5 2 11" xfId="14746"/>
    <cellStyle name="Input [yellow] 3 5 2 12" xfId="14747"/>
    <cellStyle name="标题 3 2 49" xfId="14748"/>
    <cellStyle name="常规 37 3 10" xfId="14749"/>
    <cellStyle name="常规 42 3 10" xfId="14750"/>
    <cellStyle name="Input [yellow] 3 5 2 13" xfId="14751"/>
    <cellStyle name="常规 37 3 11" xfId="14752"/>
    <cellStyle name="常规 42 3 11" xfId="14753"/>
    <cellStyle name="Input [yellow] 3 5 2 14" xfId="14754"/>
    <cellStyle name="常规 37 3 12" xfId="14755"/>
    <cellStyle name="常规 42 3 12" xfId="14756"/>
    <cellStyle name="Input [yellow] 3 5 2 15" xfId="14757"/>
    <cellStyle name="常规 37 3 13" xfId="14758"/>
    <cellStyle name="常规 42 3 13" xfId="14759"/>
    <cellStyle name="Input [yellow] 3 5 2 16" xfId="14760"/>
    <cellStyle name="常规 37 3 14" xfId="14761"/>
    <cellStyle name="常规 42 3 14" xfId="14762"/>
    <cellStyle name="Input [yellow] 3 5 2 17" xfId="14763"/>
    <cellStyle name="常规 55 2 17" xfId="14764"/>
    <cellStyle name="常规 60 2 17" xfId="14765"/>
    <cellStyle name="Input [yellow] 3 5 2 2" xfId="14766"/>
    <cellStyle name="注释 3 5 6" xfId="14767"/>
    <cellStyle name="Input [yellow] 3 5 2 2 12" xfId="14768"/>
    <cellStyle name="Input [yellow] 3 5 2 2 2" xfId="14769"/>
    <cellStyle name="Input [yellow] 3 5 2 2 2 2" xfId="14770"/>
    <cellStyle name="Input [yellow] 3 5 2 2 3" xfId="14771"/>
    <cellStyle name="Input [yellow] 3 5 2 2 4" xfId="14772"/>
    <cellStyle name="Input [yellow] 3 5 2 2 5" xfId="14773"/>
    <cellStyle name="Input [yellow] 3 5 2 2 6" xfId="14774"/>
    <cellStyle name="Input [yellow] 3 5 2 2 7" xfId="14775"/>
    <cellStyle name="Input [yellow] 3 5 2 2 8" xfId="14776"/>
    <cellStyle name="输出 3 9 2 2" xfId="14777"/>
    <cellStyle name="Input [yellow] 3 5 2 2 9" xfId="14778"/>
    <cellStyle name="常规 55 2 18" xfId="14779"/>
    <cellStyle name="常规 60 2 18" xfId="14780"/>
    <cellStyle name="Input [yellow] 3 5 2 3" xfId="14781"/>
    <cellStyle name="注释 3 5 7" xfId="14782"/>
    <cellStyle name="Input [yellow] 3 5 2 3 2" xfId="14783"/>
    <cellStyle name="Input [yellow] 3 5 2 3 3" xfId="14784"/>
    <cellStyle name="常规 55 2 19" xfId="14785"/>
    <cellStyle name="常规 60 2 19" xfId="14786"/>
    <cellStyle name="Input [yellow] 3 5 2 4" xfId="14787"/>
    <cellStyle name="注释 3 5 8" xfId="14788"/>
    <cellStyle name="Input [yellow] 3 5 2 5" xfId="14789"/>
    <cellStyle name="注释 3 5 9" xfId="14790"/>
    <cellStyle name="Input [yellow] 3 5 2 6" xfId="14791"/>
    <cellStyle name="Input [yellow] 3 5 2 7" xfId="14792"/>
    <cellStyle name="Input [yellow] 3 5 2 8" xfId="14793"/>
    <cellStyle name="Input [yellow] 3 5 2 9" xfId="14794"/>
    <cellStyle name="Input [yellow] 3 5 3 2" xfId="14795"/>
    <cellStyle name="汇总 2 3 4 19" xfId="14796"/>
    <cellStyle name="注释 3 6 6" xfId="14797"/>
    <cellStyle name="常规 146 3 3 2 2" xfId="14798"/>
    <cellStyle name="常规 151 3 3 2 2" xfId="14799"/>
    <cellStyle name="origAmountCrD 2 2 2 2 7" xfId="14800"/>
    <cellStyle name="常规 104 3 12" xfId="14801"/>
    <cellStyle name="Input [yellow] 3 5 7" xfId="14802"/>
    <cellStyle name="常规 104 3 13" xfId="14803"/>
    <cellStyle name="Input [yellow] 3 5 8" xfId="14804"/>
    <cellStyle name="常规 104 3 14" xfId="14805"/>
    <cellStyle name="Input [yellow] 3 5 9" xfId="14806"/>
    <cellStyle name="输出 2 2 10 2 10" xfId="14807"/>
    <cellStyle name="Input [yellow] 3 6" xfId="14808"/>
    <cellStyle name="Input [yellow] 3 6 17" xfId="14809"/>
    <cellStyle name="Input [yellow] 3 6 2 12" xfId="14810"/>
    <cellStyle name="常规 38 3 10" xfId="14811"/>
    <cellStyle name="常规 43 3 10" xfId="14812"/>
    <cellStyle name="Input [yellow] 3 6 2 13" xfId="14813"/>
    <cellStyle name="常规 38 3 11" xfId="14814"/>
    <cellStyle name="常规 43 3 11" xfId="14815"/>
    <cellStyle name="Input [yellow] 3 6 2 14" xfId="14816"/>
    <cellStyle name="常规 38 3 14" xfId="14817"/>
    <cellStyle name="常规 43 3 14" xfId="14818"/>
    <cellStyle name="常规 109 3 3 3" xfId="14819"/>
    <cellStyle name="常规 114 3 3 3" xfId="14820"/>
    <cellStyle name="Input [yellow] 3 6 2 17" xfId="14821"/>
    <cellStyle name="Input [yellow] 3 6 2 2" xfId="14822"/>
    <cellStyle name="Input [yellow] 3 6 2 2 12" xfId="14823"/>
    <cellStyle name="Input [yellow] 3 6 2 2 2" xfId="14824"/>
    <cellStyle name="Input [yellow] 3 6 2 2 2 2" xfId="14825"/>
    <cellStyle name="Input [yellow] 3 6 2 2 3" xfId="14826"/>
    <cellStyle name="Input [yellow] 3 6 2 3" xfId="14827"/>
    <cellStyle name="Input [yellow] 3 6 2 3 2" xfId="14828"/>
    <cellStyle name="Input [yellow] 3 6 2 3 3" xfId="14829"/>
    <cellStyle name="Input [yellow] 3 6 2 4" xfId="14830"/>
    <cellStyle name="Input [yellow] 3 6 2 5" xfId="14831"/>
    <cellStyle name="Input [yellow] 3 6 2 6" xfId="14832"/>
    <cellStyle name="Input [yellow] 3 6 2 7" xfId="14833"/>
    <cellStyle name="Input [yellow] 3 6 2 8" xfId="14834"/>
    <cellStyle name="Input [yellow] 3 6 2 9" xfId="14835"/>
    <cellStyle name="Input [yellow] 3 6 3 2" xfId="14836"/>
    <cellStyle name="Input [yellow] 3 6 7" xfId="14837"/>
    <cellStyle name="Input [yellow] 3 6 8" xfId="14838"/>
    <cellStyle name="Input [yellow] 3 6 9" xfId="14839"/>
    <cellStyle name="输出 2 2 10 2 11" xfId="14840"/>
    <cellStyle name="Input [yellow] 3 7" xfId="14841"/>
    <cellStyle name="Input [yellow] 4 3 3" xfId="14842"/>
    <cellStyle name="Input [yellow] 3 7 13" xfId="14843"/>
    <cellStyle name="Input [yellow] 4 3 4" xfId="14844"/>
    <cellStyle name="Input [yellow] 3 7 14" xfId="14845"/>
    <cellStyle name="Input [yellow] 4 3 5" xfId="14846"/>
    <cellStyle name="Input [yellow] 3 7 15" xfId="14847"/>
    <cellStyle name="Input [yellow] 4 3 6" xfId="14848"/>
    <cellStyle name="Input [yellow] 3 7 16" xfId="14849"/>
    <cellStyle name="Input [yellow] 4 3 7" xfId="14850"/>
    <cellStyle name="Input [yellow] 3 7 17" xfId="14851"/>
    <cellStyle name="Input [yellow] 4 3 8" xfId="14852"/>
    <cellStyle name="标题 3 3 6 2 2" xfId="14853"/>
    <cellStyle name="Input [yellow] 3 7 18" xfId="14854"/>
    <cellStyle name="常规 77 2 2 2" xfId="14855"/>
    <cellStyle name="常规 82 2 2 2" xfId="14856"/>
    <cellStyle name="Input [yellow] 4 3 9" xfId="14857"/>
    <cellStyle name="Input [yellow] 3 7 19" xfId="14858"/>
    <cellStyle name="Input [yellow] 3 7 2 11" xfId="14859"/>
    <cellStyle name="Input [yellow] 3 7 2 12" xfId="14860"/>
    <cellStyle name="常规 39 3 10" xfId="14861"/>
    <cellStyle name="常规 44 3 10" xfId="14862"/>
    <cellStyle name="Input [yellow] 3 7 2 13" xfId="14863"/>
    <cellStyle name="常规 39 3 11" xfId="14864"/>
    <cellStyle name="常规 44 3 11" xfId="14865"/>
    <cellStyle name="Input [yellow] 3 7 2 14" xfId="14866"/>
    <cellStyle name="常规 39 3 12" xfId="14867"/>
    <cellStyle name="常规 44 3 12" xfId="14868"/>
    <cellStyle name="Input [yellow] 3 7 2 15" xfId="14869"/>
    <cellStyle name="常规 39 3 13" xfId="14870"/>
    <cellStyle name="常规 44 3 13" xfId="14871"/>
    <cellStyle name="Input [yellow] 3 7 2 16" xfId="14872"/>
    <cellStyle name="常规 39 3 14" xfId="14873"/>
    <cellStyle name="常规 44 3 14" xfId="14874"/>
    <cellStyle name="Input [yellow] 3 7 2 17" xfId="14875"/>
    <cellStyle name="Input [yellow] 3 7 2 2" xfId="14876"/>
    <cellStyle name="Input [yellow] 3 7 2 2 2" xfId="14877"/>
    <cellStyle name="Input [yellow] 3 7 2 2 3" xfId="14878"/>
    <cellStyle name="Input [yellow] 3 7 2 3" xfId="14879"/>
    <cellStyle name="Input [yellow] 3 7 2 3 3" xfId="14880"/>
    <cellStyle name="千位分隔 2 2 4" xfId="14881"/>
    <cellStyle name="Input [yellow] 3 7 2 4" xfId="14882"/>
    <cellStyle name="Input [yellow] 3 7 2 5" xfId="14883"/>
    <cellStyle name="Input [yellow] 3 7 2 6" xfId="14884"/>
    <cellStyle name="Input [yellow] 3 7 2 7" xfId="14885"/>
    <cellStyle name="常规 136 2 2 2" xfId="14886"/>
    <cellStyle name="常规 141 2 2 2" xfId="14887"/>
    <cellStyle name="Input [yellow] 3 7 2 8" xfId="14888"/>
    <cellStyle name="常规 136 2 2 3" xfId="14889"/>
    <cellStyle name="常规 141 2 2 3" xfId="14890"/>
    <cellStyle name="Input [yellow] 3 7 2 9" xfId="14891"/>
    <cellStyle name="Input [yellow] 4 10" xfId="14892"/>
    <cellStyle name="Input [yellow] 3 7 7" xfId="14893"/>
    <cellStyle name="Input [yellow] 4 11" xfId="14894"/>
    <cellStyle name="Input [yellow] 3 7 8" xfId="14895"/>
    <cellStyle name="Input [yellow] 4 12" xfId="14896"/>
    <cellStyle name="Input [yellow] 3 7 9" xfId="14897"/>
    <cellStyle name="输出 2 2 10 2 12" xfId="14898"/>
    <cellStyle name="Input [yellow] 3 8" xfId="14899"/>
    <cellStyle name="Input [yellow] 3 8 10" xfId="14900"/>
    <cellStyle name="Input [yellow] 3 8 11" xfId="14901"/>
    <cellStyle name="Input [yellow] 3 8 14" xfId="14902"/>
    <cellStyle name="Input [yellow] 3 8 15" xfId="14903"/>
    <cellStyle name="Input [yellow] 3 8 16" xfId="14904"/>
    <cellStyle name="Input [yellow] 3 8 17" xfId="14905"/>
    <cellStyle name="Input [yellow] 3 8 2 10" xfId="14906"/>
    <cellStyle name="Input [yellow] 3 8 2 11" xfId="14907"/>
    <cellStyle name="Input [yellow] 3 8 2 12" xfId="14908"/>
    <cellStyle name="常规 45 3 10" xfId="14909"/>
    <cellStyle name="常规 50 3 10" xfId="14910"/>
    <cellStyle name="Input [yellow] 3 8 2 13" xfId="14911"/>
    <cellStyle name="常规 45 3 11" xfId="14912"/>
    <cellStyle name="常规 50 3 11" xfId="14913"/>
    <cellStyle name="Input [yellow] 3 8 2 14" xfId="14914"/>
    <cellStyle name="常规 45 3 12" xfId="14915"/>
    <cellStyle name="常规 50 3 12" xfId="14916"/>
    <cellStyle name="Input [yellow] 3 8 2 15" xfId="14917"/>
    <cellStyle name="常规 45 3 13" xfId="14918"/>
    <cellStyle name="常规 50 3 13" xfId="14919"/>
    <cellStyle name="Input [yellow] 3 8 2 16" xfId="14920"/>
    <cellStyle name="常规 45 3 14" xfId="14921"/>
    <cellStyle name="常规 50 3 14" xfId="14922"/>
    <cellStyle name="常规 35 5 2 2" xfId="14923"/>
    <cellStyle name="常规 40 5 2 2" xfId="14924"/>
    <cellStyle name="Input [yellow] 3 8 2 17" xfId="14925"/>
    <cellStyle name="Input [yellow] 3 8 2 2 10" xfId="14926"/>
    <cellStyle name="常规 75 2 2 3 2" xfId="14927"/>
    <cellStyle name="常规 80 2 2 3 2" xfId="14928"/>
    <cellStyle name="Input [yellow] 3 8 2 2 11" xfId="14929"/>
    <cellStyle name="常规 75 2 2 3 3" xfId="14930"/>
    <cellStyle name="常规 80 2 2 3 3" xfId="14931"/>
    <cellStyle name="Input [yellow] 3 8 2 2 12" xfId="14932"/>
    <cellStyle name="输入 2 2 7 2 4" xfId="14933"/>
    <cellStyle name="Input [yellow] 3 8 2 2 2" xfId="14934"/>
    <cellStyle name="Input [yellow] 3 8 2 2 2 2" xfId="14935"/>
    <cellStyle name="输入 2 2 7 2 5" xfId="14936"/>
    <cellStyle name="Input [yellow] 3 8 2 2 3" xfId="14937"/>
    <cellStyle name="输入 2 2 7 2 6" xfId="14938"/>
    <cellStyle name="Input [yellow] 3 8 2 2 4" xfId="14939"/>
    <cellStyle name="输入 2 2 7 2 7" xfId="14940"/>
    <cellStyle name="Input [yellow] 3 8 2 2 5" xfId="14941"/>
    <cellStyle name="输入 2 2 7 2 8" xfId="14942"/>
    <cellStyle name="Input [yellow] 3 8 2 2 6" xfId="14943"/>
    <cellStyle name="输入 2 2 7 2 9" xfId="14944"/>
    <cellStyle name="Input [yellow] 3 8 2 2 7" xfId="14945"/>
    <cellStyle name="Input [yellow] 3 8 2 2 8" xfId="14946"/>
    <cellStyle name="Input [yellow] 3 8 2 3" xfId="14947"/>
    <cellStyle name="Input [yellow] 3 8 2 4" xfId="14948"/>
    <cellStyle name="Input [yellow] 3 8 2 5" xfId="14949"/>
    <cellStyle name="Input [yellow] 3 8 2 6" xfId="14950"/>
    <cellStyle name="Input [yellow] 3 8 2 7" xfId="14951"/>
    <cellStyle name="链接单元格 2" xfId="14952"/>
    <cellStyle name="Input [yellow] 3 8 2 8" xfId="14953"/>
    <cellStyle name="链接单元格 3" xfId="14954"/>
    <cellStyle name="Input [yellow] 3 8 2 9" xfId="14955"/>
    <cellStyle name="Input [yellow] 3 8 3 2" xfId="14956"/>
    <cellStyle name="Input [yellow] 3 9" xfId="14957"/>
    <cellStyle name="Input [yellow] 3 9 10" xfId="14958"/>
    <cellStyle name="Input [yellow] 3 9 2 10" xfId="14959"/>
    <cellStyle name="Input [yellow] 3 9 2 11" xfId="14960"/>
    <cellStyle name="Input [yellow] 3 9 2 12" xfId="14961"/>
    <cellStyle name="常规 46 3 10" xfId="14962"/>
    <cellStyle name="常规 51 3 10" xfId="14963"/>
    <cellStyle name="Input [yellow] 3 9 2 13" xfId="14964"/>
    <cellStyle name="常规 46 3 11" xfId="14965"/>
    <cellStyle name="常规 51 3 11" xfId="14966"/>
    <cellStyle name="Input [yellow] 3 9 2 14" xfId="14967"/>
    <cellStyle name="常规 46 3 12" xfId="14968"/>
    <cellStyle name="常规 51 3 12" xfId="14969"/>
    <cellStyle name="Input [yellow] 3 9 2 15" xfId="14970"/>
    <cellStyle name="常规 65 2 2 2" xfId="14971"/>
    <cellStyle name="常规 70 2 2 2" xfId="14972"/>
    <cellStyle name="常规 46 3 13" xfId="14973"/>
    <cellStyle name="常规 51 3 13" xfId="14974"/>
    <cellStyle name="Input [yellow] 3 9 2 16" xfId="14975"/>
    <cellStyle name="常规 65 2 2 3" xfId="14976"/>
    <cellStyle name="常规 70 2 2 3" xfId="14977"/>
    <cellStyle name="常规 46 3 14" xfId="14978"/>
    <cellStyle name="常规 51 3 14" xfId="14979"/>
    <cellStyle name="Input [yellow] 3 9 2 17" xfId="14980"/>
    <cellStyle name="Input [yellow] 3 9 2 2 10" xfId="14981"/>
    <cellStyle name="Input [yellow] 3 9 2 2 11" xfId="14982"/>
    <cellStyle name="Input [yellow] 3 9 2 2 12" xfId="14983"/>
    <cellStyle name="Input [yellow] 3 9 2 2 2 2" xfId="14984"/>
    <cellStyle name="Input [yellow] 3 9 2 2 8" xfId="14985"/>
    <cellStyle name="Input [yellow] 3 9 2 2 9" xfId="14986"/>
    <cellStyle name="计算 3 6 2 9" xfId="14987"/>
    <cellStyle name="Input [yellow] 3 9 2 3 3" xfId="14988"/>
    <cellStyle name="常规 126 2 2 3 2 2" xfId="14989"/>
    <cellStyle name="常规 131 2 2 3 2 2" xfId="14990"/>
    <cellStyle name="Input [yellow] 3 9 2 6" xfId="14991"/>
    <cellStyle name="Input [yellow] 3 9 2 7" xfId="14992"/>
    <cellStyle name="Input [yellow] 3 9 2 8" xfId="14993"/>
    <cellStyle name="Input [yellow] 3 9 2 9" xfId="14994"/>
    <cellStyle name="Input [yellow] 3 9 3 2" xfId="14995"/>
    <cellStyle name="Input [yellow] 3 9 7" xfId="14996"/>
    <cellStyle name="Input [yellow] 3 9 9" xfId="14997"/>
    <cellStyle name="Input [yellow] 4 13" xfId="14998"/>
    <cellStyle name="Input [yellow] 4 14" xfId="14999"/>
    <cellStyle name="Input [yellow] 4 15" xfId="15000"/>
    <cellStyle name="Input [yellow] 4 20" xfId="15001"/>
    <cellStyle name="Input [yellow] 4 16" xfId="15002"/>
    <cellStyle name="Input [yellow] 4 21" xfId="15003"/>
    <cellStyle name="Input [yellow] 4 2" xfId="15004"/>
    <cellStyle name="Input [yellow] 4 2 10" xfId="15005"/>
    <cellStyle name="Input [yellow] 4 2 11" xfId="15006"/>
    <cellStyle name="Input [yellow] 8 3 2" xfId="15007"/>
    <cellStyle name="Input [yellow] 4 2 12" xfId="15008"/>
    <cellStyle name="Input [yellow] 8 3 3" xfId="15009"/>
    <cellStyle name="输出 3 4 2" xfId="15010"/>
    <cellStyle name="Input [yellow] 4 2 13" xfId="15011"/>
    <cellStyle name="输出 3 4 3" xfId="15012"/>
    <cellStyle name="Input [yellow] 4 2 14" xfId="15013"/>
    <cellStyle name="输出 3 4 4" xfId="15014"/>
    <cellStyle name="常规 3 3 2" xfId="15015"/>
    <cellStyle name="Input [yellow] 4 2 15" xfId="15016"/>
    <cellStyle name="输出 3 4 5" xfId="15017"/>
    <cellStyle name="常规 3 3 3" xfId="15018"/>
    <cellStyle name="Input [yellow] 4 2 16" xfId="15019"/>
    <cellStyle name="输出 3 4 6" xfId="15020"/>
    <cellStyle name="常规 3 3 4" xfId="15021"/>
    <cellStyle name="Input [yellow] 4 2 17" xfId="15022"/>
    <cellStyle name="输出 3 4 7" xfId="15023"/>
    <cellStyle name="常规 3 3 5" xfId="15024"/>
    <cellStyle name="Input [yellow] 4 2 18" xfId="15025"/>
    <cellStyle name="输出 3 4 8" xfId="15026"/>
    <cellStyle name="常规 3 3 6" xfId="15027"/>
    <cellStyle name="Input [yellow] 4 2 19" xfId="15028"/>
    <cellStyle name="Input [yellow] 4 2 2 2 8" xfId="15029"/>
    <cellStyle name="Input [yellow] 4 2 2 2 9" xfId="15030"/>
    <cellStyle name="Input [yellow] 4 2 3" xfId="15031"/>
    <cellStyle name="Input [yellow] 4 2 3 2" xfId="15032"/>
    <cellStyle name="Input [yellow] 4 2 3 3" xfId="15033"/>
    <cellStyle name="Input [yellow] 4 2 4" xfId="15034"/>
    <cellStyle name="Input [yellow] 4 2 5" xfId="15035"/>
    <cellStyle name="Input [yellow] 4 2 6" xfId="15036"/>
    <cellStyle name="Input [yellow] 8 10" xfId="15037"/>
    <cellStyle name="Input [yellow] 4 2 7" xfId="15038"/>
    <cellStyle name="Input [yellow] 8 11" xfId="15039"/>
    <cellStyle name="Input [yellow] 4 2 8" xfId="15040"/>
    <cellStyle name="Input [yellow] 8 12" xfId="15041"/>
    <cellStyle name="Input [yellow] 4 2 9" xfId="15042"/>
    <cellStyle name="Input [yellow] 4 3" xfId="15043"/>
    <cellStyle name="Input [yellow] 4 3 10" xfId="15044"/>
    <cellStyle name="Input [yellow] 4 3 11" xfId="15045"/>
    <cellStyle name="Input [yellow] 4 3 12" xfId="15046"/>
    <cellStyle name="输出 3 9 2" xfId="15047"/>
    <cellStyle name="Input [yellow] 4 3 13" xfId="15048"/>
    <cellStyle name="输出 3 9 3" xfId="15049"/>
    <cellStyle name="Input [yellow] 4 3 14" xfId="15050"/>
    <cellStyle name="输出 3 9 4" xfId="15051"/>
    <cellStyle name="Input [yellow] 4 3 15" xfId="15052"/>
    <cellStyle name="输出 3 9 5" xfId="15053"/>
    <cellStyle name="Input [yellow] 4 3 16" xfId="15054"/>
    <cellStyle name="输出 3 9 6" xfId="15055"/>
    <cellStyle name="Input [yellow] 4 3 17" xfId="15056"/>
    <cellStyle name="输出 3 9 7" xfId="15057"/>
    <cellStyle name="Input [yellow] 4 3 18" xfId="15058"/>
    <cellStyle name="输出 3 9 8" xfId="15059"/>
    <cellStyle name="Input [yellow] 4 3 19" xfId="15060"/>
    <cellStyle name="Input [yellow] 4 3 2 2 2" xfId="15061"/>
    <cellStyle name="Input [yellow] 4 3 2 2 2 2" xfId="15062"/>
    <cellStyle name="PSDec 2 11" xfId="15063"/>
    <cellStyle name="Input [yellow] 4 3 2 2 3" xfId="15064"/>
    <cellStyle name="Input [yellow] 4 3 2 2 4" xfId="15065"/>
    <cellStyle name="Input [yellow] 4 3 2 2 5" xfId="15066"/>
    <cellStyle name="Input [yellow] 4 3 2 2 6" xfId="15067"/>
    <cellStyle name="Input [yellow] 4 3 2 2 7" xfId="15068"/>
    <cellStyle name="Input [yellow] 4 3 2 2 8" xfId="15069"/>
    <cellStyle name="Input [yellow] 4 3 2 2 9" xfId="15070"/>
    <cellStyle name="标题 3 2 3 5" xfId="15071"/>
    <cellStyle name="标题 3 2 10 3" xfId="15072"/>
    <cellStyle name="Input [yellow] 4 3 3 2" xfId="15073"/>
    <cellStyle name="标题 3 2 3 6" xfId="15074"/>
    <cellStyle name="标题 3 2 10 4" xfId="15075"/>
    <cellStyle name="Input [yellow] 4 3 3 3" xfId="15076"/>
    <cellStyle name="Input [yellow] 4 4" xfId="15077"/>
    <cellStyle name="Input [yellow] 4 4 10" xfId="15078"/>
    <cellStyle name="Input [yellow] 4 4 11" xfId="15079"/>
    <cellStyle name="Input [yellow] 4 4 12" xfId="15080"/>
    <cellStyle name="Input [yellow] 4 4 13" xfId="15081"/>
    <cellStyle name="Input [yellow] 4 4 14" xfId="15082"/>
    <cellStyle name="Input [yellow] 4 4 15" xfId="15083"/>
    <cellStyle name="Input [yellow] 4 4 16" xfId="15084"/>
    <cellStyle name="Input [yellow] 4 4 17" xfId="15085"/>
    <cellStyle name="Input [yellow] 4 4 2 2 2" xfId="15086"/>
    <cellStyle name="标题 3 3 3 5" xfId="15087"/>
    <cellStyle name="Input [yellow] 4 4 3 2" xfId="15088"/>
    <cellStyle name="origAmountCrD 11 2 2 10" xfId="15089"/>
    <cellStyle name="标题 3 3 3 6" xfId="15090"/>
    <cellStyle name="Input [yellow] 4 4 3 3" xfId="15091"/>
    <cellStyle name="origAmountCrD 11 2 2 11" xfId="15092"/>
    <cellStyle name="Input [yellow] 4 4 4" xfId="15093"/>
    <cellStyle name="Input [yellow] 4 4 5" xfId="15094"/>
    <cellStyle name="Input [yellow] 4 4 6" xfId="15095"/>
    <cellStyle name="Input [yellow] 4 4 7" xfId="15096"/>
    <cellStyle name="Input [yellow] 4 4 8" xfId="15097"/>
    <cellStyle name="Input [yellow] 4 4 9" xfId="15098"/>
    <cellStyle name="Input [yellow] 4 5" xfId="15099"/>
    <cellStyle name="注释 2 4 10" xfId="15100"/>
    <cellStyle name="Input [yellow] 4 6" xfId="15101"/>
    <cellStyle name="注释 2 4 11" xfId="15102"/>
    <cellStyle name="Input [yellow] 5 10" xfId="15103"/>
    <cellStyle name="Input [yellow] 5 11" xfId="15104"/>
    <cellStyle name="Input [yellow] 5 12" xfId="15105"/>
    <cellStyle name="Input [yellow] 5 13" xfId="15106"/>
    <cellStyle name="Input [yellow] 5 14" xfId="15107"/>
    <cellStyle name="Input [yellow] 5 15" xfId="15108"/>
    <cellStyle name="好 2 2 3 2 2" xfId="15109"/>
    <cellStyle name="Input [yellow] 5 16" xfId="15110"/>
    <cellStyle name="Input [yellow] 5 2" xfId="15111"/>
    <cellStyle name="标题1 6 11" xfId="15112"/>
    <cellStyle name="Input [yellow] 5 2 10" xfId="15113"/>
    <cellStyle name="标题1 6 12" xfId="15114"/>
    <cellStyle name="Input [yellow] 5 2 11" xfId="15115"/>
    <cellStyle name="标题1 6 13" xfId="15116"/>
    <cellStyle name="Input [yellow] 5 2 12" xfId="15117"/>
    <cellStyle name="标题1 6 14" xfId="15118"/>
    <cellStyle name="Input [yellow] 5 2 13" xfId="15119"/>
    <cellStyle name="标题1 6 15" xfId="15120"/>
    <cellStyle name="Input [yellow] 5 2 14" xfId="15121"/>
    <cellStyle name="常规 8 3 2" xfId="15122"/>
    <cellStyle name="标题1 6 16" xfId="15123"/>
    <cellStyle name="Input [yellow] 5 2 15" xfId="15124"/>
    <cellStyle name="常规 8 3 3" xfId="15125"/>
    <cellStyle name="标题1 6 17" xfId="15126"/>
    <cellStyle name="Input [yellow] 5 2 16" xfId="15127"/>
    <cellStyle name="常规 8 3 4" xfId="15128"/>
    <cellStyle name="Input [yellow] 5 2 17" xfId="15129"/>
    <cellStyle name="Input [yellow] 5 2 2 2 2" xfId="15130"/>
    <cellStyle name="输出 2 3 5 6" xfId="15131"/>
    <cellStyle name="Input [yellow] 5 2 6" xfId="15132"/>
    <cellStyle name="Input [yellow] 5 2 7" xfId="15133"/>
    <cellStyle name="Input [yellow] 5 2 8" xfId="15134"/>
    <cellStyle name="Input [yellow] 5 2 9" xfId="15135"/>
    <cellStyle name="常规 36 2 10" xfId="15136"/>
    <cellStyle name="常规 41 2 10" xfId="15137"/>
    <cellStyle name="Input [yellow] 5 3" xfId="15138"/>
    <cellStyle name="常规 36 2 11" xfId="15139"/>
    <cellStyle name="常规 41 2 11" xfId="15140"/>
    <cellStyle name="Input [yellow] 5 4" xfId="15141"/>
    <cellStyle name="常规 36 2 12" xfId="15142"/>
    <cellStyle name="常规 41 2 12" xfId="15143"/>
    <cellStyle name="Input [yellow] 5 5" xfId="15144"/>
    <cellStyle name="常规 36 2 13" xfId="15145"/>
    <cellStyle name="常规 41 2 13" xfId="15146"/>
    <cellStyle name="Input [yellow] 5 6" xfId="15147"/>
    <cellStyle name="常规 36 2 14" xfId="15148"/>
    <cellStyle name="常规 41 2 14" xfId="15149"/>
    <cellStyle name="origAmountCrD 9 2 2 10" xfId="15150"/>
    <cellStyle name="Input [yellow] 5 7" xfId="15151"/>
    <cellStyle name="常规 36 2 15" xfId="15152"/>
    <cellStyle name="常规 41 2 15" xfId="15153"/>
    <cellStyle name="origAmountCrD 9 2 2 11" xfId="15154"/>
    <cellStyle name="Input [yellow] 5 8" xfId="15155"/>
    <cellStyle name="常规 36 2 16" xfId="15156"/>
    <cellStyle name="常规 41 2 16" xfId="15157"/>
    <cellStyle name="origAmountCrD 9 2 2 12" xfId="15158"/>
    <cellStyle name="Input [yellow] 5 9" xfId="15159"/>
    <cellStyle name="Input [yellow] 6 2" xfId="15160"/>
    <cellStyle name="Input [yellow] 6 2 13" xfId="15161"/>
    <cellStyle name="Input Cells 10" xfId="15162"/>
    <cellStyle name="Input [yellow] 6 2 14" xfId="15163"/>
    <cellStyle name="Input Cells 11" xfId="15164"/>
    <cellStyle name="常规 14 2 16" xfId="15165"/>
    <cellStyle name="Input [yellow] 6 2 2" xfId="15166"/>
    <cellStyle name="Input [yellow] 6 2 2 11" xfId="15167"/>
    <cellStyle name="Input [yellow] 6 2 2 12" xfId="15168"/>
    <cellStyle name="Input [yellow] 6 2 2 2 2" xfId="15169"/>
    <cellStyle name="Input [yellow] 6 2 2 7" xfId="15170"/>
    <cellStyle name="Input [yellow] 6 2 2 8" xfId="15171"/>
    <cellStyle name="常规 109 5 2 2" xfId="15172"/>
    <cellStyle name="常规 114 5 2 2" xfId="15173"/>
    <cellStyle name="Input [yellow] 6 2 2 9" xfId="15174"/>
    <cellStyle name="常规 14 2 17" xfId="15175"/>
    <cellStyle name="Input [yellow] 6 2 3" xfId="15176"/>
    <cellStyle name="Input [yellow] 6 2 3 2" xfId="15177"/>
    <cellStyle name="Input [yellow] 6 2 3 3" xfId="15178"/>
    <cellStyle name="常规 14 2 18" xfId="15179"/>
    <cellStyle name="Input [yellow] 6 2 4" xfId="15180"/>
    <cellStyle name="Input [yellow] 6 2 5" xfId="15181"/>
    <cellStyle name="Input [yellow] 6 2 6" xfId="15182"/>
    <cellStyle name="Input [yellow] 6 2 7" xfId="15183"/>
    <cellStyle name="Input [yellow] 6 2 9" xfId="15184"/>
    <cellStyle name="Input [yellow] 6 3" xfId="15185"/>
    <cellStyle name="Input [yellow] 6 4" xfId="15186"/>
    <cellStyle name="Input [yellow] 7 10" xfId="15187"/>
    <cellStyle name="Input [yellow] 7 11" xfId="15188"/>
    <cellStyle name="Input [yellow] 7 12" xfId="15189"/>
    <cellStyle name="标题1 9 13" xfId="15190"/>
    <cellStyle name="Input [yellow] 7 2" xfId="15191"/>
    <cellStyle name="Input [yellow] 7 2 13" xfId="15192"/>
    <cellStyle name="Input [yellow] 7 2 14" xfId="15193"/>
    <cellStyle name="Input [yellow] 7 2 15" xfId="15194"/>
    <cellStyle name="输出 2 3 10" xfId="15195"/>
    <cellStyle name="Input [yellow] 7 2 16" xfId="15196"/>
    <cellStyle name="输出 2 3 11" xfId="15197"/>
    <cellStyle name="Input [yellow] 7 2 17" xfId="15198"/>
    <cellStyle name="输出 2 3 12" xfId="15199"/>
    <cellStyle name="Input [yellow] 7 2 2" xfId="15200"/>
    <cellStyle name="Input [yellow] 7 2 2 10" xfId="15201"/>
    <cellStyle name="商品名称 7 2" xfId="15202"/>
    <cellStyle name="Input [yellow] 7 2 2 11" xfId="15203"/>
    <cellStyle name="商品名称 7 3" xfId="15204"/>
    <cellStyle name="Input [yellow] 7 2 2 12" xfId="15205"/>
    <cellStyle name="Input [yellow] 7 2 2 2" xfId="15206"/>
    <cellStyle name="Input [yellow] 7 2 2 2 2" xfId="15207"/>
    <cellStyle name="Input [yellow] 7 2 2 3" xfId="15208"/>
    <cellStyle name="Input [yellow] 7 2 2 6" xfId="15209"/>
    <cellStyle name="Input [yellow] 7 2 2 7" xfId="15210"/>
    <cellStyle name="Input [yellow] 7 2 2 8" xfId="15211"/>
    <cellStyle name="常规 115 5 2 2" xfId="15212"/>
    <cellStyle name="常规 120 5 2 2" xfId="15213"/>
    <cellStyle name="Input [yellow] 7 2 2 9" xfId="15214"/>
    <cellStyle name="Input [yellow] 7 2 3" xfId="15215"/>
    <cellStyle name="输出 2 3 2" xfId="15216"/>
    <cellStyle name="Input [yellow] 7 2 3 2" xfId="15217"/>
    <cellStyle name="标题1 10 14" xfId="15218"/>
    <cellStyle name="输出 2 3 2 2" xfId="15219"/>
    <cellStyle name="汇总 2 28" xfId="15220"/>
    <cellStyle name="Input [yellow] 7 2 3 3" xfId="15221"/>
    <cellStyle name="标题1 10 15" xfId="15222"/>
    <cellStyle name="输出 2 3 2 3" xfId="15223"/>
    <cellStyle name="汇总 2 29" xfId="15224"/>
    <cellStyle name="Input [yellow] 7 2 4" xfId="15225"/>
    <cellStyle name="输出 2 3 3" xfId="15226"/>
    <cellStyle name="Input [yellow] 7 2 5" xfId="15227"/>
    <cellStyle name="输出 2 3 4" xfId="15228"/>
    <cellStyle name="常规 2 2 2" xfId="15229"/>
    <cellStyle name="Input [yellow] 7 2 6" xfId="15230"/>
    <cellStyle name="输出 2 3 5" xfId="15231"/>
    <cellStyle name="常规 2 2 3" xfId="15232"/>
    <cellStyle name="Input [yellow] 7 2 7" xfId="15233"/>
    <cellStyle name="输出 2 3 6" xfId="15234"/>
    <cellStyle name="常规 2 2 4" xfId="15235"/>
    <cellStyle name="输入 3 2 5 2 10" xfId="15236"/>
    <cellStyle name="Input [yellow] 7 2 8" xfId="15237"/>
    <cellStyle name="输出 2 3 7" xfId="15238"/>
    <cellStyle name="常规 2 2 5" xfId="15239"/>
    <cellStyle name="输入 3 2 5 2 11" xfId="15240"/>
    <cellStyle name="Input [yellow] 7 2 9" xfId="15241"/>
    <cellStyle name="输出 2 3 8" xfId="15242"/>
    <cellStyle name="常规 2 2 6" xfId="15243"/>
    <cellStyle name="标题1 9 14" xfId="15244"/>
    <cellStyle name="Input [yellow] 7 3" xfId="15245"/>
    <cellStyle name="Input [yellow] 7 3 2" xfId="15246"/>
    <cellStyle name="Input [yellow] 7 3 3" xfId="15247"/>
    <cellStyle name="输出 2 4 2" xfId="15248"/>
    <cellStyle name="标题1 9 15" xfId="15249"/>
    <cellStyle name="Input [yellow] 7 4" xfId="15250"/>
    <cellStyle name="PSInt 18" xfId="15251"/>
    <cellStyle name="origAmountCrD 2 4 2 10" xfId="15252"/>
    <cellStyle name="标题1 9 16" xfId="15253"/>
    <cellStyle name="Input [yellow] 7 5" xfId="15254"/>
    <cellStyle name="origAmountCrD 2 4 2 11" xfId="15255"/>
    <cellStyle name="标题1 9 17" xfId="15256"/>
    <cellStyle name="Input [yellow] 7 6" xfId="15257"/>
    <cellStyle name="常规 156 10" xfId="15258"/>
    <cellStyle name="常规 161 10" xfId="15259"/>
    <cellStyle name="origAmountCrD 2 4 2 12" xfId="15260"/>
    <cellStyle name="Input [yellow] 7 7" xfId="15261"/>
    <cellStyle name="Input [yellow] 7 8" xfId="15262"/>
    <cellStyle name="Input [yellow] 7 9" xfId="15263"/>
    <cellStyle name="表标题 12" xfId="15264"/>
    <cellStyle name="Input [yellow] 8 2 13" xfId="15265"/>
    <cellStyle name="origAmountCrD 2 4 6" xfId="15266"/>
    <cellStyle name="表标题 13" xfId="15267"/>
    <cellStyle name="Input [yellow] 8 2 14" xfId="15268"/>
    <cellStyle name="origAmountCrD 2 4 7" xfId="15269"/>
    <cellStyle name="Input [yellow] 8 2 15" xfId="15270"/>
    <cellStyle name="输出 3 3 10" xfId="15271"/>
    <cellStyle name="表标题 14" xfId="15272"/>
    <cellStyle name="origAmountCrD 2 4 8" xfId="15273"/>
    <cellStyle name="Input [yellow] 8 2 16" xfId="15274"/>
    <cellStyle name="输出 3 3 11" xfId="15275"/>
    <cellStyle name="表标题 15" xfId="15276"/>
    <cellStyle name="origAmountCrD 2 4 9" xfId="15277"/>
    <cellStyle name="Input [yellow] 8 2 17" xfId="15278"/>
    <cellStyle name="输出 3 3 12" xfId="15279"/>
    <cellStyle name="表标题 16" xfId="15280"/>
    <cellStyle name="常规 125 2 2 3 2" xfId="15281"/>
    <cellStyle name="常规 130 2 2 3 2" xfId="15282"/>
    <cellStyle name="Input [yellow] 8 2 2 10" xfId="15283"/>
    <cellStyle name="编号 4 13" xfId="15284"/>
    <cellStyle name="origAmountDrD 12 12" xfId="15285"/>
    <cellStyle name="常规 125 2 2 3 3" xfId="15286"/>
    <cellStyle name="常规 130 2 2 3 3" xfId="15287"/>
    <cellStyle name="Input [yellow] 8 2 2 11" xfId="15288"/>
    <cellStyle name="编号 4 14" xfId="15289"/>
    <cellStyle name="origAmountDrD 12 13" xfId="15290"/>
    <cellStyle name="Input [yellow] 8 2 2 2" xfId="15291"/>
    <cellStyle name="计算 3 2 12 8" xfId="15292"/>
    <cellStyle name="Input [yellow] 8 2 2 2 2" xfId="15293"/>
    <cellStyle name="Input [yellow] 8 2 2 3" xfId="15294"/>
    <cellStyle name="Input [yellow] 8 2 2 6" xfId="15295"/>
    <cellStyle name="表标题 2 2" xfId="15296"/>
    <cellStyle name="Input [yellow] 8 2 2 7" xfId="15297"/>
    <cellStyle name="表标题 2 3" xfId="15298"/>
    <cellStyle name="Input [yellow] 8 2 2 8" xfId="15299"/>
    <cellStyle name="常规 116 5 2 2" xfId="15300"/>
    <cellStyle name="常规 121 5 2 2" xfId="15301"/>
    <cellStyle name="表标题 2 4" xfId="15302"/>
    <cellStyle name="Input [yellow] 8 2 2 9" xfId="15303"/>
    <cellStyle name="Input [yellow] 8 2 3 2" xfId="15304"/>
    <cellStyle name="输出 3 3 2 2" xfId="15305"/>
    <cellStyle name="Input [yellow] 8 2 3 3" xfId="15306"/>
    <cellStyle name="输出 3 3 2 3" xfId="15307"/>
    <cellStyle name="Input [yellow] 8 2 6" xfId="15308"/>
    <cellStyle name="输出 3 3 5" xfId="15309"/>
    <cellStyle name="常规 3 2 3" xfId="15310"/>
    <cellStyle name="Input [yellow] 8 2 7" xfId="15311"/>
    <cellStyle name="输出 3 3 6" xfId="15312"/>
    <cellStyle name="常规 3 2 4" xfId="15313"/>
    <cellStyle name="Input [yellow] 8 2 8" xfId="15314"/>
    <cellStyle name="输出 3 3 7" xfId="15315"/>
    <cellStyle name="常规 3 2 5" xfId="15316"/>
    <cellStyle name="Input [yellow] 8 2 9" xfId="15317"/>
    <cellStyle name="输出 3 3 8" xfId="15318"/>
    <cellStyle name="常规 3 2 6" xfId="15319"/>
    <cellStyle name="Input [yellow] 8 6" xfId="15320"/>
    <cellStyle name="Input [yellow] 8 7" xfId="15321"/>
    <cellStyle name="Input [yellow] 8 8" xfId="15322"/>
    <cellStyle name="Input [yellow] 9 12" xfId="15323"/>
    <cellStyle name="Input [yellow] 9 2" xfId="15324"/>
    <cellStyle name="汇总 3 5 9" xfId="15325"/>
    <cellStyle name="常规 12 2 2" xfId="15326"/>
    <cellStyle name="Input [yellow] 9 2 17" xfId="15327"/>
    <cellStyle name="Input [yellow] 9 2 2" xfId="15328"/>
    <cellStyle name="Input [yellow] 9 2 2 10" xfId="15329"/>
    <cellStyle name="Input [yellow] 9 2 2 11" xfId="15330"/>
    <cellStyle name="Input [yellow] 9 2 2 12" xfId="15331"/>
    <cellStyle name="Input [yellow] 9 2 2 2" xfId="15332"/>
    <cellStyle name="Input [yellow] 9 2 2 2 2" xfId="15333"/>
    <cellStyle name="Input [yellow] 9 2 2 3" xfId="15334"/>
    <cellStyle name="Input [yellow] 9 2 2 4" xfId="15335"/>
    <cellStyle name="Input [yellow] 9 2 2 5" xfId="15336"/>
    <cellStyle name="Input [yellow] 9 2 2 6" xfId="15337"/>
    <cellStyle name="Input [yellow] 9 2 2 7" xfId="15338"/>
    <cellStyle name="Input [yellow] 9 2 2 8" xfId="15339"/>
    <cellStyle name="常规 117 5 2 2" xfId="15340"/>
    <cellStyle name="常规 122 5 2 2" xfId="15341"/>
    <cellStyle name="Input [yellow] 9 2 2 9" xfId="15342"/>
    <cellStyle name="Input [yellow] 9 2 3" xfId="15343"/>
    <cellStyle name="Input [yellow] 9 2 3 2" xfId="15344"/>
    <cellStyle name="Input [yellow] 9 2 3 3" xfId="15345"/>
    <cellStyle name="Input [yellow] 9 2 4" xfId="15346"/>
    <cellStyle name="常规 4 2 2" xfId="15347"/>
    <cellStyle name="Input [yellow] 9 2 5" xfId="15348"/>
    <cellStyle name="常规 4 2 3" xfId="15349"/>
    <cellStyle name="Input [yellow] 9 2 6" xfId="15350"/>
    <cellStyle name="常规 4 2 4" xfId="15351"/>
    <cellStyle name="Input [yellow] 9 2 7" xfId="15352"/>
    <cellStyle name="常规 4 2 5" xfId="15353"/>
    <cellStyle name="Input [yellow] 9 2 8" xfId="15354"/>
    <cellStyle name="常规 4 2 6" xfId="15355"/>
    <cellStyle name="Input [yellow] 9 2 9" xfId="15356"/>
    <cellStyle name="标题 2 2 10" xfId="15357"/>
    <cellStyle name="Input [yellow] 9 3" xfId="15358"/>
    <cellStyle name="Input [yellow] 9 3 2" xfId="15359"/>
    <cellStyle name="标题 2 2 11" xfId="15360"/>
    <cellStyle name="Input [yellow] 9 4" xfId="15361"/>
    <cellStyle name="注释 2 5 10" xfId="15362"/>
    <cellStyle name="标题 2 2 12" xfId="15363"/>
    <cellStyle name="Input [yellow] 9 5" xfId="15364"/>
    <cellStyle name="注释 2 5 11" xfId="15365"/>
    <cellStyle name="标题 2 2 13" xfId="15366"/>
    <cellStyle name="Input [yellow] 9 6" xfId="15367"/>
    <cellStyle name="注释 2 5 12" xfId="15368"/>
    <cellStyle name="标题 2 2 14" xfId="15369"/>
    <cellStyle name="Input [yellow] 9 7" xfId="15370"/>
    <cellStyle name="注释 2 5 13" xfId="15371"/>
    <cellStyle name="标题 2 2 15" xfId="15372"/>
    <cellStyle name="标题 2 2 20" xfId="15373"/>
    <cellStyle name="Input [yellow] 9 8" xfId="15374"/>
    <cellStyle name="Input Cells" xfId="15375"/>
    <cellStyle name="常规 97 5" xfId="15376"/>
    <cellStyle name="好 2 15" xfId="15377"/>
    <cellStyle name="好 2 20" xfId="15378"/>
    <cellStyle name="Input Cells 2" xfId="15379"/>
    <cellStyle name="Input Cells 2 10" xfId="15380"/>
    <cellStyle name="输入 3 3 2 2" xfId="15381"/>
    <cellStyle name="Input Cells 2 11" xfId="15382"/>
    <cellStyle name="输入 3 3 2 3" xfId="15383"/>
    <cellStyle name="Input Cells 2 12" xfId="15384"/>
    <cellStyle name="输入 3 3 2 4" xfId="15385"/>
    <cellStyle name="Input Cells 2 13" xfId="15386"/>
    <cellStyle name="输入 3 3 2 5" xfId="15387"/>
    <cellStyle name="Input Cells 2 14" xfId="15388"/>
    <cellStyle name="输入 3 3 2 6" xfId="15389"/>
    <cellStyle name="Input Cells 2 15" xfId="15390"/>
    <cellStyle name="输入 3 3 2 7" xfId="15391"/>
    <cellStyle name="Input Cells 2 16" xfId="15392"/>
    <cellStyle name="输入 3 3 2 8" xfId="15393"/>
    <cellStyle name="Input Cells 2 17" xfId="15394"/>
    <cellStyle name="输入 3 3 2 9" xfId="15395"/>
    <cellStyle name="常规 97 5 2 2" xfId="15396"/>
    <cellStyle name="Input Cells 2 2 2" xfId="15397"/>
    <cellStyle name="Input Cells 2 4" xfId="15398"/>
    <cellStyle name="Input Cells 2 5" xfId="15399"/>
    <cellStyle name="Input Cells 2 6" xfId="15400"/>
    <cellStyle name="Input Cells 2 7" xfId="15401"/>
    <cellStyle name="Input Cells 2 8" xfId="15402"/>
    <cellStyle name="Input Cells 2 9" xfId="15403"/>
    <cellStyle name="编号 11 9" xfId="15404"/>
    <cellStyle name="Input Cells 3 2" xfId="15405"/>
    <cellStyle name="好_Book1 2 2" xfId="15406"/>
    <cellStyle name="常规 97 8" xfId="15407"/>
    <cellStyle name="好 2 18" xfId="15408"/>
    <cellStyle name="Input Cells 5" xfId="15409"/>
    <cellStyle name="好_Book1 2 3" xfId="15410"/>
    <cellStyle name="常规 97 9" xfId="15411"/>
    <cellStyle name="好 2 19" xfId="15412"/>
    <cellStyle name="Input Cells 6" xfId="15413"/>
    <cellStyle name="好_Book1 2 4" xfId="15414"/>
    <cellStyle name="Input Cells 7" xfId="15415"/>
    <cellStyle name="Linked Cells 15" xfId="15416"/>
    <cellStyle name="Linked Cells 16" xfId="15417"/>
    <cellStyle name="Linked Cells 17" xfId="15418"/>
    <cellStyle name="Linked Cells 18" xfId="15419"/>
    <cellStyle name="常规 99 5 2 3" xfId="15420"/>
    <cellStyle name="Linked Cells 2 13" xfId="15421"/>
    <cellStyle name="origAmountCrD 3 16" xfId="15422"/>
    <cellStyle name="origAmountCrD 3 21" xfId="15423"/>
    <cellStyle name="Linked Cells 2 14" xfId="15424"/>
    <cellStyle name="origAmountCrD 3 17" xfId="15425"/>
    <cellStyle name="Linked Cells 2 15" xfId="15426"/>
    <cellStyle name="origAmountCrD 3 18" xfId="15427"/>
    <cellStyle name="Linked Cells 2 16" xfId="15428"/>
    <cellStyle name="origAmountCrD 3 19" xfId="15429"/>
    <cellStyle name="Linked Cells 2 17" xfId="15430"/>
    <cellStyle name="origAmountCrD 12 3 2 2" xfId="15431"/>
    <cellStyle name="Linked Cells 2 2" xfId="15432"/>
    <cellStyle name="Linked Cells 2 3" xfId="15433"/>
    <cellStyle name="Linked Cells 2 4" xfId="15434"/>
    <cellStyle name="Linked Cells 2 5" xfId="15435"/>
    <cellStyle name="Linked Cells 2 6" xfId="15436"/>
    <cellStyle name="Linked Cells 2 7" xfId="15437"/>
    <cellStyle name="Linked Cells 2 8" xfId="15438"/>
    <cellStyle name="Linked Cells 2 9" xfId="15439"/>
    <cellStyle name="输出 2 2 7 2 6" xfId="15440"/>
    <cellStyle name="Millares [0]_96 Risk" xfId="15441"/>
    <cellStyle name="Milliers_!!!GO" xfId="15442"/>
    <cellStyle name="计算 2 2 4 16" xfId="15443"/>
    <cellStyle name="Moneda [0]_96 Risk" xfId="15444"/>
    <cellStyle name="Mon閠aire [0]_!!!GO" xfId="15445"/>
    <cellStyle name="输出 2 5 2 10" xfId="15446"/>
    <cellStyle name="汇总 3 2 4 2 6" xfId="15447"/>
    <cellStyle name="常规 136 2 16" xfId="15448"/>
    <cellStyle name="常规 141 2 16" xfId="15449"/>
    <cellStyle name="New Times Roman 11" xfId="15450"/>
    <cellStyle name="常规 136 2 17" xfId="15451"/>
    <cellStyle name="常规 141 2 17" xfId="15452"/>
    <cellStyle name="New Times Roman 12" xfId="15453"/>
    <cellStyle name="常规 136 2 18" xfId="15454"/>
    <cellStyle name="常规 141 2 18" xfId="15455"/>
    <cellStyle name="New Times Roman 13" xfId="15456"/>
    <cellStyle name="New Times Roman 15" xfId="15457"/>
    <cellStyle name="New Times Roman 16" xfId="15458"/>
    <cellStyle name="New Times Roman 17" xfId="15459"/>
    <cellStyle name="常规 136 2 3" xfId="15460"/>
    <cellStyle name="常规 141 2 3" xfId="15461"/>
    <cellStyle name="New Times Roman 2" xfId="15462"/>
    <cellStyle name="New Times Roman 2 10" xfId="15463"/>
    <cellStyle name="New Times Roman 2 11" xfId="15464"/>
    <cellStyle name="New Times Roman 2 12" xfId="15465"/>
    <cellStyle name="New Times Roman 2 2" xfId="15466"/>
    <cellStyle name="New Times Roman 2 3" xfId="15467"/>
    <cellStyle name="origAmountDrD 11 2 2 10" xfId="15468"/>
    <cellStyle name="常规 27 2 2 2" xfId="15469"/>
    <cellStyle name="常规 32 2 2 2" xfId="15470"/>
    <cellStyle name="New Times Roman 2 4" xfId="15471"/>
    <cellStyle name="origAmountDrD 11 2 2 11" xfId="15472"/>
    <cellStyle name="常规 27 2 2 3" xfId="15473"/>
    <cellStyle name="常规 32 2 2 3" xfId="15474"/>
    <cellStyle name="New Times Roman 2 5" xfId="15475"/>
    <cellStyle name="origAmountDrD 11 2 2 12" xfId="15476"/>
    <cellStyle name="常规 27 2 2 4" xfId="15477"/>
    <cellStyle name="常规 32 2 2 4" xfId="15478"/>
    <cellStyle name="New Times Roman 2 6" xfId="15479"/>
    <cellStyle name="输出 3 8 4" xfId="15480"/>
    <cellStyle name="常规 27 2 2 7" xfId="15481"/>
    <cellStyle name="常规 32 2 2 7" xfId="15482"/>
    <cellStyle name="New Times Roman 2 9" xfId="15483"/>
    <cellStyle name="常规 136 2 4" xfId="15484"/>
    <cellStyle name="常规 141 2 4" xfId="15485"/>
    <cellStyle name="New Times Roman 3" xfId="15486"/>
    <cellStyle name="常规 136 2 4 2" xfId="15487"/>
    <cellStyle name="常规 141 2 4 2" xfId="15488"/>
    <cellStyle name="New Times Roman 3 2" xfId="15489"/>
    <cellStyle name="常规 136 2 5" xfId="15490"/>
    <cellStyle name="常规 141 2 5" xfId="15491"/>
    <cellStyle name="New Times Roman 4" xfId="15492"/>
    <cellStyle name="常规 136 2 6" xfId="15493"/>
    <cellStyle name="常规 141 2 6" xfId="15494"/>
    <cellStyle name="New Times Roman 5" xfId="15495"/>
    <cellStyle name="常规 136 2 7" xfId="15496"/>
    <cellStyle name="常规 141 2 7" xfId="15497"/>
    <cellStyle name="New Times Roman 6" xfId="15498"/>
    <cellStyle name="常规 136 2 8" xfId="15499"/>
    <cellStyle name="常规 141 2 8" xfId="15500"/>
    <cellStyle name="New Times Roman 7" xfId="15501"/>
    <cellStyle name="常规 136 2 9" xfId="15502"/>
    <cellStyle name="常规 141 2 9" xfId="15503"/>
    <cellStyle name="New Times Roman 8" xfId="15504"/>
    <cellStyle name="New Times Roman 9" xfId="15505"/>
    <cellStyle name="常规 116 2 2 2" xfId="15506"/>
    <cellStyle name="常规 121 2 2 2" xfId="15507"/>
    <cellStyle name="no dec 10" xfId="15508"/>
    <cellStyle name="常规 116 2 2 3" xfId="15509"/>
    <cellStyle name="常规 121 2 2 3" xfId="15510"/>
    <cellStyle name="no dec 11" xfId="15511"/>
    <cellStyle name="常规 116 2 2 4" xfId="15512"/>
    <cellStyle name="常规 121 2 2 4" xfId="15513"/>
    <cellStyle name="no dec 12" xfId="15514"/>
    <cellStyle name="常规 116 2 2 5" xfId="15515"/>
    <cellStyle name="常规 121 2 2 5" xfId="15516"/>
    <cellStyle name="no dec 13" xfId="15517"/>
    <cellStyle name="常规 116 2 2 6" xfId="15518"/>
    <cellStyle name="常规 121 2 2 6" xfId="15519"/>
    <cellStyle name="no dec 14" xfId="15520"/>
    <cellStyle name="常规 116 2 2 7" xfId="15521"/>
    <cellStyle name="常规 121 2 2 7" xfId="15522"/>
    <cellStyle name="no dec 15" xfId="15523"/>
    <cellStyle name="常规 116 2 2 8" xfId="15524"/>
    <cellStyle name="常规 121 2 2 8" xfId="15525"/>
    <cellStyle name="no dec 16" xfId="15526"/>
    <cellStyle name="常规 116 2 2 9" xfId="15527"/>
    <cellStyle name="常规 121 2 2 9" xfId="15528"/>
    <cellStyle name="no dec 17" xfId="15529"/>
    <cellStyle name="no dec 18" xfId="15530"/>
    <cellStyle name="no dec 19" xfId="15531"/>
    <cellStyle name="no dec 2 10" xfId="15532"/>
    <cellStyle name="no dec 2 11" xfId="15533"/>
    <cellStyle name="no dec 2 12" xfId="15534"/>
    <cellStyle name="no dec 2 13" xfId="15535"/>
    <cellStyle name="no dec 2 14" xfId="15536"/>
    <cellStyle name="no dec 2 16" xfId="15537"/>
    <cellStyle name="no dec 2 17" xfId="15538"/>
    <cellStyle name="no dec 2 18" xfId="15539"/>
    <cellStyle name="常规 168 3 3" xfId="15540"/>
    <cellStyle name="常规 173 3 3" xfId="15541"/>
    <cellStyle name="no dec 2 2" xfId="15542"/>
    <cellStyle name="no dec 2 3" xfId="15543"/>
    <cellStyle name="no dec 2 3 2" xfId="15544"/>
    <cellStyle name="no dec 2 3 2 2" xfId="15545"/>
    <cellStyle name="no dec 2 3 3" xfId="15546"/>
    <cellStyle name="no dec 2 4" xfId="15547"/>
    <cellStyle name="no dec 2 5" xfId="15548"/>
    <cellStyle name="no dec 4" xfId="15549"/>
    <cellStyle name="输出 2 4 2 11" xfId="15550"/>
    <cellStyle name="常规 116 2 2 12" xfId="15551"/>
    <cellStyle name="常规 121 2 2 12" xfId="15552"/>
    <cellStyle name="no dec 4 2" xfId="15553"/>
    <cellStyle name="常规 16 3 9" xfId="15554"/>
    <cellStyle name="常规 21 3 9" xfId="15555"/>
    <cellStyle name="no dec 4 2 2" xfId="15556"/>
    <cellStyle name="no dec 4 2 3" xfId="15557"/>
    <cellStyle name="输出 2 4 2 12" xfId="15558"/>
    <cellStyle name="常规 116 2 2 13" xfId="15559"/>
    <cellStyle name="常规 121 2 2 13" xfId="15560"/>
    <cellStyle name="no dec 4 3" xfId="15561"/>
    <cellStyle name="no dec 5" xfId="15562"/>
    <cellStyle name="no dec 6" xfId="15563"/>
    <cellStyle name="no dec 7" xfId="15564"/>
    <cellStyle name="no dec 8" xfId="15565"/>
    <cellStyle name="常规 4 2 2 2" xfId="15566"/>
    <cellStyle name="no dec 9" xfId="15567"/>
    <cellStyle name="Normal - Style1" xfId="15568"/>
    <cellStyle name="Normal - Style1 2" xfId="15569"/>
    <cellStyle name="Normal - Style1 2 11" xfId="15570"/>
    <cellStyle name="Normal - Style1 2 12" xfId="15571"/>
    <cellStyle name="Normal - Style1 2 13" xfId="15572"/>
    <cellStyle name="Normal - Style1 2 14" xfId="15573"/>
    <cellStyle name="Normal - Style1 2 15" xfId="15574"/>
    <cellStyle name="Normal - Style1 2 16" xfId="15575"/>
    <cellStyle name="Normal - Style1 2 17" xfId="15576"/>
    <cellStyle name="Normal - Style1 2 2" xfId="15577"/>
    <cellStyle name="Normal - Style1 2 5" xfId="15578"/>
    <cellStyle name="Normal - Style1 2 6" xfId="15579"/>
    <cellStyle name="Normal - Style1 2 7" xfId="15580"/>
    <cellStyle name="Normal - Style1 2 8" xfId="15581"/>
    <cellStyle name="Normal - Style1 3" xfId="15582"/>
    <cellStyle name="Normal - Style1 3 2" xfId="15583"/>
    <cellStyle name="origAmountCrD 5 2 4" xfId="15584"/>
    <cellStyle name="Normal - Style1 3 3" xfId="15585"/>
    <cellStyle name="origAmountCrD 5 2 5" xfId="15586"/>
    <cellStyle name="Normal - Style1 4" xfId="15587"/>
    <cellStyle name="常规 10 3 5" xfId="15588"/>
    <cellStyle name="origAmountDrD 2 4" xfId="15589"/>
    <cellStyle name="Normal_!!!GO" xfId="15590"/>
    <cellStyle name="常规 129 4" xfId="15591"/>
    <cellStyle name="常规 134 4" xfId="15592"/>
    <cellStyle name="Normal_Book1" xfId="15593"/>
    <cellStyle name="常规 104 2 2 3 2 2" xfId="15594"/>
    <cellStyle name="origAmountCrD" xfId="15595"/>
    <cellStyle name="origAmountDrD 3 2 15" xfId="15596"/>
    <cellStyle name="origAmountCrD 10 2" xfId="15597"/>
    <cellStyle name="origAmountCrD 10 2 10" xfId="15598"/>
    <cellStyle name="常规 147 2 2 3 2 2" xfId="15599"/>
    <cellStyle name="常规 152 2 2 3 2 2" xfId="15600"/>
    <cellStyle name="origAmountCrD 10 2 11" xfId="15601"/>
    <cellStyle name="常规 147 2 2 3 2 3" xfId="15602"/>
    <cellStyle name="常规 152 2 2 3 2 3" xfId="15603"/>
    <cellStyle name="origAmountCrD 10 2 12" xfId="15604"/>
    <cellStyle name="origAmountCrD 10 2 13" xfId="15605"/>
    <cellStyle name="t_HVAC Equipment (3) 10" xfId="15606"/>
    <cellStyle name="origAmountCrD 10 2 14" xfId="15607"/>
    <cellStyle name="t_HVAC Equipment (3) 11" xfId="15608"/>
    <cellStyle name="origAmountCrD 10 2 15" xfId="15609"/>
    <cellStyle name="t_HVAC Equipment (3) 12" xfId="15610"/>
    <cellStyle name="origAmountCrD 10 2 16" xfId="15611"/>
    <cellStyle name="t_HVAC Equipment (3) 13" xfId="15612"/>
    <cellStyle name="origAmountCrD 10 2 17" xfId="15613"/>
    <cellStyle name="origAmountCrD 10 2 2" xfId="15614"/>
    <cellStyle name="origAmountCrD 10 2 2 2" xfId="15615"/>
    <cellStyle name="origAmountCrD 10 2 2 3" xfId="15616"/>
    <cellStyle name="origAmountCrD 10 2 2 4" xfId="15617"/>
    <cellStyle name="origAmountCrD 10 2 2 5" xfId="15618"/>
    <cellStyle name="origAmountCrD 10 2 2 6" xfId="15619"/>
    <cellStyle name="origAmountCrD 10 2 2 7" xfId="15620"/>
    <cellStyle name="origAmountCrD 10 2 2 8" xfId="15621"/>
    <cellStyle name="origAmountCrD 10 2 2 9" xfId="15622"/>
    <cellStyle name="origAmountCrD 10 2 3" xfId="15623"/>
    <cellStyle name="t_HVAC Equipment (3) 2 7" xfId="15624"/>
    <cellStyle name="origAmountCrD 10 2 3 2" xfId="15625"/>
    <cellStyle name="t_HVAC Equipment (3) 2 8" xfId="15626"/>
    <cellStyle name="origAmountCrD 10 2 3 3" xfId="15627"/>
    <cellStyle name="origAmountCrD 10 2 4" xfId="15628"/>
    <cellStyle name="origAmountCrD 10 2 5" xfId="15629"/>
    <cellStyle name="origAmountCrD 10 2 6" xfId="15630"/>
    <cellStyle name="origAmountCrD 10 2 7" xfId="15631"/>
    <cellStyle name="origAmountCrD 10 2 8" xfId="15632"/>
    <cellStyle name="origAmountCrD 10 2 9" xfId="15633"/>
    <cellStyle name="origAmountCrD 10 3 2 2" xfId="15634"/>
    <cellStyle name="origAmountCrD 10 3 2 3" xfId="15635"/>
    <cellStyle name="origAmountCrD 10 5" xfId="15636"/>
    <cellStyle name="origAmountCrD 10 6" xfId="15637"/>
    <cellStyle name="origAmountCrD 10 7" xfId="15638"/>
    <cellStyle name="origAmountCrD 10 8" xfId="15639"/>
    <cellStyle name="origAmountCrD 10 9" xfId="15640"/>
    <cellStyle name="origAmountCrD 11 10" xfId="15641"/>
    <cellStyle name="origAmountCrD 11 2" xfId="15642"/>
    <cellStyle name="origAmountCrD 11 2 10" xfId="15643"/>
    <cellStyle name="origAmountCrD 11 2 11" xfId="15644"/>
    <cellStyle name="origAmountCrD 11 2 12" xfId="15645"/>
    <cellStyle name="origAmountCrD 11 2 17" xfId="15646"/>
    <cellStyle name="商品名称 8 4" xfId="15647"/>
    <cellStyle name="origAmountCrD 11 2 2" xfId="15648"/>
    <cellStyle name="origAmountCrD 11 2 2 12" xfId="15649"/>
    <cellStyle name="origAmountCrD 11 2 2 2" xfId="15650"/>
    <cellStyle name="常规 78 3 17" xfId="15651"/>
    <cellStyle name="常规 83 3 17" xfId="15652"/>
    <cellStyle name="origAmountCrD 13 4" xfId="15653"/>
    <cellStyle name="origAmountCrD 11 2 2 2 2" xfId="15654"/>
    <cellStyle name="origAmountCrD 2 2 2 2 10" xfId="15655"/>
    <cellStyle name="origAmountCrD 11 2 2 3" xfId="15656"/>
    <cellStyle name="常规 78 3 18" xfId="15657"/>
    <cellStyle name="常规 83 3 18" xfId="15658"/>
    <cellStyle name="origAmountCrD 13 5" xfId="15659"/>
    <cellStyle name="origAmountCrD 2 2 2 2 11" xfId="15660"/>
    <cellStyle name="origAmountCrD 11 2 2 4" xfId="15661"/>
    <cellStyle name="origAmountCrD 13 6" xfId="15662"/>
    <cellStyle name="origAmountCrD 2 2 2 2 12" xfId="15663"/>
    <cellStyle name="origAmountCrD 11 2 2 5" xfId="15664"/>
    <cellStyle name="origAmountCrD 13 7" xfId="15665"/>
    <cellStyle name="origAmountCrD 11 2 2 6" xfId="15666"/>
    <cellStyle name="标题 3 3 10" xfId="15667"/>
    <cellStyle name="origAmountCrD 13 8" xfId="15668"/>
    <cellStyle name="origAmountCrD 11 2 2 7" xfId="15669"/>
    <cellStyle name="标题 3 3 11" xfId="15670"/>
    <cellStyle name="origAmountCrD 13 9" xfId="15671"/>
    <cellStyle name="origAmountCrD 11 2 2 8" xfId="15672"/>
    <cellStyle name="origAmountCrD 11 2 2 9" xfId="15673"/>
    <cellStyle name="常规 29 5 3" xfId="15674"/>
    <cellStyle name="常规 34 5 3" xfId="15675"/>
    <cellStyle name="origAmountCrD 11 2 3 2" xfId="15676"/>
    <cellStyle name="origAmountCrD 11 2 3 3" xfId="15677"/>
    <cellStyle name="商品名称 8 7" xfId="15678"/>
    <cellStyle name="常规 69 2 2 3 2 3" xfId="15679"/>
    <cellStyle name="常规 74 2 2 3 2 3" xfId="15680"/>
    <cellStyle name="origAmountCrD 11 2 5" xfId="15681"/>
    <cellStyle name="商品名称 8 8" xfId="15682"/>
    <cellStyle name="origAmountCrD 11 2 6" xfId="15683"/>
    <cellStyle name="商品名称 8 9" xfId="15684"/>
    <cellStyle name="origAmountCrD 11 2 7" xfId="15685"/>
    <cellStyle name="origAmountCrD 11 2 8" xfId="15686"/>
    <cellStyle name="origAmountCrD 11 2 9" xfId="15687"/>
    <cellStyle name="origAmountCrD 11 3" xfId="15688"/>
    <cellStyle name="商品名称 9 4" xfId="15689"/>
    <cellStyle name="origAmountCrD 11 3 2" xfId="15690"/>
    <cellStyle name="常规 158 2 5" xfId="15691"/>
    <cellStyle name="origAmountCrD 11 3 2 2" xfId="15692"/>
    <cellStyle name="标题 1 3 8" xfId="15693"/>
    <cellStyle name="商品名称 9 5" xfId="15694"/>
    <cellStyle name="origAmountCrD 11 3 3" xfId="15695"/>
    <cellStyle name="常规 158 2 6" xfId="15696"/>
    <cellStyle name="origAmountCrD 11 4" xfId="15697"/>
    <cellStyle name="origAmountCrD 12 10" xfId="15698"/>
    <cellStyle name="origAmountCrD 12 2" xfId="15699"/>
    <cellStyle name="常规 126 2 2 3 2" xfId="15700"/>
    <cellStyle name="常规 131 2 2 3 2" xfId="15701"/>
    <cellStyle name="输入 2 2 3 2 9" xfId="15702"/>
    <cellStyle name="origAmountCrD 12 2 12" xfId="15703"/>
    <cellStyle name="常规 126 2 2 3 3" xfId="15704"/>
    <cellStyle name="常规 131 2 2 3 3" xfId="15705"/>
    <cellStyle name="origAmountCrD 12 2 13" xfId="15706"/>
    <cellStyle name="origAmountCrD 12 2 14" xfId="15707"/>
    <cellStyle name="常规 96 2" xfId="15708"/>
    <cellStyle name="origAmountCrD 12 2 15" xfId="15709"/>
    <cellStyle name="origAmountCrD 12 2 2 10" xfId="15710"/>
    <cellStyle name="origAmountCrD 12 2 2 11" xfId="15711"/>
    <cellStyle name="origAmountCrD 12 2 2 12" xfId="15712"/>
    <cellStyle name="常规 55 3 4" xfId="15713"/>
    <cellStyle name="常规 60 3 4" xfId="15714"/>
    <cellStyle name="origAmountCrD 12 2 2 2 2" xfId="15715"/>
    <cellStyle name="origAmountDrD 3 2 2 12" xfId="15716"/>
    <cellStyle name="origAmountCrD 12 2 2 4" xfId="15717"/>
    <cellStyle name="origAmountCrD 12 2 2 5" xfId="15718"/>
    <cellStyle name="origAmountCrD 12 2 2 6" xfId="15719"/>
    <cellStyle name="origAmountCrD 12 2 2 7" xfId="15720"/>
    <cellStyle name="origAmountCrD 12 2 2 8" xfId="15721"/>
    <cellStyle name="origAmountCrD 12 2 2 9" xfId="15722"/>
    <cellStyle name="常规 126 2 2 11" xfId="15723"/>
    <cellStyle name="常规 131 2 2 11" xfId="15724"/>
    <cellStyle name="origAmountCrD 12 2 8" xfId="15725"/>
    <cellStyle name="常规 126 2 2 12" xfId="15726"/>
    <cellStyle name="常规 131 2 2 12" xfId="15727"/>
    <cellStyle name="origAmountCrD 12 2 9" xfId="15728"/>
    <cellStyle name="origAmountCrD 12 3" xfId="15729"/>
    <cellStyle name="origAmountCrD 12 3 2" xfId="15730"/>
    <cellStyle name="常规 159 2 5" xfId="15731"/>
    <cellStyle name="常规 164 2 5" xfId="15732"/>
    <cellStyle name="origAmountCrD 12 3 2 3" xfId="15733"/>
    <cellStyle name="origAmountCrD 12 3 3" xfId="15734"/>
    <cellStyle name="常规 159 2 6" xfId="15735"/>
    <cellStyle name="常规 164 2 6" xfId="15736"/>
    <cellStyle name="常规 138 2 2 3 2" xfId="15737"/>
    <cellStyle name="常规 143 2 2 3 2" xfId="15738"/>
    <cellStyle name="origAmountCrD 12 4" xfId="15739"/>
    <cellStyle name="常规 138 2 2 3 3" xfId="15740"/>
    <cellStyle name="常规 143 2 2 3 3" xfId="15741"/>
    <cellStyle name="origAmountCrD 12 5" xfId="15742"/>
    <cellStyle name="origAmountCrD 12 6" xfId="15743"/>
    <cellStyle name="origAmountCrD 12 7" xfId="15744"/>
    <cellStyle name="origAmountCrD 12 8" xfId="15745"/>
    <cellStyle name="origAmountCrD 12 9" xfId="15746"/>
    <cellStyle name="输入 2 2 8 2 7" xfId="15747"/>
    <cellStyle name="origAmountCrD 13 2 10" xfId="15748"/>
    <cellStyle name="输入 2 2 8 2 8" xfId="15749"/>
    <cellStyle name="origAmountCrD 13 2 11" xfId="15750"/>
    <cellStyle name="输入 2 2 8 2 9" xfId="15751"/>
    <cellStyle name="origAmountCrD 13 2 12" xfId="15752"/>
    <cellStyle name="origAmountCrD 13 2 2 2" xfId="15753"/>
    <cellStyle name="origAmountCrD 13 2 3" xfId="15754"/>
    <cellStyle name="origAmountCrD 13 2 4" xfId="15755"/>
    <cellStyle name="origAmountCrD 13 2 5" xfId="15756"/>
    <cellStyle name="origAmountCrD 13 2 6" xfId="15757"/>
    <cellStyle name="origAmountCrD 13 2 7" xfId="15758"/>
    <cellStyle name="origAmountCrD 13 2 8" xfId="15759"/>
    <cellStyle name="origAmountCrD 13 2 9" xfId="15760"/>
    <cellStyle name="常规 78 3 16" xfId="15761"/>
    <cellStyle name="常规 83 3 16" xfId="15762"/>
    <cellStyle name="origAmountCrD 13 3" xfId="15763"/>
    <cellStyle name="常规 14 3 8" xfId="15764"/>
    <cellStyle name="origAmountCrD 19" xfId="15765"/>
    <cellStyle name="origAmountCrD 24" xfId="15766"/>
    <cellStyle name="标题 3 3 8 3" xfId="15767"/>
    <cellStyle name="origAmountCrD 2" xfId="15768"/>
    <cellStyle name="常规 16 5 2 3" xfId="15769"/>
    <cellStyle name="常规 21 5 2 3" xfId="15770"/>
    <cellStyle name="origAmountCrD 2 10" xfId="15771"/>
    <cellStyle name="输出 2 2 11 2 10" xfId="15772"/>
    <cellStyle name="origAmountCrD 2 11" xfId="15773"/>
    <cellStyle name="输出 2 2 11 2 11" xfId="15774"/>
    <cellStyle name="origAmountCrD 2 12" xfId="15775"/>
    <cellStyle name="origAmountCrD 2 2" xfId="15776"/>
    <cellStyle name="origAmountCrD 2 2 10" xfId="15777"/>
    <cellStyle name="origAmountCrD 2 2 11" xfId="15778"/>
    <cellStyle name="origAmountCrD 2 2 12" xfId="15779"/>
    <cellStyle name="origAmountCrD 2 2 13" xfId="15780"/>
    <cellStyle name="origAmountCrD 2 2 14" xfId="15781"/>
    <cellStyle name="origAmountCrD 2 2 15" xfId="15782"/>
    <cellStyle name="origAmountCrD 2 2 20" xfId="15783"/>
    <cellStyle name="origAmountCrD 2 2 16" xfId="15784"/>
    <cellStyle name="origAmountCrD 2 2 21" xfId="15785"/>
    <cellStyle name="origAmountCrD 2 2 17" xfId="15786"/>
    <cellStyle name="origAmountCrD 2 2 18" xfId="15787"/>
    <cellStyle name="origAmountCrD 2 2 19" xfId="15788"/>
    <cellStyle name="origAmountCrD 3 2 10" xfId="15789"/>
    <cellStyle name="origAmountCrD 2 2 2" xfId="15790"/>
    <cellStyle name="origAmountCrD 2 2 2 16" xfId="15791"/>
    <cellStyle name="origAmountCrD 2 2 2 17" xfId="15792"/>
    <cellStyle name="origAmountCrD 2 2 2 2" xfId="15793"/>
    <cellStyle name="常规 146 3 3 2 3" xfId="15794"/>
    <cellStyle name="常规 151 3 3 2 3" xfId="15795"/>
    <cellStyle name="origAmountCrD 2 2 2 2 8" xfId="15796"/>
    <cellStyle name="origAmountCrD 2 2 2 2 9" xfId="15797"/>
    <cellStyle name="origAmountCrD 2 2 2 3" xfId="15798"/>
    <cellStyle name="origAmountCrD 2 2 2 4" xfId="15799"/>
    <cellStyle name="origAmountDrD 3 2 2 2" xfId="15800"/>
    <cellStyle name="origAmountCrD 3 2 11" xfId="15801"/>
    <cellStyle name="origAmountCrD 2 2 3" xfId="15802"/>
    <cellStyle name="origAmountCrD 2 2 3 2" xfId="15803"/>
    <cellStyle name="origAmountCrD 2 2 3 2 2" xfId="15804"/>
    <cellStyle name="origAmountCrD 2 2 3 2 3" xfId="15805"/>
    <cellStyle name="origAmountCrD 2 2 3 3" xfId="15806"/>
    <cellStyle name="origAmountCrD 3 2 12" xfId="15807"/>
    <cellStyle name="origAmountCrD 2 2 4" xfId="15808"/>
    <cellStyle name="origAmountCrD 3 2 13" xfId="15809"/>
    <cellStyle name="origAmountCrD 2 2 5" xfId="15810"/>
    <cellStyle name="origAmountCrD 3 2 14" xfId="15811"/>
    <cellStyle name="origAmountCrD 2 2 6" xfId="15812"/>
    <cellStyle name="origAmountCrD 3 2 15" xfId="15813"/>
    <cellStyle name="origAmountCrD 2 2 7" xfId="15814"/>
    <cellStyle name="千位分隔 3 3 2" xfId="15815"/>
    <cellStyle name="origAmountCrD 2 2 8" xfId="15816"/>
    <cellStyle name="origAmountCrD 3 2 16" xfId="15817"/>
    <cellStyle name="千位分隔 3 3 3" xfId="15818"/>
    <cellStyle name="origAmountCrD 2 2 9" xfId="15819"/>
    <cellStyle name="origAmountCrD 3 2 17" xfId="15820"/>
    <cellStyle name="origAmountCrD 2 3" xfId="15821"/>
    <cellStyle name="输出 2 10 4" xfId="15822"/>
    <cellStyle name="origAmountCrD 2 3 10" xfId="15823"/>
    <cellStyle name="origAmountCrD 2 3 2" xfId="15824"/>
    <cellStyle name="origAmountCrD 2 3 2 10" xfId="15825"/>
    <cellStyle name="origAmountCrD 2 3 2 11" xfId="15826"/>
    <cellStyle name="常规 106 10" xfId="15827"/>
    <cellStyle name="常规 111 10" xfId="15828"/>
    <cellStyle name="origAmountCrD 2 3 2 12" xfId="15829"/>
    <cellStyle name="常规 106 11" xfId="15830"/>
    <cellStyle name="常规 111 11" xfId="15831"/>
    <cellStyle name="origAmountCrD 2 3 2 13" xfId="15832"/>
    <cellStyle name="常规 106 12" xfId="15833"/>
    <cellStyle name="常规 111 12" xfId="15834"/>
    <cellStyle name="origAmountCrD 2 3 2 14" xfId="15835"/>
    <cellStyle name="常规 178 3 2 2" xfId="15836"/>
    <cellStyle name="常规 106 13" xfId="15837"/>
    <cellStyle name="常规 111 13" xfId="15838"/>
    <cellStyle name="origAmountCrD 2 3 2 15" xfId="15839"/>
    <cellStyle name="常规 178 3 2 3" xfId="15840"/>
    <cellStyle name="常规 106 14" xfId="15841"/>
    <cellStyle name="常规 111 14" xfId="15842"/>
    <cellStyle name="origAmountCrD 2 3 2 16" xfId="15843"/>
    <cellStyle name="常规 106 15" xfId="15844"/>
    <cellStyle name="常规 106 20" xfId="15845"/>
    <cellStyle name="常规 111 15" xfId="15846"/>
    <cellStyle name="常规 111 20" xfId="15847"/>
    <cellStyle name="origAmountCrD 2 3 2 17" xfId="15848"/>
    <cellStyle name="注释 2 10" xfId="15849"/>
    <cellStyle name="origAmountCrD 2 3 2 2" xfId="15850"/>
    <cellStyle name="标题1 5 16" xfId="15851"/>
    <cellStyle name="origAmountCrD 2 3 2 2 10" xfId="15852"/>
    <cellStyle name="常规 18 2 9" xfId="15853"/>
    <cellStyle name="常规 23 2 9" xfId="15854"/>
    <cellStyle name="origAmountDrD 13 5" xfId="15855"/>
    <cellStyle name="标题1 5 17" xfId="15856"/>
    <cellStyle name="origAmountCrD 2 3 2 2 11" xfId="15857"/>
    <cellStyle name="常规 147 10" xfId="15858"/>
    <cellStyle name="常规 152 10" xfId="15859"/>
    <cellStyle name="origAmountDrD 13 6" xfId="15860"/>
    <cellStyle name="origAmountCrD 2 3 2 2 12" xfId="15861"/>
    <cellStyle name="常规 147 11" xfId="15862"/>
    <cellStyle name="常规 152 11" xfId="15863"/>
    <cellStyle name="origAmountDrD 13 7" xfId="15864"/>
    <cellStyle name="origAmountCrD 2 3 2 2 2 2" xfId="15865"/>
    <cellStyle name="origAmountCrD 2 3 2 2 7" xfId="15866"/>
    <cellStyle name="origAmountCrD 2 3 2 2 8" xfId="15867"/>
    <cellStyle name="origAmountCrD 2 3 2 2 9" xfId="15868"/>
    <cellStyle name="origAmountCrD 2 3 2 3" xfId="15869"/>
    <cellStyle name="origAmountCrD 2 3 2 4" xfId="15870"/>
    <cellStyle name="origAmountCrD 2 3 3" xfId="15871"/>
    <cellStyle name="origAmountCrD 2 3 4" xfId="15872"/>
    <cellStyle name="输出 2" xfId="15873"/>
    <cellStyle name="origAmountCrD 2 3 5" xfId="15874"/>
    <cellStyle name="输出 3" xfId="15875"/>
    <cellStyle name="origAmountCrD 2 3 6" xfId="15876"/>
    <cellStyle name="输出 4" xfId="15877"/>
    <cellStyle name="origAmountCrD 2 3 7" xfId="15878"/>
    <cellStyle name="千位分隔 3 4 2" xfId="15879"/>
    <cellStyle name="origAmountCrD 2 3 8" xfId="15880"/>
    <cellStyle name="千位分隔 3 4 3" xfId="15881"/>
    <cellStyle name="origAmountCrD 2 3 9" xfId="15882"/>
    <cellStyle name="origAmountCrD 2 4" xfId="15883"/>
    <cellStyle name="origAmountCrD 2 4 2 2" xfId="15884"/>
    <cellStyle name="origAmountCrD 2 4 2 3" xfId="15885"/>
    <cellStyle name="origAmountCrD 2 4 2 4" xfId="15886"/>
    <cellStyle name="origAmountCrD 2 4 3 2" xfId="15887"/>
    <cellStyle name="origAmountCrD 2 4 3 3" xfId="15888"/>
    <cellStyle name="origAmountCrD 2 5" xfId="15889"/>
    <cellStyle name="origAmountCrD 2 5 2 2" xfId="15890"/>
    <cellStyle name="常规 147 2 2 9" xfId="15891"/>
    <cellStyle name="常规 152 2 2 9" xfId="15892"/>
    <cellStyle name="origAmountCrD 2 5 2 3" xfId="15893"/>
    <cellStyle name="常规 23 2 2 10" xfId="15894"/>
    <cellStyle name="origAmountCrD 2 6" xfId="15895"/>
    <cellStyle name="常规 107 5 2" xfId="15896"/>
    <cellStyle name="常规 112 5 2" xfId="15897"/>
    <cellStyle name="origAmountCrD 2 7" xfId="15898"/>
    <cellStyle name="常规 107 5 3" xfId="15899"/>
    <cellStyle name="常规 112 5 3" xfId="15900"/>
    <cellStyle name="origAmountCrD 2 8" xfId="15901"/>
    <cellStyle name="origAmountCrD 2 9" xfId="15902"/>
    <cellStyle name="常规 14 3 9" xfId="15903"/>
    <cellStyle name="origAmountCrD 25" xfId="15904"/>
    <cellStyle name="origAmountCrD 26" xfId="15905"/>
    <cellStyle name="origAmountCrD 27" xfId="15906"/>
    <cellStyle name="origAmountCrD 28" xfId="15907"/>
    <cellStyle name="origAmountCrD 29" xfId="15908"/>
    <cellStyle name="标题 3 3 8 4" xfId="15909"/>
    <cellStyle name="origAmountCrD 3" xfId="15910"/>
    <cellStyle name="origAmountCrD 3 10" xfId="15911"/>
    <cellStyle name="origAmountCrD 3 11" xfId="15912"/>
    <cellStyle name="origAmountCrD 3 2 2" xfId="15913"/>
    <cellStyle name="注释 3 5 2 10" xfId="15914"/>
    <cellStyle name="输入 2 2 5 15" xfId="15915"/>
    <cellStyle name="origAmountCrD 3 2 2 2" xfId="15916"/>
    <cellStyle name="输出 3 4 10" xfId="15917"/>
    <cellStyle name="origAmountCrD 3 2 2 2 2" xfId="15918"/>
    <cellStyle name="origAmountCrD 3 2 3" xfId="15919"/>
    <cellStyle name="注释 3 5 2 11" xfId="15920"/>
    <cellStyle name="计算 3 2 4 2 6" xfId="15921"/>
    <cellStyle name="origAmountCrD 3 2 3 3" xfId="15922"/>
    <cellStyle name="计算 2 2 11 2 10" xfId="15923"/>
    <cellStyle name="origAmountCrD 3 2 4" xfId="15924"/>
    <cellStyle name="注释 3 5 2 12" xfId="15925"/>
    <cellStyle name="origAmountCrD 3 2 5" xfId="15926"/>
    <cellStyle name="origAmountCrD 3 2 6" xfId="15927"/>
    <cellStyle name="origAmountCrD 3 2 7" xfId="15928"/>
    <cellStyle name="origAmountCrD 3 2 8" xfId="15929"/>
    <cellStyle name="origAmountCrD 3 2 9" xfId="15930"/>
    <cellStyle name="origAmountCrD 3 3 2" xfId="15931"/>
    <cellStyle name="origAmountCrD 3 3 2 2" xfId="15932"/>
    <cellStyle name="origAmountCrD 3 3 2 3" xfId="15933"/>
    <cellStyle name="origAmountCrD 3 3 3" xfId="15934"/>
    <cellStyle name="常规 55 2 12" xfId="15935"/>
    <cellStyle name="常规 60 2 12" xfId="15936"/>
    <cellStyle name="origAmountCrD 3 6" xfId="15937"/>
    <cellStyle name="常规 55 2 13" xfId="15938"/>
    <cellStyle name="常规 60 2 13" xfId="15939"/>
    <cellStyle name="origAmountCrD 3 7" xfId="15940"/>
    <cellStyle name="常规 55 2 14" xfId="15941"/>
    <cellStyle name="常规 60 2 14" xfId="15942"/>
    <cellStyle name="标题 2 4 2 2" xfId="15943"/>
    <cellStyle name="origAmountCrD 3 8" xfId="15944"/>
    <cellStyle name="常规 55 2 15" xfId="15945"/>
    <cellStyle name="常规 60 2 15" xfId="15946"/>
    <cellStyle name="origAmountCrD 3 9" xfId="15947"/>
    <cellStyle name="标题 3 3 8 5" xfId="15948"/>
    <cellStyle name="origAmountCrD 4" xfId="15949"/>
    <cellStyle name="origAmountCrD 4 10" xfId="15950"/>
    <cellStyle name="origAmountCrD 4 11" xfId="15951"/>
    <cellStyle name="origAmountCrD 4 12" xfId="15952"/>
    <cellStyle name="origAmountCrD 4 13" xfId="15953"/>
    <cellStyle name="origAmountCrD 4 14" xfId="15954"/>
    <cellStyle name="origAmountCrD 4 15" xfId="15955"/>
    <cellStyle name="origAmountCrD 4 20" xfId="15956"/>
    <cellStyle name="origAmountCrD 4 16" xfId="15957"/>
    <cellStyle name="origAmountCrD 4 21" xfId="15958"/>
    <cellStyle name="origAmountCrD 4 17" xfId="15959"/>
    <cellStyle name="origAmountCrD 4 18" xfId="15960"/>
    <cellStyle name="货币 2 3 2 2" xfId="15961"/>
    <cellStyle name="origAmountCrD 4 2 10" xfId="15962"/>
    <cellStyle name="常规 126 2 2 13" xfId="15963"/>
    <cellStyle name="常规 131 2 2 13" xfId="15964"/>
    <cellStyle name="origAmountCrD 7 2 2" xfId="15965"/>
    <cellStyle name="货币 2 3 2 3" xfId="15966"/>
    <cellStyle name="origAmountCrD 4 2 11" xfId="15967"/>
    <cellStyle name="常规 126 2 2 14" xfId="15968"/>
    <cellStyle name="常规 131 2 2 14" xfId="15969"/>
    <cellStyle name="汇总 3 3 2" xfId="15970"/>
    <cellStyle name="origAmountCrD 7 2 3" xfId="15971"/>
    <cellStyle name="origAmountCrD 4 2 2 10" xfId="15972"/>
    <cellStyle name="origAmountCrD 4 2 2 11" xfId="15973"/>
    <cellStyle name="origAmountCrD 4 2 2 12" xfId="15974"/>
    <cellStyle name="计算 3 3 4 2 5" xfId="15975"/>
    <cellStyle name="计算 2 2 2 3" xfId="15976"/>
    <cellStyle name="origAmountCrD 4 2 3 2" xfId="15977"/>
    <cellStyle name="计算 3 3 4 2 6" xfId="15978"/>
    <cellStyle name="计算 2 2 2 4" xfId="15979"/>
    <cellStyle name="origAmountCrD 4 2 3 3" xfId="15980"/>
    <cellStyle name="origAmountCrD 4 2 8" xfId="15981"/>
    <cellStyle name="origAmountCrD 4 2 9" xfId="15982"/>
    <cellStyle name="origAmountCrD 4 3 2" xfId="15983"/>
    <cellStyle name="常规 56 2 2 15" xfId="15984"/>
    <cellStyle name="常规 61 2 2 15" xfId="15985"/>
    <cellStyle name="origAmountCrD 4 3 2 2" xfId="15986"/>
    <cellStyle name="常规 56 2 2 16" xfId="15987"/>
    <cellStyle name="常规 61 2 2 16" xfId="15988"/>
    <cellStyle name="origAmountCrD 4 3 2 3" xfId="15989"/>
    <cellStyle name="origAmountCrD 4 3 3" xfId="15990"/>
    <cellStyle name="标题 3 3 8 6" xfId="15991"/>
    <cellStyle name="origAmountCrD 5" xfId="15992"/>
    <cellStyle name="origAmountCrD 5 16" xfId="15993"/>
    <cellStyle name="origAmountCrD 5 17" xfId="15994"/>
    <cellStyle name="origAmountCrD 5 2 10" xfId="15995"/>
    <cellStyle name="origAmountDrD 8 2 2 2 2" xfId="15996"/>
    <cellStyle name="origAmountCrD 5 2 11" xfId="15997"/>
    <cellStyle name="origAmountCrD 5 2 2" xfId="15998"/>
    <cellStyle name="origAmountCrD 5 2 2 10" xfId="15999"/>
    <cellStyle name="origAmountCrD 5 2 2 11" xfId="16000"/>
    <cellStyle name="origAmountCrD 5 2 2 12" xfId="16001"/>
    <cellStyle name="输出 3 2 8 2 5" xfId="16002"/>
    <cellStyle name="origAmountCrD 5 2 2 2" xfId="16003"/>
    <cellStyle name="常规 75 2 2 18" xfId="16004"/>
    <cellStyle name="常规 80 2 2 18" xfId="16005"/>
    <cellStyle name="origAmountCrD 5 2 2 2 2" xfId="16006"/>
    <cellStyle name="origAmountCrD 5 2 3" xfId="16007"/>
    <cellStyle name="计算 3 2 2 3" xfId="16008"/>
    <cellStyle name="origAmountCrD 5 2 3 2" xfId="16009"/>
    <cellStyle name="计算 3 2 2 4" xfId="16010"/>
    <cellStyle name="origAmountCrD 5 2 3 3" xfId="16011"/>
    <cellStyle name="origAmountCrD 5 2 6" xfId="16012"/>
    <cellStyle name="origAmountCrD 5 2 7" xfId="16013"/>
    <cellStyle name="origAmountCrD 5 2 8" xfId="16014"/>
    <cellStyle name="origAmountCrD 5 2 9" xfId="16015"/>
    <cellStyle name="货币 2 2" xfId="16016"/>
    <cellStyle name="标题 3 3 8 7" xfId="16017"/>
    <cellStyle name="origAmountCrD 6" xfId="16018"/>
    <cellStyle name="货币 2 2 10" xfId="16019"/>
    <cellStyle name="origAmountCrD 6 10" xfId="16020"/>
    <cellStyle name="货币 2 2 11" xfId="16021"/>
    <cellStyle name="origAmountCrD 6 11" xfId="16022"/>
    <cellStyle name="货币 2 2 12" xfId="16023"/>
    <cellStyle name="origAmountCrD 6 12" xfId="16024"/>
    <cellStyle name="货币 2 2 13" xfId="16025"/>
    <cellStyle name="origAmountCrD 6 13" xfId="16026"/>
    <cellStyle name="货币 2 2 14" xfId="16027"/>
    <cellStyle name="origAmountCrD 6 14" xfId="16028"/>
    <cellStyle name="货币 2 2 15" xfId="16029"/>
    <cellStyle name="货币 2 2 20" xfId="16030"/>
    <cellStyle name="origAmountCrD 6 15" xfId="16031"/>
    <cellStyle name="origAmountCrD 6 20" xfId="16032"/>
    <cellStyle name="货币 2 2 16" xfId="16033"/>
    <cellStyle name="货币 2 2 21" xfId="16034"/>
    <cellStyle name="origAmountCrD 6 16" xfId="16035"/>
    <cellStyle name="origAmountCrD 6 21" xfId="16036"/>
    <cellStyle name="货币 2 2 17" xfId="16037"/>
    <cellStyle name="货币 2 2 22" xfId="16038"/>
    <cellStyle name="origAmountCrD 6 17" xfId="16039"/>
    <cellStyle name="PSHeading 10" xfId="16040"/>
    <cellStyle name="货币 2 2 18" xfId="16041"/>
    <cellStyle name="origAmountCrD 6 18" xfId="16042"/>
    <cellStyle name="PSHeading 11" xfId="16043"/>
    <cellStyle name="货币 2 2 19" xfId="16044"/>
    <cellStyle name="origAmountCrD 6 19" xfId="16045"/>
    <cellStyle name="PSHeading 12" xfId="16046"/>
    <cellStyle name="origAmountCrD 6 2 10" xfId="16047"/>
    <cellStyle name="origAmountCrD 6 2 11" xfId="16048"/>
    <cellStyle name="origAmountCrD 6 2 12" xfId="16049"/>
    <cellStyle name="origAmountCrD 6 2 13" xfId="16050"/>
    <cellStyle name="origAmountCrD 6 2 14" xfId="16051"/>
    <cellStyle name="货币 2 2 2 2" xfId="16052"/>
    <cellStyle name="origAmountCrD 6 2 2" xfId="16053"/>
    <cellStyle name="origAmountCrD 6 2 2 2" xfId="16054"/>
    <cellStyle name="检查单元格 2 3 15" xfId="16055"/>
    <cellStyle name="origAmountCrD 6 2 2 2 2" xfId="16056"/>
    <cellStyle name="货币 2 2 2 3" xfId="16057"/>
    <cellStyle name="汇总 2 3 2" xfId="16058"/>
    <cellStyle name="origAmountCrD 6 2 3" xfId="16059"/>
    <cellStyle name="汇总 2 3 2 2" xfId="16060"/>
    <cellStyle name="origAmountCrD 6 2 3 2" xfId="16061"/>
    <cellStyle name="汇总 2 3 2 3" xfId="16062"/>
    <cellStyle name="origAmountCrD 6 2 3 3" xfId="16063"/>
    <cellStyle name="货币 2 2 2 4" xfId="16064"/>
    <cellStyle name="汇总 2 3 3" xfId="16065"/>
    <cellStyle name="origAmountCrD 6 2 4" xfId="16066"/>
    <cellStyle name="汇总 2 3 4" xfId="16067"/>
    <cellStyle name="origAmountCrD 6 2 5" xfId="16068"/>
    <cellStyle name="汇总 2 3 5" xfId="16069"/>
    <cellStyle name="origAmountCrD 6 2 6" xfId="16070"/>
    <cellStyle name="汇总 2 3 6" xfId="16071"/>
    <cellStyle name="origAmountCrD 6 2 7" xfId="16072"/>
    <cellStyle name="汇总 2 3 7" xfId="16073"/>
    <cellStyle name="origAmountCrD 6 2 8" xfId="16074"/>
    <cellStyle name="汇总 2 3 8" xfId="16075"/>
    <cellStyle name="origAmountCrD 6 2 9" xfId="16076"/>
    <cellStyle name="origAmountCrD 6 3 2" xfId="16077"/>
    <cellStyle name="汇总 2 2 13 10" xfId="16078"/>
    <cellStyle name="origAmountCrD 6 3 2 2" xfId="16079"/>
    <cellStyle name="注释 2 2 3 15" xfId="16080"/>
    <cellStyle name="汇总 2 2 13 11" xfId="16081"/>
    <cellStyle name="origAmountCrD 6 3 2 3" xfId="16082"/>
    <cellStyle name="注释 2 2 3 16" xfId="16083"/>
    <cellStyle name="汇总 2 4 2" xfId="16084"/>
    <cellStyle name="origAmountCrD 6 3 3" xfId="16085"/>
    <cellStyle name="货币 2 2 4" xfId="16086"/>
    <cellStyle name="origAmountCrD 6 4" xfId="16087"/>
    <cellStyle name="货币 2 2 5" xfId="16088"/>
    <cellStyle name="origAmountCrD 6 5" xfId="16089"/>
    <cellStyle name="origAmountDrD 3 2 2 2 2" xfId="16090"/>
    <cellStyle name="货币 2 2 6" xfId="16091"/>
    <cellStyle name="origAmountCrD 6 6" xfId="16092"/>
    <cellStyle name="注释 3 8 2" xfId="16093"/>
    <cellStyle name="货币 2 2 7" xfId="16094"/>
    <cellStyle name="origAmountCrD 6 7" xfId="16095"/>
    <cellStyle name="注释 3 8 3" xfId="16096"/>
    <cellStyle name="货币 2 2 8" xfId="16097"/>
    <cellStyle name="origAmountCrD 6 8" xfId="16098"/>
    <cellStyle name="注释 3 8 4" xfId="16099"/>
    <cellStyle name="货币 2 2 9" xfId="16100"/>
    <cellStyle name="origAmountCrD 6 9" xfId="16101"/>
    <cellStyle name="输出 3 2 7 3 2" xfId="16102"/>
    <cellStyle name="货币 2 3 10" xfId="16103"/>
    <cellStyle name="origAmountCrD 7 10" xfId="16104"/>
    <cellStyle name="输出 3 2 7 3 3" xfId="16105"/>
    <cellStyle name="货币 2 3 11" xfId="16106"/>
    <cellStyle name="origAmountCrD 7 11" xfId="16107"/>
    <cellStyle name="货币 2 3 12" xfId="16108"/>
    <cellStyle name="origAmountCrD 7 12" xfId="16109"/>
    <cellStyle name="货币 2 3 13" xfId="16110"/>
    <cellStyle name="origAmountCrD 7 13" xfId="16111"/>
    <cellStyle name="货币 2 3 14" xfId="16112"/>
    <cellStyle name="origAmountCrD 7 14" xfId="16113"/>
    <cellStyle name="货币 2 3 15" xfId="16114"/>
    <cellStyle name="货币 2 3 20" xfId="16115"/>
    <cellStyle name="origAmountCrD 7 15" xfId="16116"/>
    <cellStyle name="origAmountCrD 7 20" xfId="16117"/>
    <cellStyle name="货币 2 3 16" xfId="16118"/>
    <cellStyle name="货币 2 3 21" xfId="16119"/>
    <cellStyle name="origAmountCrD 7 16" xfId="16120"/>
    <cellStyle name="origAmountCrD 7 21" xfId="16121"/>
    <cellStyle name="origAmountCrD 7 17" xfId="16122"/>
    <cellStyle name="强调文字颜色 2 2" xfId="16123"/>
    <cellStyle name="货币 2 3 17" xfId="16124"/>
    <cellStyle name="货币 2 3 22" xfId="16125"/>
    <cellStyle name="origAmountCrD 7 18" xfId="16126"/>
    <cellStyle name="强调文字颜色 2 3" xfId="16127"/>
    <cellStyle name="货币 2 3 18" xfId="16128"/>
    <cellStyle name="origAmountCrD 7 19" xfId="16129"/>
    <cellStyle name="强调文字颜色 2 4" xfId="16130"/>
    <cellStyle name="货币 2 3 19" xfId="16131"/>
    <cellStyle name="计算 2 2 3 2" xfId="16132"/>
    <cellStyle name="origAmountCrD 7 2 11" xfId="16133"/>
    <cellStyle name="好_Book1 2 7" xfId="16134"/>
    <cellStyle name="计算 2 2 3 3" xfId="16135"/>
    <cellStyle name="origAmountCrD 7 2 12" xfId="16136"/>
    <cellStyle name="好_Book1 2 8" xfId="16137"/>
    <cellStyle name="计算 2 2 3 4" xfId="16138"/>
    <cellStyle name="origAmountCrD 7 2 13" xfId="16139"/>
    <cellStyle name="好_Book1 2 9" xfId="16140"/>
    <cellStyle name="计算 2 2 3 7" xfId="16141"/>
    <cellStyle name="汇总 3 3 11" xfId="16142"/>
    <cellStyle name="origAmountCrD 7 2 16" xfId="16143"/>
    <cellStyle name="计算 2 2 3 8" xfId="16144"/>
    <cellStyle name="汇总 3 3 12" xfId="16145"/>
    <cellStyle name="origAmountCrD 7 2 17" xfId="16146"/>
    <cellStyle name="常规 97 12" xfId="16147"/>
    <cellStyle name="origAmountCrD 7 2 2 2" xfId="16148"/>
    <cellStyle name="常规 129 3 4" xfId="16149"/>
    <cellStyle name="常规 134 3 4" xfId="16150"/>
    <cellStyle name="汇总 3 3 2 2" xfId="16151"/>
    <cellStyle name="origAmountCrD 7 2 3 2" xfId="16152"/>
    <cellStyle name="标题1 13" xfId="16153"/>
    <cellStyle name="汇总 3 3 2 3" xfId="16154"/>
    <cellStyle name="origAmountCrD 7 2 3 3" xfId="16155"/>
    <cellStyle name="标题1 14" xfId="16156"/>
    <cellStyle name="origAmountCrD 7 3 2" xfId="16157"/>
    <cellStyle name="常规 135 3 4" xfId="16158"/>
    <cellStyle name="常规 140 3 4" xfId="16159"/>
    <cellStyle name="origAmountCrD 7 3 2 2" xfId="16160"/>
    <cellStyle name="常规 135 3 5" xfId="16161"/>
    <cellStyle name="常规 140 3 5" xfId="16162"/>
    <cellStyle name="origAmountCrD 7 3 2 3" xfId="16163"/>
    <cellStyle name="origAmountCrD 8 10" xfId="16164"/>
    <cellStyle name="origAmountCrD 8 11" xfId="16165"/>
    <cellStyle name="origAmountCrD 8 12" xfId="16166"/>
    <cellStyle name="origAmountCrD 8 13" xfId="16167"/>
    <cellStyle name="origAmountCrD 8 14" xfId="16168"/>
    <cellStyle name="origAmountCrD 8 15" xfId="16169"/>
    <cellStyle name="origAmountCrD 8 16" xfId="16170"/>
    <cellStyle name="origAmountCrD 8 17" xfId="16171"/>
    <cellStyle name="origAmountCrD 8 18" xfId="16172"/>
    <cellStyle name="origAmountCrD 8 2" xfId="16173"/>
    <cellStyle name="origAmountCrD 8 2 10" xfId="16174"/>
    <cellStyle name="origAmountCrD 8 2 11" xfId="16175"/>
    <cellStyle name="origAmountCrD 8 2 12" xfId="16176"/>
    <cellStyle name="origAmountCrD 8 2 13" xfId="16177"/>
    <cellStyle name="origAmountCrD 8 2 14" xfId="16178"/>
    <cellStyle name="origAmountCrD 8 2 15" xfId="16179"/>
    <cellStyle name="origAmountCrD 8 2 16" xfId="16180"/>
    <cellStyle name="origAmountCrD 8 2 17" xfId="16181"/>
    <cellStyle name="origAmountDrD 2 3 2 2 2 2" xfId="16182"/>
    <cellStyle name="origAmountCrD 8 2 2" xfId="16183"/>
    <cellStyle name="注释 3 6 2 10" xfId="16184"/>
    <cellStyle name="汇总 2 2 10 13" xfId="16185"/>
    <cellStyle name="origAmountCrD 8 2 2 10" xfId="16186"/>
    <cellStyle name="编号 15" xfId="16187"/>
    <cellStyle name="编号 20" xfId="16188"/>
    <cellStyle name="汇总 2 2 10 14" xfId="16189"/>
    <cellStyle name="origAmountCrD 8 2 2 11" xfId="16190"/>
    <cellStyle name="编号 16" xfId="16191"/>
    <cellStyle name="编号 21" xfId="16192"/>
    <cellStyle name="汇总 2 2 10 15" xfId="16193"/>
    <cellStyle name="origAmountCrD 8 2 2 12" xfId="16194"/>
    <cellStyle name="编号 17" xfId="16195"/>
    <cellStyle name="编号 22" xfId="16196"/>
    <cellStyle name="origAmountCrD 8 2 2 2" xfId="16197"/>
    <cellStyle name="编号 3" xfId="16198"/>
    <cellStyle name="origAmountCrD 8 2 2 3" xfId="16199"/>
    <cellStyle name="编号 4" xfId="16200"/>
    <cellStyle name="汇总 4 3 2" xfId="16201"/>
    <cellStyle name="origAmountCrD 8 2 3" xfId="16202"/>
    <cellStyle name="注释 3 6 2 11" xfId="16203"/>
    <cellStyle name="origAmountCrD 8 3" xfId="16204"/>
    <cellStyle name="origAmountCrD 8 3 2" xfId="16205"/>
    <cellStyle name="origAmountCrD 8 3 2 2" xfId="16206"/>
    <cellStyle name="origAmountCrD 8 3 2 3" xfId="16207"/>
    <cellStyle name="origAmountCrD 8 3 3" xfId="16208"/>
    <cellStyle name="货币 2 5" xfId="16209"/>
    <cellStyle name="origAmountCrD 9" xfId="16210"/>
    <cellStyle name="origAmountCrD 9 10" xfId="16211"/>
    <cellStyle name="origAmountCrD 9 11" xfId="16212"/>
    <cellStyle name="origAmountCrD 9 12" xfId="16213"/>
    <cellStyle name="origAmountCrD 9 13" xfId="16214"/>
    <cellStyle name="origAmountCrD 9 14" xfId="16215"/>
    <cellStyle name="origAmountCrD 9 15" xfId="16216"/>
    <cellStyle name="origAmountCrD 9 16" xfId="16217"/>
    <cellStyle name="origAmountCrD 9 17" xfId="16218"/>
    <cellStyle name="origAmountCrD 9 18" xfId="16219"/>
    <cellStyle name="origAmountCrD 9 2 10" xfId="16220"/>
    <cellStyle name="origAmountCrD 9 2 11" xfId="16221"/>
    <cellStyle name="常规 162 2 3 2 3" xfId="16222"/>
    <cellStyle name="origAmountCrD 9 2 2" xfId="16223"/>
    <cellStyle name="origAmountCrD 9 2 2 2" xfId="16224"/>
    <cellStyle name="origAmountCrD 9 2 2 3" xfId="16225"/>
    <cellStyle name="origAmountCrD 9 2 3" xfId="16226"/>
    <cellStyle name="origAmountCrD 9 2 4" xfId="16227"/>
    <cellStyle name="origAmountCrD 9 2 5" xfId="16228"/>
    <cellStyle name="origAmountCrD 9 2 6" xfId="16229"/>
    <cellStyle name="origAmountCrD 9 2 9" xfId="16230"/>
    <cellStyle name="origAmountCrD 9 3 2" xfId="16231"/>
    <cellStyle name="常规 57 2 2 15" xfId="16232"/>
    <cellStyle name="常规 62 2 2 15" xfId="16233"/>
    <cellStyle name="origAmountCrD 9 3 2 2" xfId="16234"/>
    <cellStyle name="常规 57 2 2 16" xfId="16235"/>
    <cellStyle name="常规 62 2 2 16" xfId="16236"/>
    <cellStyle name="origAmountCrD 9 3 2 3" xfId="16237"/>
    <cellStyle name="origAmountCrD 9 3 3" xfId="16238"/>
    <cellStyle name="origAmountCrT" xfId="16239"/>
    <cellStyle name="计算 2 2 7 2 10" xfId="16240"/>
    <cellStyle name="编号 2 11" xfId="16241"/>
    <cellStyle name="origAmountDrD 10 10" xfId="16242"/>
    <cellStyle name="编号 2 13" xfId="16243"/>
    <cellStyle name="origAmountDrD 10 12" xfId="16244"/>
    <cellStyle name="编号 2 14" xfId="16245"/>
    <cellStyle name="origAmountDrD 10 13" xfId="16246"/>
    <cellStyle name="编号 2 15" xfId="16247"/>
    <cellStyle name="origAmountDrD 10 14" xfId="16248"/>
    <cellStyle name="编号 2 16" xfId="16249"/>
    <cellStyle name="origAmountDrD 10 15" xfId="16250"/>
    <cellStyle name="origAmountDrD 10 2" xfId="16251"/>
    <cellStyle name="origAmountDrD 10 2 2 10" xfId="16252"/>
    <cellStyle name="origAmountDrD 10 2 2 11" xfId="16253"/>
    <cellStyle name="强调文字颜色 3 3 2 2" xfId="16254"/>
    <cellStyle name="origAmountDrD 10 2 2 12" xfId="16255"/>
    <cellStyle name="编号 6 11" xfId="16256"/>
    <cellStyle name="origAmountDrD 10 2 2 5" xfId="16257"/>
    <cellStyle name="编号 6 12" xfId="16258"/>
    <cellStyle name="origAmountDrD 10 2 2 6" xfId="16259"/>
    <cellStyle name="编号 6 13" xfId="16260"/>
    <cellStyle name="origAmountDrD 10 2 2 7" xfId="16261"/>
    <cellStyle name="编号 6 14" xfId="16262"/>
    <cellStyle name="origAmountDrD 10 2 2 8" xfId="16263"/>
    <cellStyle name="编号 6 15" xfId="16264"/>
    <cellStyle name="origAmountDrD 10 2 2 9" xfId="16265"/>
    <cellStyle name="origAmountDrD 10 2 3 2" xfId="16266"/>
    <cellStyle name="origAmountDrD 10 2 3 3" xfId="16267"/>
    <cellStyle name="常规 18 13" xfId="16268"/>
    <cellStyle name="常规 23 13" xfId="16269"/>
    <cellStyle name="origAmountDrD 10 2 7" xfId="16270"/>
    <cellStyle name="常规 18 14" xfId="16271"/>
    <cellStyle name="常规 23 14" xfId="16272"/>
    <cellStyle name="origAmountDrD 10 2 8" xfId="16273"/>
    <cellStyle name="常规 18 15" xfId="16274"/>
    <cellStyle name="常规 18 20" xfId="16275"/>
    <cellStyle name="常规 23 15" xfId="16276"/>
    <cellStyle name="常规 23 20" xfId="16277"/>
    <cellStyle name="origAmountDrD 10 2 9" xfId="16278"/>
    <cellStyle name="origAmountDrD 10 3" xfId="16279"/>
    <cellStyle name="origAmountDrD 10 4" xfId="16280"/>
    <cellStyle name="origAmountDrD 10 5" xfId="16281"/>
    <cellStyle name="origAmountDrD 10 6" xfId="16282"/>
    <cellStyle name="origAmountDrD 10 7" xfId="16283"/>
    <cellStyle name="origAmountDrD 11 10" xfId="16284"/>
    <cellStyle name="常规 97 2 4" xfId="16285"/>
    <cellStyle name="编号 3 11" xfId="16286"/>
    <cellStyle name="origAmountDrD 11 11" xfId="16287"/>
    <cellStyle name="常规 97 2 5" xfId="16288"/>
    <cellStyle name="编号 3 12" xfId="16289"/>
    <cellStyle name="origAmountDrD 11 12" xfId="16290"/>
    <cellStyle name="常规 97 2 6" xfId="16291"/>
    <cellStyle name="编号 3 13" xfId="16292"/>
    <cellStyle name="origAmountDrD 11 13" xfId="16293"/>
    <cellStyle name="常规 97 2 7" xfId="16294"/>
    <cellStyle name="编号 3 14" xfId="16295"/>
    <cellStyle name="origAmountDrD 11 14" xfId="16296"/>
    <cellStyle name="常规 97 2 8" xfId="16297"/>
    <cellStyle name="编号 3 15" xfId="16298"/>
    <cellStyle name="origAmountDrD 11 15" xfId="16299"/>
    <cellStyle name="常规 97 2 9" xfId="16300"/>
    <cellStyle name="编号 3 16" xfId="16301"/>
    <cellStyle name="origAmountDrD 11 2" xfId="16302"/>
    <cellStyle name="origAmountDrD 11 2 11" xfId="16303"/>
    <cellStyle name="origAmountDrD 11 2 12" xfId="16304"/>
    <cellStyle name="origAmountDrD 11 2 13" xfId="16305"/>
    <cellStyle name="origAmountDrD 11 2 14" xfId="16306"/>
    <cellStyle name="origAmountDrD 11 2 15" xfId="16307"/>
    <cellStyle name="origAmountDrD 11 2 16" xfId="16308"/>
    <cellStyle name="origAmountDrD 11 2 17" xfId="16309"/>
    <cellStyle name="origAmountDrD 11 2 2 2" xfId="16310"/>
    <cellStyle name="origAmountDrD 11 2 2 3" xfId="16311"/>
    <cellStyle name="origAmountDrD 11 2 2 4" xfId="16312"/>
    <cellStyle name="origAmountDrD 11 2 2 5" xfId="16313"/>
    <cellStyle name="PSDec" xfId="16314"/>
    <cellStyle name="origAmountDrD 11 2 2 6" xfId="16315"/>
    <cellStyle name="origAmountDrD 11 2 2 7" xfId="16316"/>
    <cellStyle name="origAmountDrD 11 2 2 8" xfId="16317"/>
    <cellStyle name="origAmountDrD 11 2 2 9" xfId="16318"/>
    <cellStyle name="origAmountDrD 11 2 3 2" xfId="16319"/>
    <cellStyle name="origAmountDrD 11 2 3 3" xfId="16320"/>
    <cellStyle name="origAmountDrD 11 3" xfId="16321"/>
    <cellStyle name="origAmountDrD 11 3 2" xfId="16322"/>
    <cellStyle name="origAmountDrD 11 3 3" xfId="16323"/>
    <cellStyle name="origAmountDrD 11 4" xfId="16324"/>
    <cellStyle name="标题1 2 9" xfId="16325"/>
    <cellStyle name="编号 4 11" xfId="16326"/>
    <cellStyle name="origAmountDrD 12 10" xfId="16327"/>
    <cellStyle name="编号 4 12" xfId="16328"/>
    <cellStyle name="origAmountDrD 12 11" xfId="16329"/>
    <cellStyle name="编号 4 16" xfId="16330"/>
    <cellStyle name="origAmountDrD 12 15" xfId="16331"/>
    <cellStyle name="origAmountDrD 12 2" xfId="16332"/>
    <cellStyle name="origAmountDrD 12 2 10" xfId="16333"/>
    <cellStyle name="origAmountDrD 12 2 11" xfId="16334"/>
    <cellStyle name="origAmountDrD 12 2 12" xfId="16335"/>
    <cellStyle name="origAmountDrD 12 2 13" xfId="16336"/>
    <cellStyle name="origAmountDrD 12 2 14" xfId="16337"/>
    <cellStyle name="origAmountDrD 12 2 15" xfId="16338"/>
    <cellStyle name="origAmountDrD 12 2 16" xfId="16339"/>
    <cellStyle name="origAmountDrD 12 2 17" xfId="16340"/>
    <cellStyle name="标题 4 3 2" xfId="16341"/>
    <cellStyle name="origAmountDrD 12 2 2 5" xfId="16342"/>
    <cellStyle name="origAmountDrD 12 2 2 6" xfId="16343"/>
    <cellStyle name="origAmountDrD 12 2 2 7" xfId="16344"/>
    <cellStyle name="origAmountDrD 12 2 2 8" xfId="16345"/>
    <cellStyle name="origAmountDrD 12 2 2 9" xfId="16346"/>
    <cellStyle name="origAmountDrD 12 2 3 2" xfId="16347"/>
    <cellStyle name="origAmountDrD 12 2 3 3" xfId="16348"/>
    <cellStyle name="origAmountDrD 12 3" xfId="16349"/>
    <cellStyle name="origAmountDrD 12 3 2" xfId="16350"/>
    <cellStyle name="origAmountDrD 12 3 3" xfId="16351"/>
    <cellStyle name="常规 175 3 2" xfId="16352"/>
    <cellStyle name="origAmountDrD 12 4" xfId="16353"/>
    <cellStyle name="常规 175 3 3" xfId="16354"/>
    <cellStyle name="origAmountDrD 12 5" xfId="16355"/>
    <cellStyle name="origAmountDrD 12 6" xfId="16356"/>
    <cellStyle name="origAmountDrD 12 7" xfId="16357"/>
    <cellStyle name="origAmountDrD 12 8" xfId="16358"/>
    <cellStyle name="常规 147 3 5" xfId="16359"/>
    <cellStyle name="常规 152 3 5" xfId="16360"/>
    <cellStyle name="标题1 7 9" xfId="16361"/>
    <cellStyle name="编号 5 11" xfId="16362"/>
    <cellStyle name="origAmountDrD 13 10" xfId="16363"/>
    <cellStyle name="常规 147 3 6" xfId="16364"/>
    <cellStyle name="常规 152 3 6" xfId="16365"/>
    <cellStyle name="编号 5 12" xfId="16366"/>
    <cellStyle name="origAmountDrD 13 11" xfId="16367"/>
    <cellStyle name="常规 147 3 7" xfId="16368"/>
    <cellStyle name="常规 152 3 7" xfId="16369"/>
    <cellStyle name="编号 5 13" xfId="16370"/>
    <cellStyle name="origAmountDrD 13 12" xfId="16371"/>
    <cellStyle name="常规 147 3 8" xfId="16372"/>
    <cellStyle name="常规 152 3 8" xfId="16373"/>
    <cellStyle name="编号 5 14" xfId="16374"/>
    <cellStyle name="origAmountDrD 13 13" xfId="16375"/>
    <cellStyle name="常规 147 3 9" xfId="16376"/>
    <cellStyle name="常规 152 3 9" xfId="16377"/>
    <cellStyle name="编号 5 15" xfId="16378"/>
    <cellStyle name="origAmountDrD 13 14" xfId="16379"/>
    <cellStyle name="编号 5 16" xfId="16380"/>
    <cellStyle name="origAmountDrD 13 15" xfId="16381"/>
    <cellStyle name="编号 5 17" xfId="16382"/>
    <cellStyle name="origAmountDrD 13 16" xfId="16383"/>
    <cellStyle name="origAmountDrD 13 17" xfId="16384"/>
    <cellStyle name="origAmountDrD 13 2" xfId="16385"/>
    <cellStyle name="常规 23 2 6" xfId="16386"/>
    <cellStyle name="常规 18 2 6" xfId="16387"/>
    <cellStyle name="计算 3 2 7 14" xfId="16388"/>
    <cellStyle name="origAmountDrD 13 3" xfId="16389"/>
    <cellStyle name="常规 23 2 7" xfId="16390"/>
    <cellStyle name="常规 18 2 7" xfId="16391"/>
    <cellStyle name="origAmountDrD 13 3 2" xfId="16392"/>
    <cellStyle name="origAmountDrD 13 3 3" xfId="16393"/>
    <cellStyle name="origAmountDrD 13 4" xfId="16394"/>
    <cellStyle name="常规 23 2 8" xfId="16395"/>
    <cellStyle name="常规 18 2 8" xfId="16396"/>
    <cellStyle name="origAmountDrD 13 8" xfId="16397"/>
    <cellStyle name="常规 152 12" xfId="16398"/>
    <cellStyle name="常规 147 12" xfId="16399"/>
    <cellStyle name="origAmountDrD 13 9" xfId="16400"/>
    <cellStyle name="常规 152 13" xfId="16401"/>
    <cellStyle name="常规 147 13" xfId="16402"/>
    <cellStyle name="origAmountDrD 2 10" xfId="16403"/>
    <cellStyle name="常规 10 3 15" xfId="16404"/>
    <cellStyle name="常规 31 5 2 3" xfId="16405"/>
    <cellStyle name="常规 26 5 2 3" xfId="16406"/>
    <cellStyle name="origAmountDrD 2 11" xfId="16407"/>
    <cellStyle name="常规 10 3 16" xfId="16408"/>
    <cellStyle name="origAmountDrD 2 12" xfId="16409"/>
    <cellStyle name="常规 10 3 17" xfId="16410"/>
    <cellStyle name="origAmountDrD 2 13" xfId="16411"/>
    <cellStyle name="常规 10 3 18" xfId="16412"/>
    <cellStyle name="origAmountDrD 2 14" xfId="16413"/>
    <cellStyle name="origAmountDrD 2 20" xfId="16414"/>
    <cellStyle name="origAmountDrD 2 15" xfId="16415"/>
    <cellStyle name="origAmountDrD 2 21" xfId="16416"/>
    <cellStyle name="origAmountDrD 2 16" xfId="16417"/>
    <cellStyle name="origAmountDrD 2 22" xfId="16418"/>
    <cellStyle name="origAmountDrD 2 17" xfId="16419"/>
    <cellStyle name="origAmountDrD 2 23" xfId="16420"/>
    <cellStyle name="origAmountDrD 2 18" xfId="16421"/>
    <cellStyle name="origAmountDrD 2 2 10" xfId="16422"/>
    <cellStyle name="origAmountDrD 2 2 11" xfId="16423"/>
    <cellStyle name="origAmountDrD 2 2 12" xfId="16424"/>
    <cellStyle name="origAmountDrD 2 2 13" xfId="16425"/>
    <cellStyle name="origAmountDrD 2 2 14" xfId="16426"/>
    <cellStyle name="注释 2 3 4 2" xfId="16427"/>
    <cellStyle name="origAmountDrD 2 2 20" xfId="16428"/>
    <cellStyle name="origAmountDrD 2 2 15" xfId="16429"/>
    <cellStyle name="注释 2 3 4 3" xfId="16430"/>
    <cellStyle name="origAmountDrD 2 2 21" xfId="16431"/>
    <cellStyle name="origAmountDrD 2 2 16" xfId="16432"/>
    <cellStyle name="注释 2 3 4 4" xfId="16433"/>
    <cellStyle name="origAmountDrD 2 2 17" xfId="16434"/>
    <cellStyle name="origAmountDrD 2 2 2" xfId="16435"/>
    <cellStyle name="常规 10 3 3 2" xfId="16436"/>
    <cellStyle name="origAmountDrD 2 2 2 10" xfId="16437"/>
    <cellStyle name="origAmountDrD 2 2 2 11" xfId="16438"/>
    <cellStyle name="origAmountDrD 2 2 2 12" xfId="16439"/>
    <cellStyle name="origAmountDrD 2 2 2 13" xfId="16440"/>
    <cellStyle name="origAmountDrD 2 2 2 14" xfId="16441"/>
    <cellStyle name="origAmountDrD 2 2 2 15" xfId="16442"/>
    <cellStyle name="origAmountDrD 2 2 2 16" xfId="16443"/>
    <cellStyle name="origAmountDrD 2 2 2 17" xfId="16444"/>
    <cellStyle name="origAmountDrD 2 2 2 2" xfId="16445"/>
    <cellStyle name="常规 10 3 3 2 2" xfId="16446"/>
    <cellStyle name="origAmountDrD 2 2 2 2 10" xfId="16447"/>
    <cellStyle name="origAmountDrD 2 2 2 2 11" xfId="16448"/>
    <cellStyle name="origAmountDrD 2 2 2 2 12" xfId="16449"/>
    <cellStyle name="常规 24 2 2" xfId="16450"/>
    <cellStyle name="常规 19 2 2" xfId="16451"/>
    <cellStyle name="origAmountDrD 2 2 2 2 2" xfId="16452"/>
    <cellStyle name="百分比 2 3 17" xfId="16453"/>
    <cellStyle name="PSDate 13" xfId="16454"/>
    <cellStyle name="origAmountDrD 2 2 2 2 3" xfId="16455"/>
    <cellStyle name="百分比 2 3 18" xfId="16456"/>
    <cellStyle name="PSDate 14" xfId="16457"/>
    <cellStyle name="PSDate 15" xfId="16458"/>
    <cellStyle name="origAmountDrD 2 2 2 2 4" xfId="16459"/>
    <cellStyle name="常规 162 2" xfId="16460"/>
    <cellStyle name="常规 157 2" xfId="16461"/>
    <cellStyle name="PSDate 16" xfId="16462"/>
    <cellStyle name="origAmountDrD 2 2 2 2 5" xfId="16463"/>
    <cellStyle name="常规 162 3" xfId="16464"/>
    <cellStyle name="常规 157 3" xfId="16465"/>
    <cellStyle name="PSDate 17" xfId="16466"/>
    <cellStyle name="origAmountDrD 2 2 2 2 6" xfId="16467"/>
    <cellStyle name="常规 162 4" xfId="16468"/>
    <cellStyle name="常规 157 4" xfId="16469"/>
    <cellStyle name="origAmountDrD 2 2 2 3" xfId="16470"/>
    <cellStyle name="常规 10 3 3 2 3" xfId="16471"/>
    <cellStyle name="常规 100 5 2" xfId="16472"/>
    <cellStyle name="origAmountDrD 2 2 2 4" xfId="16473"/>
    <cellStyle name="常规 100 5 3" xfId="16474"/>
    <cellStyle name="origAmountDrD 2 2 2 5" xfId="16475"/>
    <cellStyle name="汇总 2 9 3 2" xfId="16476"/>
    <cellStyle name="origAmountDrD 2 2 2 6" xfId="16477"/>
    <cellStyle name="汇总 2 9 3 3" xfId="16478"/>
    <cellStyle name="origAmountDrD 2 2 2 7" xfId="16479"/>
    <cellStyle name="origAmountDrD 2 2 2 8" xfId="16480"/>
    <cellStyle name="origAmountDrD 2 2 2 9" xfId="16481"/>
    <cellStyle name="origAmountDrD 2 2 3" xfId="16482"/>
    <cellStyle name="常规 10 3 3 3" xfId="16483"/>
    <cellStyle name="origAmountDrD 2 2 3 2" xfId="16484"/>
    <cellStyle name="origAmountDrD 2 2 3 3" xfId="16485"/>
    <cellStyle name="注释 2 8 2 10" xfId="16486"/>
    <cellStyle name="origAmountDrD 2 2 4" xfId="16487"/>
    <cellStyle name="注释 2 8 2 11" xfId="16488"/>
    <cellStyle name="origAmountDrD 2 2 5" xfId="16489"/>
    <cellStyle name="注释 2 8 2 12" xfId="16490"/>
    <cellStyle name="origAmountDrD 2 2 6" xfId="16491"/>
    <cellStyle name="origAmountDrD 2 2 7" xfId="16492"/>
    <cellStyle name="origAmountDrD 2 2 8" xfId="16493"/>
    <cellStyle name="origAmountDrD 2 2 9" xfId="16494"/>
    <cellStyle name="origAmountDrD 2 3 2" xfId="16495"/>
    <cellStyle name="输出 2 7 13" xfId="16496"/>
    <cellStyle name="origAmountDrD 2 3 2 12" xfId="16497"/>
    <cellStyle name="常规 134 2 2 10" xfId="16498"/>
    <cellStyle name="常规 129 2 2 10" xfId="16499"/>
    <cellStyle name="origAmountDrD 2 3 2 13" xfId="16500"/>
    <cellStyle name="常规 134 2 2 11" xfId="16501"/>
    <cellStyle name="常规 129 2 2 11" xfId="16502"/>
    <cellStyle name="origAmountDrD 2 3 2 14" xfId="16503"/>
    <cellStyle name="常规 134 2 2 12" xfId="16504"/>
    <cellStyle name="常规 129 2 2 12" xfId="16505"/>
    <cellStyle name="origAmountDrD 2 3 2 15" xfId="16506"/>
    <cellStyle name="常规 134 2 2 13" xfId="16507"/>
    <cellStyle name="常规 129 2 2 13" xfId="16508"/>
    <cellStyle name="origAmountDrD 2 3 2 16" xfId="16509"/>
    <cellStyle name="常规 134 2 2 14" xfId="16510"/>
    <cellStyle name="常规 129 2 2 14" xfId="16511"/>
    <cellStyle name="origAmountDrD 2 3 2 17" xfId="16512"/>
    <cellStyle name="常规 134 2 2 15" xfId="16513"/>
    <cellStyle name="常规 129 2 2 15" xfId="16514"/>
    <cellStyle name="origAmountDrD 2 3 2 2 10" xfId="16515"/>
    <cellStyle name="编号 9 3" xfId="16516"/>
    <cellStyle name="origAmountDrD 2 3 2 2 11" xfId="16517"/>
    <cellStyle name="编号 9 4" xfId="16518"/>
    <cellStyle name="origAmountDrD 2 3 2 2 12" xfId="16519"/>
    <cellStyle name="编号 9 5" xfId="16520"/>
    <cellStyle name="origAmountDrD 2 3 2 2 2" xfId="16521"/>
    <cellStyle name="origAmountDrD 2 3 2 2 3" xfId="16522"/>
    <cellStyle name="origAmountDrD 2 3 2 2 4" xfId="16523"/>
    <cellStyle name="origAmountDrD 2 3 2 2 5" xfId="16524"/>
    <cellStyle name="origAmountDrD 2 3 2 2 6" xfId="16525"/>
    <cellStyle name="origAmountDrD 2 3 2 2 7" xfId="16526"/>
    <cellStyle name="origAmountDrD 2 3 2 2 8" xfId="16527"/>
    <cellStyle name="origAmountDrD 2 3 2 2 9" xfId="16528"/>
    <cellStyle name="origAmountDrD 2 3 2 3 2" xfId="16529"/>
    <cellStyle name="常规 101 5 2 2" xfId="16530"/>
    <cellStyle name="origAmountDrD 2 3 2 3 3" xfId="16531"/>
    <cellStyle name="常规 101 5 2 3" xfId="16532"/>
    <cellStyle name="origAmountDrD 2 3 3" xfId="16533"/>
    <cellStyle name="输出 2 7 14" xfId="16534"/>
    <cellStyle name="origAmountDrD 2 3 3 2" xfId="16535"/>
    <cellStyle name="origAmountDrD 2 3 3 2 2" xfId="16536"/>
    <cellStyle name="origAmountDrD 2 3 3 3" xfId="16537"/>
    <cellStyle name="origAmountDrD 2 3 4" xfId="16538"/>
    <cellStyle name="输出 2 7 15" xfId="16539"/>
    <cellStyle name="origAmountDrD 2 3 5" xfId="16540"/>
    <cellStyle name="输出 2 7 16" xfId="16541"/>
    <cellStyle name="origAmountDrD 2 3 6" xfId="16542"/>
    <cellStyle name="输出 2 7 17" xfId="16543"/>
    <cellStyle name="origAmountDrD 2 3 7" xfId="16544"/>
    <cellStyle name="origAmountDrD 2 3 8" xfId="16545"/>
    <cellStyle name="origAmountDrD 2 3 9" xfId="16546"/>
    <cellStyle name="origAmountDrD 2 4 10" xfId="16547"/>
    <cellStyle name="常规 54 2 7" xfId="16548"/>
    <cellStyle name="常规 49 2 7" xfId="16549"/>
    <cellStyle name="百分比 2" xfId="16550"/>
    <cellStyle name="origAmountDrD 2 4 11" xfId="16551"/>
    <cellStyle name="常规 54 2 8" xfId="16552"/>
    <cellStyle name="常规 49 2 8" xfId="16553"/>
    <cellStyle name="百分比 3" xfId="16554"/>
    <cellStyle name="origAmountDrD 2 4 12" xfId="16555"/>
    <cellStyle name="常规 54 2 9" xfId="16556"/>
    <cellStyle name="常规 49 2 9" xfId="16557"/>
    <cellStyle name="百分比 4" xfId="16558"/>
    <cellStyle name="origAmountDrD 2 4 13" xfId="16559"/>
    <cellStyle name="origAmountDrD 2 4 14" xfId="16560"/>
    <cellStyle name="origAmountDrD 2 4 2 11" xfId="16561"/>
    <cellStyle name="origAmountDrD 2 4 2 12" xfId="16562"/>
    <cellStyle name="origAmountDrD 2 4 2 2" xfId="16563"/>
    <cellStyle name="origAmountDrD 2 4 2 2 2" xfId="16564"/>
    <cellStyle name="输出 3 2 9" xfId="16565"/>
    <cellStyle name="origAmountDrD 2 4 2 3" xfId="16566"/>
    <cellStyle name="常规 102 5 2" xfId="16567"/>
    <cellStyle name="origAmountDrD 2 4 2 4" xfId="16568"/>
    <cellStyle name="常规 102 5 3" xfId="16569"/>
    <cellStyle name="origAmountDrD 2 4 2 5" xfId="16570"/>
    <cellStyle name="origAmountDrD 2 4 2 6" xfId="16571"/>
    <cellStyle name="origAmountDrD 2 4 2 7" xfId="16572"/>
    <cellStyle name="origAmountDrD 2 4 2 8" xfId="16573"/>
    <cellStyle name="origAmountDrD 2 4 2 9" xfId="16574"/>
    <cellStyle name="origAmountDrD 2 4 3 2" xfId="16575"/>
    <cellStyle name="常规 54 2 12" xfId="16576"/>
    <cellStyle name="常规 49 2 12" xfId="16577"/>
    <cellStyle name="origAmountDrD 2 4 3 3" xfId="16578"/>
    <cellStyle name="常规 54 2 13" xfId="16579"/>
    <cellStyle name="常规 49 2 13" xfId="16580"/>
    <cellStyle name="origAmountDrD 2 5" xfId="16581"/>
    <cellStyle name="常规 10 3 6" xfId="16582"/>
    <cellStyle name="origAmountDrD 2 5 2" xfId="16583"/>
    <cellStyle name="标题 4 3 15" xfId="16584"/>
    <cellStyle name="origAmountDrD 2 5 2 2" xfId="16585"/>
    <cellStyle name="origAmountDrD 2 5 2 3" xfId="16586"/>
    <cellStyle name="常规 103 5 2" xfId="16587"/>
    <cellStyle name="origAmountDrD 2 5 3" xfId="16588"/>
    <cellStyle name="标题 4 3 16" xfId="16589"/>
    <cellStyle name="origAmountDrD 2 6" xfId="16590"/>
    <cellStyle name="常规 10 3 7" xfId="16591"/>
    <cellStyle name="origAmountDrD 2 8" xfId="16592"/>
    <cellStyle name="常规 10 3 9" xfId="16593"/>
    <cellStyle name="origAmountDrD 2 9" xfId="16594"/>
    <cellStyle name="origAmountDrD 31" xfId="16595"/>
    <cellStyle name="origAmountDrD 26" xfId="16596"/>
    <cellStyle name="汇总 3 2 2 2 8" xfId="16597"/>
    <cellStyle name="origAmountDrD 32" xfId="16598"/>
    <cellStyle name="origAmountDrD 27" xfId="16599"/>
    <cellStyle name="汇总 3 2 2 2 9" xfId="16600"/>
    <cellStyle name="origAmountDrD 33" xfId="16601"/>
    <cellStyle name="origAmountDrD 28" xfId="16602"/>
    <cellStyle name="origAmountDrD 29" xfId="16603"/>
    <cellStyle name="origAmountDrD 3 13" xfId="16604"/>
    <cellStyle name="origAmountDrD 3 14" xfId="16605"/>
    <cellStyle name="origAmountDrD 3 20" xfId="16606"/>
    <cellStyle name="origAmountDrD 3 15" xfId="16607"/>
    <cellStyle name="origAmountDrD 3 21" xfId="16608"/>
    <cellStyle name="origAmountDrD 3 16" xfId="16609"/>
    <cellStyle name="origAmountDrD 3 17" xfId="16610"/>
    <cellStyle name="origAmountDrD 3 18" xfId="16611"/>
    <cellStyle name="origAmountDrD 3 19" xfId="16612"/>
    <cellStyle name="常规 91 3 3 2 2" xfId="16613"/>
    <cellStyle name="常规 86 3 3 2 2" xfId="16614"/>
    <cellStyle name="origAmountDrD 3 2 10" xfId="16615"/>
    <cellStyle name="origAmountDrD 3 2 11" xfId="16616"/>
    <cellStyle name="origAmountDrD 3 2 12" xfId="16617"/>
    <cellStyle name="origAmountDrD 3 2 13" xfId="16618"/>
    <cellStyle name="origAmountDrD 3 2 14" xfId="16619"/>
    <cellStyle name="origAmountDrD 3 2 16" xfId="16620"/>
    <cellStyle name="origAmountDrD 3 2 17" xfId="16621"/>
    <cellStyle name="origAmountDrD 3 2 2" xfId="16622"/>
    <cellStyle name="origAmountDrD 3 2 2 10" xfId="16623"/>
    <cellStyle name="常规 60 3 2" xfId="16624"/>
    <cellStyle name="常规 55 3 2" xfId="16625"/>
    <cellStyle name="origAmountDrD 3 2 2 11" xfId="16626"/>
    <cellStyle name="常规 60 3 3" xfId="16627"/>
    <cellStyle name="常规 55 3 3" xfId="16628"/>
    <cellStyle name="origAmountDrD 3 2 3" xfId="16629"/>
    <cellStyle name="输出 3 8 2 10" xfId="16630"/>
    <cellStyle name="origAmountDrD 3 2 3 2" xfId="16631"/>
    <cellStyle name="输出 3 8 2 11" xfId="16632"/>
    <cellStyle name="origAmountDrD 3 2 4" xfId="16633"/>
    <cellStyle name="输出 3 8 2 12" xfId="16634"/>
    <cellStyle name="origAmountDrD 3 2 5" xfId="16635"/>
    <cellStyle name="origAmountDrD 3 2 6" xfId="16636"/>
    <cellStyle name="origAmountDrD 3 2 7" xfId="16637"/>
    <cellStyle name="origAmountDrD 3 3" xfId="16638"/>
    <cellStyle name="origAmountDrD 3 3 2" xfId="16639"/>
    <cellStyle name="origAmountDrD 3 3 2 2" xfId="16640"/>
    <cellStyle name="常规 146 5 2" xfId="16641"/>
    <cellStyle name="常规 151 5 2" xfId="16642"/>
    <cellStyle name="origAmountDrD 3 3 2 3" xfId="16643"/>
    <cellStyle name="origAmountDrD 3 3 3" xfId="16644"/>
    <cellStyle name="常规 65 2 10" xfId="16645"/>
    <cellStyle name="常规 70 2 10" xfId="16646"/>
    <cellStyle name="origAmountDrD 3 4" xfId="16647"/>
    <cellStyle name="常规 65 2 11" xfId="16648"/>
    <cellStyle name="常规 70 2 11" xfId="16649"/>
    <cellStyle name="origAmountDrD 3 5" xfId="16650"/>
    <cellStyle name="常规 65 2 12" xfId="16651"/>
    <cellStyle name="常规 70 2 12" xfId="16652"/>
    <cellStyle name="origAmountDrD 3 6" xfId="16653"/>
    <cellStyle name="常规 65 2 13" xfId="16654"/>
    <cellStyle name="常规 70 2 13" xfId="16655"/>
    <cellStyle name="origAmountDrD 3 7" xfId="16656"/>
    <cellStyle name="常规 65 2 14" xfId="16657"/>
    <cellStyle name="常规 70 2 14" xfId="16658"/>
    <cellStyle name="标题 3 4 2 2" xfId="16659"/>
    <cellStyle name="origAmountDrD 3 8" xfId="16660"/>
    <cellStyle name="常规 65 2 15" xfId="16661"/>
    <cellStyle name="常规 70 2 15" xfId="16662"/>
    <cellStyle name="origAmountDrD 3 9" xfId="16663"/>
    <cellStyle name="origAmountDrD 4" xfId="16664"/>
    <cellStyle name="origAmountDrD 4 11" xfId="16665"/>
    <cellStyle name="origAmountDrD 4 12" xfId="16666"/>
    <cellStyle name="origAmountDrD 4 13" xfId="16667"/>
    <cellStyle name="origAmountDrD 4 14" xfId="16668"/>
    <cellStyle name="origAmountDrD 4 15" xfId="16669"/>
    <cellStyle name="origAmountDrD 4 20" xfId="16670"/>
    <cellStyle name="origAmountDrD 4 16" xfId="16671"/>
    <cellStyle name="origAmountDrD 4 21" xfId="16672"/>
    <cellStyle name="origAmountDrD 4 17" xfId="16673"/>
    <cellStyle name="origAmountDrD 4 18" xfId="16674"/>
    <cellStyle name="origAmountDrD 4 19" xfId="16675"/>
    <cellStyle name="常规 38 17" xfId="16676"/>
    <cellStyle name="常规 38 22" xfId="16677"/>
    <cellStyle name="常规 43 17" xfId="16678"/>
    <cellStyle name="常规 43 22" xfId="16679"/>
    <cellStyle name="编号 12 16" xfId="16680"/>
    <cellStyle name="origAmountDrD 4 2 11" xfId="16681"/>
    <cellStyle name="常规 38 18" xfId="16682"/>
    <cellStyle name="常规 38 23" xfId="16683"/>
    <cellStyle name="常规 43 18" xfId="16684"/>
    <cellStyle name="常规 43 23" xfId="16685"/>
    <cellStyle name="编号 12 17" xfId="16686"/>
    <cellStyle name="origAmountDrD 4 2 12" xfId="16687"/>
    <cellStyle name="常规 38 19" xfId="16688"/>
    <cellStyle name="常规 43 19" xfId="16689"/>
    <cellStyle name="origAmountDrD 4 2 13" xfId="16690"/>
    <cellStyle name="origAmountDrD 4 2 14" xfId="16691"/>
    <cellStyle name="标题1 2 10" xfId="16692"/>
    <cellStyle name="origAmountDrD 4 2 15" xfId="16693"/>
    <cellStyle name="标题1 2 11" xfId="16694"/>
    <cellStyle name="origAmountDrD 4 2 16" xfId="16695"/>
    <cellStyle name="标题1 2 12" xfId="16696"/>
    <cellStyle name="origAmountDrD 4 2 17" xfId="16697"/>
    <cellStyle name="编号 12 3" xfId="16698"/>
    <cellStyle name="origAmountDrD 4 2 2" xfId="16699"/>
    <cellStyle name="强调 3 2 2" xfId="16700"/>
    <cellStyle name="origAmountDrD 4 2 2 10" xfId="16701"/>
    <cellStyle name="强调 3 2 3" xfId="16702"/>
    <cellStyle name="origAmountDrD 4 2 2 11" xfId="16703"/>
    <cellStyle name="强调 3 2 4" xfId="16704"/>
    <cellStyle name="origAmountDrD 4 2 2 12" xfId="16705"/>
    <cellStyle name="计算 2 5 13" xfId="16706"/>
    <cellStyle name="origAmountDrD 4 2 2 2 2" xfId="16707"/>
    <cellStyle name="标题1 2 2" xfId="16708"/>
    <cellStyle name="编号 12 4" xfId="16709"/>
    <cellStyle name="origAmountDrD 4 2 3" xfId="16710"/>
    <cellStyle name="标题1 2 2 2" xfId="16711"/>
    <cellStyle name="origAmountDrD 4 2 3 2" xfId="16712"/>
    <cellStyle name="origAmountDrD 4 2 3 3" xfId="16713"/>
    <cellStyle name="标题1 2 3" xfId="16714"/>
    <cellStyle name="编号 12 5" xfId="16715"/>
    <cellStyle name="origAmountDrD 4 2 4" xfId="16716"/>
    <cellStyle name="标题1 2 4" xfId="16717"/>
    <cellStyle name="编号 12 6" xfId="16718"/>
    <cellStyle name="origAmountDrD 4 2 5" xfId="16719"/>
    <cellStyle name="标题1 2 5" xfId="16720"/>
    <cellStyle name="编号 12 7" xfId="16721"/>
    <cellStyle name="origAmountDrD 4 2 6" xfId="16722"/>
    <cellStyle name="标题1 2 6" xfId="16723"/>
    <cellStyle name="编号 12 8" xfId="16724"/>
    <cellStyle name="origAmountDrD 4 2 7" xfId="16725"/>
    <cellStyle name="标题1 2 7" xfId="16726"/>
    <cellStyle name="编号 12 9" xfId="16727"/>
    <cellStyle name="origAmountDrD 4 2 8" xfId="16728"/>
    <cellStyle name="标题1 2 8" xfId="16729"/>
    <cellStyle name="编号 4 10" xfId="16730"/>
    <cellStyle name="origAmountDrD 4 2 9" xfId="16731"/>
    <cellStyle name="origAmountDrD 4 3" xfId="16732"/>
    <cellStyle name="编号 13 3" xfId="16733"/>
    <cellStyle name="origAmountDrD 4 3 2" xfId="16734"/>
    <cellStyle name="常规 39 3 7" xfId="16735"/>
    <cellStyle name="常规 44 3 7" xfId="16736"/>
    <cellStyle name="origAmountDrD 4 3 2 2" xfId="16737"/>
    <cellStyle name="常规 39 3 8" xfId="16738"/>
    <cellStyle name="常规 44 3 8" xfId="16739"/>
    <cellStyle name="origAmountDrD 4 3 2 3" xfId="16740"/>
    <cellStyle name="标题1 3 2" xfId="16741"/>
    <cellStyle name="编号 13 4" xfId="16742"/>
    <cellStyle name="origAmountDrD 4 3 3" xfId="16743"/>
    <cellStyle name="origAmountDrD 4 4" xfId="16744"/>
    <cellStyle name="origAmountDrD 4 5" xfId="16745"/>
    <cellStyle name="origAmountDrD 4 6" xfId="16746"/>
    <cellStyle name="origAmountDrD 4 7" xfId="16747"/>
    <cellStyle name="origAmountDrD 4 8" xfId="16748"/>
    <cellStyle name="常规 101 3 3 2 2" xfId="16749"/>
    <cellStyle name="origAmountDrD 4 9" xfId="16750"/>
    <cellStyle name="origAmountDrD 5" xfId="16751"/>
    <cellStyle name="origAmountDrD 5 10" xfId="16752"/>
    <cellStyle name="origAmountDrD 5 11" xfId="16753"/>
    <cellStyle name="origAmountDrD 5 12" xfId="16754"/>
    <cellStyle name="origAmountDrD 5 13" xfId="16755"/>
    <cellStyle name="输入 2 2 10 2 10" xfId="16756"/>
    <cellStyle name="origAmountDrD 5 14" xfId="16757"/>
    <cellStyle name="输入 2 2 10 2 11" xfId="16758"/>
    <cellStyle name="汇总 3 2 10 3 2" xfId="16759"/>
    <cellStyle name="origAmountDrD 5 15" xfId="16760"/>
    <cellStyle name="origAmountDrD 5 20" xfId="16761"/>
    <cellStyle name="输入 2 2 10 2 12" xfId="16762"/>
    <cellStyle name="汇总 3 2 10 3 3" xfId="16763"/>
    <cellStyle name="per.style" xfId="16764"/>
    <cellStyle name="origAmountDrD 5 16" xfId="16765"/>
    <cellStyle name="origAmountDrD 5 21" xfId="16766"/>
    <cellStyle name="origAmountDrD 5 17" xfId="16767"/>
    <cellStyle name="origAmountDrD 5 18" xfId="16768"/>
    <cellStyle name="origAmountDrD 5 19" xfId="16769"/>
    <cellStyle name="汇总 3 2 2 2 12" xfId="16770"/>
    <cellStyle name="origAmountDrD 5 2" xfId="16771"/>
    <cellStyle name="origAmountDrD 5 2 2" xfId="16772"/>
    <cellStyle name="origAmountDrD 5 2 2 10" xfId="16773"/>
    <cellStyle name="origAmountDrD 5 2 2 11" xfId="16774"/>
    <cellStyle name="origAmountDrD 5 2 2 12" xfId="16775"/>
    <cellStyle name="origAmountDrD 5 2 3" xfId="16776"/>
    <cellStyle name="origAmountDrD 5 2 3 2" xfId="16777"/>
    <cellStyle name="origAmountDrD 5 2 4" xfId="16778"/>
    <cellStyle name="origAmountDrD 5 2 5" xfId="16779"/>
    <cellStyle name="origAmountDrD 5 2 6" xfId="16780"/>
    <cellStyle name="origAmountDrD 5 2 7" xfId="16781"/>
    <cellStyle name="origAmountDrD 5 2 8" xfId="16782"/>
    <cellStyle name="编号 9 10" xfId="16783"/>
    <cellStyle name="origAmountDrD 5 2 9" xfId="16784"/>
    <cellStyle name="origAmountDrD 5 3" xfId="16785"/>
    <cellStyle name="origAmountDrD 5 3 2" xfId="16786"/>
    <cellStyle name="常规 89 3 7" xfId="16787"/>
    <cellStyle name="常规 94 3 7" xfId="16788"/>
    <cellStyle name="输入 2 2 12 8" xfId="16789"/>
    <cellStyle name="origAmountDrD 5 3 2 2" xfId="16790"/>
    <cellStyle name="常规 89 3 8" xfId="16791"/>
    <cellStyle name="常规 94 3 8" xfId="16792"/>
    <cellStyle name="输入 2 2 12 9" xfId="16793"/>
    <cellStyle name="origAmountDrD 5 3 2 3" xfId="16794"/>
    <cellStyle name="origAmountDrD 5 3 3" xfId="16795"/>
    <cellStyle name="origAmountDrD 5 4" xfId="16796"/>
    <cellStyle name="origAmountDrD 5 5" xfId="16797"/>
    <cellStyle name="origAmountDrD 5 6" xfId="16798"/>
    <cellStyle name="origAmountDrD 5 7" xfId="16799"/>
    <cellStyle name="origAmountDrD 5 8" xfId="16800"/>
    <cellStyle name="origAmountDrD 5 9" xfId="16801"/>
    <cellStyle name="origAmountDrD 6" xfId="16802"/>
    <cellStyle name="origAmountDrD 6 10" xfId="16803"/>
    <cellStyle name="origAmountDrD 6 11" xfId="16804"/>
    <cellStyle name="origAmountDrD 6 12" xfId="16805"/>
    <cellStyle name="origAmountDrD 6 13" xfId="16806"/>
    <cellStyle name="origAmountDrD 6 14" xfId="16807"/>
    <cellStyle name="origAmountDrD 6 15" xfId="16808"/>
    <cellStyle name="origAmountDrD 6 20" xfId="16809"/>
    <cellStyle name="origAmountDrD 6 16" xfId="16810"/>
    <cellStyle name="origAmountDrD 6 21" xfId="16811"/>
    <cellStyle name="origAmountDrD 6 17" xfId="16812"/>
    <cellStyle name="origAmountDrD 6 18" xfId="16813"/>
    <cellStyle name="origAmountDrD 6 19" xfId="16814"/>
    <cellStyle name="origAmountDrD 6 2" xfId="16815"/>
    <cellStyle name="origAmountDrD 6 2 10" xfId="16816"/>
    <cellStyle name="常规 7 2" xfId="16817"/>
    <cellStyle name="origAmountDrD 6 2 11" xfId="16818"/>
    <cellStyle name="常规 7 3" xfId="16819"/>
    <cellStyle name="origAmountDrD 6 2 12" xfId="16820"/>
    <cellStyle name="常规 7 4" xfId="16821"/>
    <cellStyle name="origAmountDrD 6 2 13" xfId="16822"/>
    <cellStyle name="常规 7 5" xfId="16823"/>
    <cellStyle name="origAmountDrD 6 2 14" xfId="16824"/>
    <cellStyle name="常规 7 6" xfId="16825"/>
    <cellStyle name="origAmountDrD 6 2 15" xfId="16826"/>
    <cellStyle name="常规 7 7" xfId="16827"/>
    <cellStyle name="origAmountDrD 6 2 16" xfId="16828"/>
    <cellStyle name="常规 7 8" xfId="16829"/>
    <cellStyle name="origAmountDrD 6 2 17" xfId="16830"/>
    <cellStyle name="origAmountDrD 6 2 2" xfId="16831"/>
    <cellStyle name="origAmountDrD 6 2 2 10" xfId="16832"/>
    <cellStyle name="常规 68 3 2" xfId="16833"/>
    <cellStyle name="常规 73 3 2" xfId="16834"/>
    <cellStyle name="origAmountDrD 6 2 2 11" xfId="16835"/>
    <cellStyle name="常规 68 3 3" xfId="16836"/>
    <cellStyle name="常规 73 3 3" xfId="16837"/>
    <cellStyle name="origAmountDrD 6 2 2 12" xfId="16838"/>
    <cellStyle name="汇总 2 2 4 2 9" xfId="16839"/>
    <cellStyle name="注释 2 2 2 14" xfId="16840"/>
    <cellStyle name="origAmountDrD 6 2 2 2 2" xfId="16841"/>
    <cellStyle name="origAmountDrD 6 2 3" xfId="16842"/>
    <cellStyle name="常规 36 7" xfId="16843"/>
    <cellStyle name="常规 41 7" xfId="16844"/>
    <cellStyle name="origAmountDrD 6 2 3 2" xfId="16845"/>
    <cellStyle name="常规 36 8" xfId="16846"/>
    <cellStyle name="常规 41 8" xfId="16847"/>
    <cellStyle name="origAmountDrD 6 2 3 3" xfId="16848"/>
    <cellStyle name="origAmountDrD 6 2 4" xfId="16849"/>
    <cellStyle name="origAmountDrD 6 2 5" xfId="16850"/>
    <cellStyle name="origAmountDrD 6 2 6" xfId="16851"/>
    <cellStyle name="origAmountDrD 6 2 7" xfId="16852"/>
    <cellStyle name="origAmountDrD 6 2 8" xfId="16853"/>
    <cellStyle name="origAmountDrD 6 2 9" xfId="16854"/>
    <cellStyle name="origAmountDrD 6 3" xfId="16855"/>
    <cellStyle name="输出 3 2 13" xfId="16856"/>
    <cellStyle name="origAmountDrD 6 3 2" xfId="16857"/>
    <cellStyle name="输出 3 2 14" xfId="16858"/>
    <cellStyle name="origAmountDrD 6 3 3" xfId="16859"/>
    <cellStyle name="origAmountDrD 6 4" xfId="16860"/>
    <cellStyle name="origAmountDrD 6 5" xfId="16861"/>
    <cellStyle name="origAmountDrD 6 6" xfId="16862"/>
    <cellStyle name="origAmountDrD 6 7" xfId="16863"/>
    <cellStyle name="origAmountDrD 6 8" xfId="16864"/>
    <cellStyle name="origAmountDrD 6 9" xfId="16865"/>
    <cellStyle name="origAmountDrD 7" xfId="16866"/>
    <cellStyle name="origAmountDrD 7 13" xfId="16867"/>
    <cellStyle name="origAmountDrD 7 14" xfId="16868"/>
    <cellStyle name="origAmountDrD 7 15" xfId="16869"/>
    <cellStyle name="origAmountDrD 7 20" xfId="16870"/>
    <cellStyle name="origAmountDrD 7 16" xfId="16871"/>
    <cellStyle name="origAmountDrD 7 21" xfId="16872"/>
    <cellStyle name="origAmountDrD 7 17" xfId="16873"/>
    <cellStyle name="origAmountDrD 7 19" xfId="16874"/>
    <cellStyle name="origAmountDrD 7 2 10" xfId="16875"/>
    <cellStyle name="origAmountDrD 7 2 11" xfId="16876"/>
    <cellStyle name="origAmountDrD 7 2 12" xfId="16877"/>
    <cellStyle name="origAmountDrD 7 2 13" xfId="16878"/>
    <cellStyle name="origAmountDrD 7 2 14" xfId="16879"/>
    <cellStyle name="origAmountDrD 7 2 15" xfId="16880"/>
    <cellStyle name="常规 136 2 2 13" xfId="16881"/>
    <cellStyle name="常规 141 2 2 13" xfId="16882"/>
    <cellStyle name="origAmountDrD 7 2 2" xfId="16883"/>
    <cellStyle name="origAmountDrD 7 2 2 10" xfId="16884"/>
    <cellStyle name="origAmountDrD 7 2 2 11" xfId="16885"/>
    <cellStyle name="origAmountDrD 7 2 2 12" xfId="16886"/>
    <cellStyle name="汇总 3 2 4 2 9" xfId="16887"/>
    <cellStyle name="origAmountDrD 7 2 2 2 2" xfId="16888"/>
    <cellStyle name="常规 136 2 2 14" xfId="16889"/>
    <cellStyle name="常规 141 2 2 14" xfId="16890"/>
    <cellStyle name="origAmountDrD 7 2 3" xfId="16891"/>
    <cellStyle name="origAmountDrD 7 2 3 2" xfId="16892"/>
    <cellStyle name="origAmountDrD 7 2 3 3" xfId="16893"/>
    <cellStyle name="常规 136 2 2 15" xfId="16894"/>
    <cellStyle name="常规 141 2 2 15" xfId="16895"/>
    <cellStyle name="origAmountDrD 7 2 4" xfId="16896"/>
    <cellStyle name="常规 136 2 2 16" xfId="16897"/>
    <cellStyle name="常规 141 2 2 16" xfId="16898"/>
    <cellStyle name="origAmountDrD 7 2 5" xfId="16899"/>
    <cellStyle name="常规 136 2 2 17" xfId="16900"/>
    <cellStyle name="常规 141 2 2 17" xfId="16901"/>
    <cellStyle name="origAmountDrD 7 2 6" xfId="16902"/>
    <cellStyle name="常规 136 2 2 18" xfId="16903"/>
    <cellStyle name="常规 141 2 2 18" xfId="16904"/>
    <cellStyle name="origAmountDrD 7 2 7" xfId="16905"/>
    <cellStyle name="origAmountDrD 7 2 8" xfId="16906"/>
    <cellStyle name="origAmountDrD 7 2 9" xfId="16907"/>
    <cellStyle name="输出 3 7 13" xfId="16908"/>
    <cellStyle name="origAmountDrD 7 3 2" xfId="16909"/>
    <cellStyle name="origAmountDrD 7 3 2 2" xfId="16910"/>
    <cellStyle name="origAmountDrD 7 3 2 3" xfId="16911"/>
    <cellStyle name="origAmountDrD 7 5" xfId="16912"/>
    <cellStyle name="origAmountDrD 7 6" xfId="16913"/>
    <cellStyle name="常规 146 5 2 2" xfId="16914"/>
    <cellStyle name="常规 151 5 2 2" xfId="16915"/>
    <cellStyle name="origAmountDrD 7 7" xfId="16916"/>
    <cellStyle name="常规 146 5 2 3" xfId="16917"/>
    <cellStyle name="常规 151 5 2 3" xfId="16918"/>
    <cellStyle name="origAmountDrD 7 8" xfId="16919"/>
    <cellStyle name="origAmountDrD 7 9" xfId="16920"/>
    <cellStyle name="origAmountDrD 8" xfId="16921"/>
    <cellStyle name="origAmountDrD 8 10" xfId="16922"/>
    <cellStyle name="origAmountDrD 8 11" xfId="16923"/>
    <cellStyle name="origAmountDrD 8 12" xfId="16924"/>
    <cellStyle name="origAmountDrD 8 13" xfId="16925"/>
    <cellStyle name="origAmountDrD 8 14" xfId="16926"/>
    <cellStyle name="origAmountDrD 8 15" xfId="16927"/>
    <cellStyle name="origAmountDrD 8 16" xfId="16928"/>
    <cellStyle name="origAmountDrD 8 17" xfId="16929"/>
    <cellStyle name="origAmountDrD 8 18" xfId="16930"/>
    <cellStyle name="origAmountDrD 8 2" xfId="16931"/>
    <cellStyle name="origAmountDrD 8 2 10" xfId="16932"/>
    <cellStyle name="origAmountDrD 8 2 11" xfId="16933"/>
    <cellStyle name="origAmountDrD 8 2 12" xfId="16934"/>
    <cellStyle name="origAmountDrD 8 2 13" xfId="16935"/>
    <cellStyle name="origAmountDrD 8 2 14" xfId="16936"/>
    <cellStyle name="origAmountDrD 8 2 15" xfId="16937"/>
    <cellStyle name="origAmountDrD 8 2 16" xfId="16938"/>
    <cellStyle name="origAmountDrD 8 2 17" xfId="16939"/>
    <cellStyle name="origAmountDrD 8 2 2" xfId="16940"/>
    <cellStyle name="origAmountDrD 8 2 2 10" xfId="16941"/>
    <cellStyle name="origAmountDrD 8 2 2 11" xfId="16942"/>
    <cellStyle name="origAmountDrD 8 2 2 12" xfId="16943"/>
    <cellStyle name="输出 3 9 2 10" xfId="16944"/>
    <cellStyle name="origAmountDrD 8 2 3" xfId="16945"/>
    <cellStyle name="汇总 2 2 2 3 3" xfId="16946"/>
    <cellStyle name="origAmountDrD 8 2 3 2" xfId="16947"/>
    <cellStyle name="origAmountDrD 8 2 3 3" xfId="16948"/>
    <cellStyle name="输出 3 9 2 11" xfId="16949"/>
    <cellStyle name="origAmountDrD 8 2 4" xfId="16950"/>
    <cellStyle name="输出 3 9 2 12" xfId="16951"/>
    <cellStyle name="origAmountDrD 8 2 5" xfId="16952"/>
    <cellStyle name="origAmountDrD 8 2 6" xfId="16953"/>
    <cellStyle name="origAmountDrD 8 2 7" xfId="16954"/>
    <cellStyle name="origAmountDrD 8 2 8" xfId="16955"/>
    <cellStyle name="origAmountDrD 8 2 9" xfId="16956"/>
    <cellStyle name="origAmountDrD 8 3" xfId="16957"/>
    <cellStyle name="origAmountDrD 8 3 2" xfId="16958"/>
    <cellStyle name="汇总 2 2 3 2 3" xfId="16959"/>
    <cellStyle name="origAmountDrD 8 3 2 2" xfId="16960"/>
    <cellStyle name="汇总 2 2 3 2 4" xfId="16961"/>
    <cellStyle name="origAmountDrD 8 3 2 3" xfId="16962"/>
    <cellStyle name="origAmountDrD 8 3 3" xfId="16963"/>
    <cellStyle name="常规 65 3 10" xfId="16964"/>
    <cellStyle name="常规 70 3 10" xfId="16965"/>
    <cellStyle name="origAmountDrD 8 4" xfId="16966"/>
    <cellStyle name="常规 65 3 11" xfId="16967"/>
    <cellStyle name="常规 70 3 11" xfId="16968"/>
    <cellStyle name="origAmountDrD 8 5" xfId="16969"/>
    <cellStyle name="常规 65 3 12" xfId="16970"/>
    <cellStyle name="常规 70 3 12" xfId="16971"/>
    <cellStyle name="origAmountDrD 8 6" xfId="16972"/>
    <cellStyle name="常规 65 3 13" xfId="16973"/>
    <cellStyle name="常规 70 3 13" xfId="16974"/>
    <cellStyle name="origAmountDrD 8 7" xfId="16975"/>
    <cellStyle name="常规 37 5 2 2" xfId="16976"/>
    <cellStyle name="常规 42 5 2 2" xfId="16977"/>
    <cellStyle name="常规 65 3 14" xfId="16978"/>
    <cellStyle name="常规 70 3 14" xfId="16979"/>
    <cellStyle name="origAmountDrD 8 8" xfId="16980"/>
    <cellStyle name="常规 37 5 2 3" xfId="16981"/>
    <cellStyle name="常规 42 5 2 3" xfId="16982"/>
    <cellStyle name="常规 65 3 15" xfId="16983"/>
    <cellStyle name="常规 70 3 15" xfId="16984"/>
    <cellStyle name="origAmountDrD 8 9" xfId="16985"/>
    <cellStyle name="origAmountDrD 9" xfId="16986"/>
    <cellStyle name="origAmountDrD 9 10" xfId="16987"/>
    <cellStyle name="origAmountDrD 9 11" xfId="16988"/>
    <cellStyle name="origAmountDrD 9 12" xfId="16989"/>
    <cellStyle name="origAmountDrD 9 13" xfId="16990"/>
    <cellStyle name="origAmountDrD 9 14" xfId="16991"/>
    <cellStyle name="origAmountDrD 9 15" xfId="16992"/>
    <cellStyle name="origAmountDrD 9 16" xfId="16993"/>
    <cellStyle name="origAmountDrD 9 17" xfId="16994"/>
    <cellStyle name="origAmountDrD 9 18" xfId="16995"/>
    <cellStyle name="origAmountDrD 9 2" xfId="16996"/>
    <cellStyle name="origAmountDrD 9 2 10" xfId="16997"/>
    <cellStyle name="origAmountDrD 9 2 11" xfId="16998"/>
    <cellStyle name="origAmountDrD 9 2 12" xfId="16999"/>
    <cellStyle name="origAmountDrD 9 2 13" xfId="17000"/>
    <cellStyle name="origAmountDrD 9 2 14" xfId="17001"/>
    <cellStyle name="origAmountDrD 9 2 15" xfId="17002"/>
    <cellStyle name="origAmountDrD 9 2 16" xfId="17003"/>
    <cellStyle name="origAmountDrD 9 2 17" xfId="17004"/>
    <cellStyle name="常规 35 2 3 3" xfId="17005"/>
    <cellStyle name="常规 40 2 3 3" xfId="17006"/>
    <cellStyle name="origAmountDrD 9 2 2" xfId="17007"/>
    <cellStyle name="强调文字颜色 6 2" xfId="17008"/>
    <cellStyle name="origAmountDrD 9 2 2 10" xfId="17009"/>
    <cellStyle name="强调文字颜色 6 3" xfId="17010"/>
    <cellStyle name="origAmountDrD 9 2 2 11" xfId="17011"/>
    <cellStyle name="强调文字颜色 6 4" xfId="17012"/>
    <cellStyle name="常规 86 3 2" xfId="17013"/>
    <cellStyle name="常规 91 3 2" xfId="17014"/>
    <cellStyle name="origAmountDrD 9 2 2 12" xfId="17015"/>
    <cellStyle name="汇总 2 3 2 2 3" xfId="17016"/>
    <cellStyle name="origAmountDrD 9 2 2 2" xfId="17017"/>
    <cellStyle name="origAmountDrD 9 2 2 2 2" xfId="17018"/>
    <cellStyle name="汇总 2 3 2 2 4" xfId="17019"/>
    <cellStyle name="origAmountDrD 9 2 2 3" xfId="17020"/>
    <cellStyle name="汇总 2 3 2 2 5" xfId="17021"/>
    <cellStyle name="origAmountDrD 9 2 2 4" xfId="17022"/>
    <cellStyle name="汇总 2 3 2 2 7" xfId="17023"/>
    <cellStyle name="origAmountDrD 9 2 2 6" xfId="17024"/>
    <cellStyle name="常规 86 10" xfId="17025"/>
    <cellStyle name="常规 91 10" xfId="17026"/>
    <cellStyle name="汇总 2 3 2 2 8" xfId="17027"/>
    <cellStyle name="origAmountDrD 9 2 2 7" xfId="17028"/>
    <cellStyle name="常规 86 11" xfId="17029"/>
    <cellStyle name="常规 91 11" xfId="17030"/>
    <cellStyle name="输出 3 2 11 2 2" xfId="17031"/>
    <cellStyle name="汇总 2 3 2 2 9" xfId="17032"/>
    <cellStyle name="origAmountDrD 9 2 2 8" xfId="17033"/>
    <cellStyle name="常规 86 12" xfId="17034"/>
    <cellStyle name="常规 91 12" xfId="17035"/>
    <cellStyle name="输出 3 2 11 2 3" xfId="17036"/>
    <cellStyle name="origAmountDrD 9 2 2 9" xfId="17037"/>
    <cellStyle name="origAmountDrD 9 2 3" xfId="17038"/>
    <cellStyle name="origAmountDrD 9 2 3 2" xfId="17039"/>
    <cellStyle name="origAmountDrD 9 2 3 3" xfId="17040"/>
    <cellStyle name="origAmountDrD 9 2 4" xfId="17041"/>
    <cellStyle name="origAmountDrD 9 2 5" xfId="17042"/>
    <cellStyle name="origAmountDrD 9 2 6" xfId="17043"/>
    <cellStyle name="origAmountDrD 9 2 7" xfId="17044"/>
    <cellStyle name="origAmountDrD 9 2 8" xfId="17045"/>
    <cellStyle name="origAmountDrD 9 2 9" xfId="17046"/>
    <cellStyle name="origAmountDrD 9 3" xfId="17047"/>
    <cellStyle name="origAmountDrD 9 3 2" xfId="17048"/>
    <cellStyle name="千位分隔 2 2 14" xfId="17049"/>
    <cellStyle name="汇总 2 3 3 2 3" xfId="17050"/>
    <cellStyle name="origAmountDrD 9 3 2 2" xfId="17051"/>
    <cellStyle name="千位分隔 2 2 15" xfId="17052"/>
    <cellStyle name="汇总 2 3 3 2 4" xfId="17053"/>
    <cellStyle name="origAmountDrD 9 3 2 3" xfId="17054"/>
    <cellStyle name="origAmountDrD 9 3 3" xfId="17055"/>
    <cellStyle name="origAmountDrD 9 4" xfId="17056"/>
    <cellStyle name="origAmountDrD 9 5" xfId="17057"/>
    <cellStyle name="origAmountDrD 9 6" xfId="17058"/>
    <cellStyle name="origAmountDrD 9 7" xfId="17059"/>
    <cellStyle name="origAmountDrD 9 8" xfId="17060"/>
    <cellStyle name="per.style 10" xfId="17061"/>
    <cellStyle name="per.style 11" xfId="17062"/>
    <cellStyle name="per.style 12" xfId="17063"/>
    <cellStyle name="per.style 13" xfId="17064"/>
    <cellStyle name="per.style 14" xfId="17065"/>
    <cellStyle name="per.style 15" xfId="17066"/>
    <cellStyle name="常规 88 2 2 10" xfId="17067"/>
    <cellStyle name="常规 93 2 2 10" xfId="17068"/>
    <cellStyle name="per.style 16" xfId="17069"/>
    <cellStyle name="常规 88 2 2 11" xfId="17070"/>
    <cellStyle name="常规 93 2 2 11" xfId="17071"/>
    <cellStyle name="per.style 17" xfId="17072"/>
    <cellStyle name="常规 88 2 2 12" xfId="17073"/>
    <cellStyle name="常规 93 2 2 12" xfId="17074"/>
    <cellStyle name="per.style 18" xfId="17075"/>
    <cellStyle name="per.style 2 10" xfId="17076"/>
    <cellStyle name="per.style 2 11" xfId="17077"/>
    <cellStyle name="per.style 2 12" xfId="17078"/>
    <cellStyle name="per.style 2 15" xfId="17079"/>
    <cellStyle name="per.style 2 16" xfId="17080"/>
    <cellStyle name="per.style 2 17" xfId="17081"/>
    <cellStyle name="per.style 2 2" xfId="17082"/>
    <cellStyle name="强调文字颜色 2 2 2 5" xfId="17083"/>
    <cellStyle name="常规 137 3 15" xfId="17084"/>
    <cellStyle name="常规 142 3 15" xfId="17085"/>
    <cellStyle name="per.style 2 2 2" xfId="17086"/>
    <cellStyle name="per.style 2 3" xfId="17087"/>
    <cellStyle name="汇总 2 2 3 2 10" xfId="17088"/>
    <cellStyle name="per.style 2 4" xfId="17089"/>
    <cellStyle name="汇总 2 2 3 2 11" xfId="17090"/>
    <cellStyle name="per.style 2 5" xfId="17091"/>
    <cellStyle name="汇总 2 2 3 2 12" xfId="17092"/>
    <cellStyle name="per.style 2 6" xfId="17093"/>
    <cellStyle name="per.style 2 7" xfId="17094"/>
    <cellStyle name="per.style 2 8" xfId="17095"/>
    <cellStyle name="per.style 2 9" xfId="17096"/>
    <cellStyle name="per.style 3 2" xfId="17097"/>
    <cellStyle name="per.style 8" xfId="17098"/>
    <cellStyle name="per.style 9" xfId="17099"/>
    <cellStyle name="Percent [2] 10" xfId="17100"/>
    <cellStyle name="Percent [2] 11" xfId="17101"/>
    <cellStyle name="Percent [2] 12" xfId="17102"/>
    <cellStyle name="适中 3 3 2" xfId="17103"/>
    <cellStyle name="常规 47 3 10" xfId="17104"/>
    <cellStyle name="常规 52 3 10" xfId="17105"/>
    <cellStyle name="Percent [2] 13" xfId="17106"/>
    <cellStyle name="汇总 2 7 10" xfId="17107"/>
    <cellStyle name="常规 47 3 11" xfId="17108"/>
    <cellStyle name="常规 52 3 11" xfId="17109"/>
    <cellStyle name="Percent [2] 14" xfId="17110"/>
    <cellStyle name="汇总 2 7 11" xfId="17111"/>
    <cellStyle name="常规 47 3 12" xfId="17112"/>
    <cellStyle name="常规 52 3 12" xfId="17113"/>
    <cellStyle name="Percent [2] 15" xfId="17114"/>
    <cellStyle name="汇总 2 7 12" xfId="17115"/>
    <cellStyle name="常规 47 3 13" xfId="17116"/>
    <cellStyle name="常规 52 3 13" xfId="17117"/>
    <cellStyle name="Percent [2] 16" xfId="17118"/>
    <cellStyle name="汇总 2 7 13" xfId="17119"/>
    <cellStyle name="常规 47 3 14" xfId="17120"/>
    <cellStyle name="常规 52 3 14" xfId="17121"/>
    <cellStyle name="Percent [2] 17" xfId="17122"/>
    <cellStyle name="汇总 2 7 14" xfId="17123"/>
    <cellStyle name="常规 47 3 15" xfId="17124"/>
    <cellStyle name="常规 52 3 15" xfId="17125"/>
    <cellStyle name="Percent [2] 18" xfId="17126"/>
    <cellStyle name="常规 56 2 17" xfId="17127"/>
    <cellStyle name="常规 61 2 17" xfId="17128"/>
    <cellStyle name="Percent [2] 2" xfId="17129"/>
    <cellStyle name="Percent [2] 2 11" xfId="17130"/>
    <cellStyle name="Percent [2] 2 12" xfId="17131"/>
    <cellStyle name="Percent [2] 2 13" xfId="17132"/>
    <cellStyle name="Percent [2] 2 14" xfId="17133"/>
    <cellStyle name="常规 97 2 3" xfId="17134"/>
    <cellStyle name="编号 3 10" xfId="17135"/>
    <cellStyle name="Percent [2] 2 17" xfId="17136"/>
    <cellStyle name="Percent [2] 2 2" xfId="17137"/>
    <cellStyle name="Percent [2] 6" xfId="17138"/>
    <cellStyle name="Percent [2] 2 2 2" xfId="17139"/>
    <cellStyle name="Percent [2] 2 3" xfId="17140"/>
    <cellStyle name="Percent [2] 2 4" xfId="17141"/>
    <cellStyle name="PSHeading 15 12" xfId="17142"/>
    <cellStyle name="Percent [2] 2 7" xfId="17143"/>
    <cellStyle name="PSHeading 15 13" xfId="17144"/>
    <cellStyle name="Percent [2] 2 8" xfId="17145"/>
    <cellStyle name="PSHeading 15 14" xfId="17146"/>
    <cellStyle name="Percent [2] 2 9" xfId="17147"/>
    <cellStyle name="常规 56 2 18" xfId="17148"/>
    <cellStyle name="常规 61 2 18" xfId="17149"/>
    <cellStyle name="Percent [2] 3" xfId="17150"/>
    <cellStyle name="汇总 2 7 2 7" xfId="17151"/>
    <cellStyle name="Percent [2] 3 2" xfId="17152"/>
    <cellStyle name="常规 56 2 19" xfId="17153"/>
    <cellStyle name="常规 61 2 19" xfId="17154"/>
    <cellStyle name="Percent [2] 4" xfId="17155"/>
    <cellStyle name="Percent [2] 5" xfId="17156"/>
    <cellStyle name="Percent [2] 7" xfId="17157"/>
    <cellStyle name="常规 136 5 2 2" xfId="17158"/>
    <cellStyle name="常规 141 5 2 2" xfId="17159"/>
    <cellStyle name="Percent [2] 8" xfId="17160"/>
    <cellStyle name="常规 136 5 2 3" xfId="17161"/>
    <cellStyle name="常规 141 5 2 3" xfId="17162"/>
    <cellStyle name="Percent [2] 9" xfId="17163"/>
    <cellStyle name="计算 2 25" xfId="17164"/>
    <cellStyle name="Percent_!!!GO" xfId="17165"/>
    <cellStyle name="输出 3 2 5 2 7" xfId="17166"/>
    <cellStyle name="periodBeginBalanceOrigAmountCrD" xfId="17167"/>
    <cellStyle name="periodBeginBalanceOrigAmountCrT" xfId="17168"/>
    <cellStyle name="periodBeginBalanceOrigAmountDrT" xfId="17169"/>
    <cellStyle name="periodEndBalanceOrigAmountCrD" xfId="17170"/>
    <cellStyle name="periodEndBalanceOrigAmountCrT" xfId="17171"/>
    <cellStyle name="periodEndBalanceOrigAmountDrD" xfId="17172"/>
    <cellStyle name="常规 104 15" xfId="17173"/>
    <cellStyle name="常规 104 20" xfId="17174"/>
    <cellStyle name="periodEndBalanceOrigAmountDrT" xfId="17175"/>
    <cellStyle name="常规 137 5" xfId="17176"/>
    <cellStyle name="常规 142 5" xfId="17177"/>
    <cellStyle name="常规 5 2 5" xfId="17178"/>
    <cellStyle name="Pourcentage_pldt" xfId="17179"/>
    <cellStyle name="PSChar" xfId="17180"/>
    <cellStyle name="PSChar 2 10" xfId="17181"/>
    <cellStyle name="PSChar 2 11" xfId="17182"/>
    <cellStyle name="PSChar 2 12" xfId="17183"/>
    <cellStyle name="PSChar 2 13" xfId="17184"/>
    <cellStyle name="PSChar 2 14" xfId="17185"/>
    <cellStyle name="PSChar 2 17" xfId="17186"/>
    <cellStyle name="PSChar 2 2" xfId="17187"/>
    <cellStyle name="PSChar 2 2 2" xfId="17188"/>
    <cellStyle name="PSChar 2 3" xfId="17189"/>
    <cellStyle name="PSChar 2 4" xfId="17190"/>
    <cellStyle name="PSChar 2 5" xfId="17191"/>
    <cellStyle name="PSChar 2 6" xfId="17192"/>
    <cellStyle name="PSChar 2 7" xfId="17193"/>
    <cellStyle name="PSChar 2 8" xfId="17194"/>
    <cellStyle name="PSChar 2 9" xfId="17195"/>
    <cellStyle name="PSDate 10" xfId="17196"/>
    <cellStyle name="百分比 2 3 14" xfId="17197"/>
    <cellStyle name="PSDate 11" xfId="17198"/>
    <cellStyle name="百分比 2 3 15" xfId="17199"/>
    <cellStyle name="PSDate 12" xfId="17200"/>
    <cellStyle name="百分比 2 3 16" xfId="17201"/>
    <cellStyle name="PSDate 2" xfId="17202"/>
    <cellStyle name="PSDate 2 10" xfId="17203"/>
    <cellStyle name="PSDate 2 11" xfId="17204"/>
    <cellStyle name="PSDate 2 12" xfId="17205"/>
    <cellStyle name="PSDate 2 13" xfId="17206"/>
    <cellStyle name="PSDate 2 14" xfId="17207"/>
    <cellStyle name="标题 3 2 5 2 2" xfId="17208"/>
    <cellStyle name="PSDate 2 15" xfId="17209"/>
    <cellStyle name="PSDate 2 16" xfId="17210"/>
    <cellStyle name="PSDate 2 2" xfId="17211"/>
    <cellStyle name="PSDate 2 2 2" xfId="17212"/>
    <cellStyle name="PSDate 2 2 3" xfId="17213"/>
    <cellStyle name="PSDate 2 4" xfId="17214"/>
    <cellStyle name="PSDate 2 5" xfId="17215"/>
    <cellStyle name="PSDate 2 6" xfId="17216"/>
    <cellStyle name="PSDate 2 7" xfId="17217"/>
    <cellStyle name="百分比 2 3 3 2" xfId="17218"/>
    <cellStyle name="PSDate 2 8" xfId="17219"/>
    <cellStyle name="百分比 2 3 3 3" xfId="17220"/>
    <cellStyle name="PSDate 2 9" xfId="17221"/>
    <cellStyle name="PSDate 3" xfId="17222"/>
    <cellStyle name="PSDate 3 2" xfId="17223"/>
    <cellStyle name="PSDate 4" xfId="17224"/>
    <cellStyle name="PSDate 7" xfId="17225"/>
    <cellStyle name="PSDate 8" xfId="17226"/>
    <cellStyle name="PSDate 9" xfId="17227"/>
    <cellStyle name="PSDec 2" xfId="17228"/>
    <cellStyle name="PSDec 2 12" xfId="17229"/>
    <cellStyle name="PSDec 2 13" xfId="17230"/>
    <cellStyle name="PSDec 2 14" xfId="17231"/>
    <cellStyle name="PSDec 2 15" xfId="17232"/>
    <cellStyle name="PSDec 2 16" xfId="17233"/>
    <cellStyle name="PSDec 2 17" xfId="17234"/>
    <cellStyle name="PSDec 2 2" xfId="17235"/>
    <cellStyle name="PSDec 2 2 2" xfId="17236"/>
    <cellStyle name="PSDec 2 3" xfId="17237"/>
    <cellStyle name="常规 39 2 3 2 2" xfId="17238"/>
    <cellStyle name="PSDec 2 4" xfId="17239"/>
    <cellStyle name="常规 39 2 3 2 3" xfId="17240"/>
    <cellStyle name="PSDec 2 5" xfId="17241"/>
    <cellStyle name="PSDec 2 6" xfId="17242"/>
    <cellStyle name="PSDec 2 7" xfId="17243"/>
    <cellStyle name="强调文字颜色 6 4 2" xfId="17244"/>
    <cellStyle name="PSDec 2 8" xfId="17245"/>
    <cellStyle name="强调文字颜色 6 4 3" xfId="17246"/>
    <cellStyle name="PSDec 2 9" xfId="17247"/>
    <cellStyle name="PSHeading" xfId="17248"/>
    <cellStyle name="PSHeading 10 16" xfId="17249"/>
    <cellStyle name="PSHeading 10 17" xfId="17250"/>
    <cellStyle name="PSHeading 10 2" xfId="17251"/>
    <cellStyle name="PSHeading 10 2 2" xfId="17252"/>
    <cellStyle name="PSHeading 10 3" xfId="17253"/>
    <cellStyle name="PSHeading 10 4" xfId="17254"/>
    <cellStyle name="PSHeading 10 5" xfId="17255"/>
    <cellStyle name="PSHeading 11 10" xfId="17256"/>
    <cellStyle name="PSHeading 11 11" xfId="17257"/>
    <cellStyle name="PSHeading 11 12" xfId="17258"/>
    <cellStyle name="PSHeading 11 13" xfId="17259"/>
    <cellStyle name="PSHeading 11 2" xfId="17260"/>
    <cellStyle name="PSHeading 11 2 2" xfId="17261"/>
    <cellStyle name="PSHeading 11 3" xfId="17262"/>
    <cellStyle name="PSHeading 11 4" xfId="17263"/>
    <cellStyle name="PSHeading 11 5" xfId="17264"/>
    <cellStyle name="PSHeading 12 10" xfId="17265"/>
    <cellStyle name="PSHeading 12 11" xfId="17266"/>
    <cellStyle name="PSHeading 12 12" xfId="17267"/>
    <cellStyle name="PSHeading 12 13" xfId="17268"/>
    <cellStyle name="PSHeading 12 14" xfId="17269"/>
    <cellStyle name="常规 56 2 2 10" xfId="17270"/>
    <cellStyle name="常规 61 2 2 10" xfId="17271"/>
    <cellStyle name="PSHeading 12 15" xfId="17272"/>
    <cellStyle name="常规 56 2 2 11" xfId="17273"/>
    <cellStyle name="常规 61 2 2 11" xfId="17274"/>
    <cellStyle name="PSHeading 12 16" xfId="17275"/>
    <cellStyle name="常规 56 2 2 12" xfId="17276"/>
    <cellStyle name="常规 61 2 2 12" xfId="17277"/>
    <cellStyle name="PSHeading 12 17" xfId="17278"/>
    <cellStyle name="常规 11 3 12" xfId="17279"/>
    <cellStyle name="PSHeading 12 2" xfId="17280"/>
    <cellStyle name="好 4 9" xfId="17281"/>
    <cellStyle name="PSHeading 12 2 2" xfId="17282"/>
    <cellStyle name="PSHeading 12 2 3" xfId="17283"/>
    <cellStyle name="常规 56 2 2 2" xfId="17284"/>
    <cellStyle name="常规 61 2 2 2" xfId="17285"/>
    <cellStyle name="常规 11 3 13" xfId="17286"/>
    <cellStyle name="PSHeading 12 3" xfId="17287"/>
    <cellStyle name="常规 56 2 2 3" xfId="17288"/>
    <cellStyle name="常规 61 2 2 3" xfId="17289"/>
    <cellStyle name="常规 11 3 14" xfId="17290"/>
    <cellStyle name="PSHeading 12 4" xfId="17291"/>
    <cellStyle name="常规 56 2 2 4" xfId="17292"/>
    <cellStyle name="常规 61 2 2 4" xfId="17293"/>
    <cellStyle name="常规 11 3 15" xfId="17294"/>
    <cellStyle name="PSHeading 12 5" xfId="17295"/>
    <cellStyle name="PSHeading 13" xfId="17296"/>
    <cellStyle name="PSHeading 13 13" xfId="17297"/>
    <cellStyle name="PSHeading 13 14" xfId="17298"/>
    <cellStyle name="PSHeading 13 15" xfId="17299"/>
    <cellStyle name="PSHeading 13 16" xfId="17300"/>
    <cellStyle name="PSHeading 13 17" xfId="17301"/>
    <cellStyle name="PSHeading 14" xfId="17302"/>
    <cellStyle name="PSHeading 14 10" xfId="17303"/>
    <cellStyle name="PSHeading 14 11" xfId="17304"/>
    <cellStyle name="PSHeading 14 12" xfId="17305"/>
    <cellStyle name="PSHeading 14 13" xfId="17306"/>
    <cellStyle name="PSHeading 14 14" xfId="17307"/>
    <cellStyle name="PSHeading 14 15" xfId="17308"/>
    <cellStyle name="PSHeading 14 16" xfId="17309"/>
    <cellStyle name="PSHeading 14 17" xfId="17310"/>
    <cellStyle name="PSHeading 14 2" xfId="17311"/>
    <cellStyle name="PSHeading 14 2 2" xfId="17312"/>
    <cellStyle name="PSHeading 14 2 3" xfId="17313"/>
    <cellStyle name="常规 56 2 4 2" xfId="17314"/>
    <cellStyle name="常规 61 2 4 2" xfId="17315"/>
    <cellStyle name="PSHeading 14 3" xfId="17316"/>
    <cellStyle name="常规 56 2 4 3" xfId="17317"/>
    <cellStyle name="常规 61 2 4 3" xfId="17318"/>
    <cellStyle name="PSHeading 14 4" xfId="17319"/>
    <cellStyle name="PSHeading 14 5" xfId="17320"/>
    <cellStyle name="PSHeading 14 6" xfId="17321"/>
    <cellStyle name="PSHeading 14 7" xfId="17322"/>
    <cellStyle name="PSHeading 14 8" xfId="17323"/>
    <cellStyle name="PSHeading 14 9" xfId="17324"/>
    <cellStyle name="PSHeading 15" xfId="17325"/>
    <cellStyle name="PSHeading 20" xfId="17326"/>
    <cellStyle name="常规 45 2 4 2 2" xfId="17327"/>
    <cellStyle name="常规 50 2 4 2 2" xfId="17328"/>
    <cellStyle name="PSHeading 15 15" xfId="17329"/>
    <cellStyle name="常规 45 2 4 2 3" xfId="17330"/>
    <cellStyle name="常规 50 2 4 2 3" xfId="17331"/>
    <cellStyle name="PSHeading 15 16" xfId="17332"/>
    <cellStyle name="输出 2 2 5 3 2 2" xfId="17333"/>
    <cellStyle name="PSHeading 15 17" xfId="17334"/>
    <cellStyle name="输入 3 2 3 2 5" xfId="17335"/>
    <cellStyle name="PSHeading 15 2" xfId="17336"/>
    <cellStyle name="PSHeading 15 2 2" xfId="17337"/>
    <cellStyle name="输入 3 2 3 2 6" xfId="17338"/>
    <cellStyle name="PSHeading 15 3" xfId="17339"/>
    <cellStyle name="输入 3 2 3 2 7" xfId="17340"/>
    <cellStyle name="PSHeading 15 4" xfId="17341"/>
    <cellStyle name="输入 3 2 3 2 8" xfId="17342"/>
    <cellStyle name="PSHeading 15 5" xfId="17343"/>
    <cellStyle name="PSHeading 15 8" xfId="17344"/>
    <cellStyle name="PSHeading 15 9" xfId="17345"/>
    <cellStyle name="计算 2 2 9 10" xfId="17346"/>
    <cellStyle name="PSHeading 16" xfId="17347"/>
    <cellStyle name="PSHeading 21" xfId="17348"/>
    <cellStyle name="PSHeading 16 2" xfId="17349"/>
    <cellStyle name="计算 2 2 9 11" xfId="17350"/>
    <cellStyle name="PSHeading 17" xfId="17351"/>
    <cellStyle name="PSHeading 22" xfId="17352"/>
    <cellStyle name="计算 2 2 9 12" xfId="17353"/>
    <cellStyle name="PSHeading 18" xfId="17354"/>
    <cellStyle name="PSHeading 23" xfId="17355"/>
    <cellStyle name="计算 2 2 9 13" xfId="17356"/>
    <cellStyle name="PSHeading 19" xfId="17357"/>
    <cellStyle name="PSHeading 24" xfId="17358"/>
    <cellStyle name="PSHeading 2" xfId="17359"/>
    <cellStyle name="常规 12 3 3 2 3" xfId="17360"/>
    <cellStyle name="PSHeading 2 10" xfId="17361"/>
    <cellStyle name="PSHeading 2 11" xfId="17362"/>
    <cellStyle name="PSHeading 2 12" xfId="17363"/>
    <cellStyle name="PSHeading 2 13" xfId="17364"/>
    <cellStyle name="PSHeading 2 3" xfId="17365"/>
    <cellStyle name="常规 65 3 3 2 2" xfId="17366"/>
    <cellStyle name="常规 70 3 3 2 2" xfId="17367"/>
    <cellStyle name="PSHeading 2 4" xfId="17368"/>
    <cellStyle name="常规 65 3 3 2 3" xfId="17369"/>
    <cellStyle name="常规 70 3 3 2 3" xfId="17370"/>
    <cellStyle name="PSHeading 2 5" xfId="17371"/>
    <cellStyle name="常规 158 3 2" xfId="17372"/>
    <cellStyle name="常规 163 3 2" xfId="17373"/>
    <cellStyle name="PSHeading 2 6" xfId="17374"/>
    <cellStyle name="常规 158 3 3" xfId="17375"/>
    <cellStyle name="常规 163 3 3" xfId="17376"/>
    <cellStyle name="PSHeading 2 7" xfId="17377"/>
    <cellStyle name="PSHeading 2 9" xfId="17378"/>
    <cellStyle name="计算 2 2 9 14" xfId="17379"/>
    <cellStyle name="PSHeading 25" xfId="17380"/>
    <cellStyle name="PSHeading 30" xfId="17381"/>
    <cellStyle name="PSHeading 26" xfId="17382"/>
    <cellStyle name="PSHeading 31" xfId="17383"/>
    <cellStyle name="PSHeading 27" xfId="17384"/>
    <cellStyle name="PSHeading 28" xfId="17385"/>
    <cellStyle name="PSHeading 29" xfId="17386"/>
    <cellStyle name="常规 78 5 2" xfId="17387"/>
    <cellStyle name="常规 83 5 2" xfId="17388"/>
    <cellStyle name="PSHeading 3" xfId="17389"/>
    <cellStyle name="常规 126 5 2 2" xfId="17390"/>
    <cellStyle name="常规 131 5 2 2" xfId="17391"/>
    <cellStyle name="PSHeading 3 13" xfId="17392"/>
    <cellStyle name="输出 3 2 5 16" xfId="17393"/>
    <cellStyle name="PSHeading 3 2 2" xfId="17394"/>
    <cellStyle name="输出 3 2 5 17" xfId="17395"/>
    <cellStyle name="PSHeading 3 2 3" xfId="17396"/>
    <cellStyle name="计算 2 2 9 2 3" xfId="17397"/>
    <cellStyle name="PSHeading 3 8" xfId="17398"/>
    <cellStyle name="计算 2 2 9 2 4" xfId="17399"/>
    <cellStyle name="PSHeading 3 9" xfId="17400"/>
    <cellStyle name="常规 78 5 3" xfId="17401"/>
    <cellStyle name="常规 83 5 3" xfId="17402"/>
    <cellStyle name="PSHeading 4" xfId="17403"/>
    <cellStyle name="常规 11 3 4" xfId="17404"/>
    <cellStyle name="PSHeading 4 2" xfId="17405"/>
    <cellStyle name="输入 2 2 10 3" xfId="17406"/>
    <cellStyle name="PSHeading 4 2 16" xfId="17407"/>
    <cellStyle name="输入 2 2 10 4" xfId="17408"/>
    <cellStyle name="PSHeading 4 2 17" xfId="17409"/>
    <cellStyle name="PSHeading 4 2 2 2" xfId="17410"/>
    <cellStyle name="PSHeading 4 2 6" xfId="17411"/>
    <cellStyle name="PSHeading 4 2 7" xfId="17412"/>
    <cellStyle name="PSHeading 4 2 8" xfId="17413"/>
    <cellStyle name="PSHeading 4 2 9" xfId="17414"/>
    <cellStyle name="常规 11 3 5" xfId="17415"/>
    <cellStyle name="PSHeading 4 3" xfId="17416"/>
    <cellStyle name="常规 11 3 6" xfId="17417"/>
    <cellStyle name="PSHeading 4 4" xfId="17418"/>
    <cellStyle name="常规 11 3 7" xfId="17419"/>
    <cellStyle name="PSHeading 4 5" xfId="17420"/>
    <cellStyle name="PSHeading 4 6" xfId="17421"/>
    <cellStyle name="输出 2 3 2 10" xfId="17422"/>
    <cellStyle name="常规 11 3 8" xfId="17423"/>
    <cellStyle name="PSHeading 4 7" xfId="17424"/>
    <cellStyle name="输出 2 3 2 11" xfId="17425"/>
    <cellStyle name="常规 11 3 9" xfId="17426"/>
    <cellStyle name="PSHeading 4 8" xfId="17427"/>
    <cellStyle name="输出 2 3 2 12" xfId="17428"/>
    <cellStyle name="PSHeading 4 9" xfId="17429"/>
    <cellStyle name="输出 2 3 2 13" xfId="17430"/>
    <cellStyle name="PSHeading 5" xfId="17431"/>
    <cellStyle name="PSHeading 5 2" xfId="17432"/>
    <cellStyle name="PSHeading 6" xfId="17433"/>
    <cellStyle name="PSHeading 6 2" xfId="17434"/>
    <cellStyle name="PSHeading 6 2 2" xfId="17435"/>
    <cellStyle name="PSHeading 6 3" xfId="17436"/>
    <cellStyle name="PSHeading 6 4" xfId="17437"/>
    <cellStyle name="PSHeading 6 5" xfId="17438"/>
    <cellStyle name="PSHeading 6 6" xfId="17439"/>
    <cellStyle name="PSHeading 6 7" xfId="17440"/>
    <cellStyle name="PSHeading 6 8" xfId="17441"/>
    <cellStyle name="PSHeading 6 9" xfId="17442"/>
    <cellStyle name="PSHeading 7" xfId="17443"/>
    <cellStyle name="输入 2 2 11 2 12" xfId="17444"/>
    <cellStyle name="PSHeading 7 10" xfId="17445"/>
    <cellStyle name="PSHeading 7 2" xfId="17446"/>
    <cellStyle name="PSHeading 7 3" xfId="17447"/>
    <cellStyle name="PSHeading 7 4" xfId="17448"/>
    <cellStyle name="PSHeading 7 5" xfId="17449"/>
    <cellStyle name="PSHeading 7 6" xfId="17450"/>
    <cellStyle name="PSHeading 7 7" xfId="17451"/>
    <cellStyle name="PSHeading 7 8" xfId="17452"/>
    <cellStyle name="PSHeading 7 9" xfId="17453"/>
    <cellStyle name="PSHeading 8" xfId="17454"/>
    <cellStyle name="常规 89 2 2 12" xfId="17455"/>
    <cellStyle name="常规 94 2 2 12" xfId="17456"/>
    <cellStyle name="PSHeading 8 10" xfId="17457"/>
    <cellStyle name="常规 89 2 2 13" xfId="17458"/>
    <cellStyle name="常规 94 2 2 13" xfId="17459"/>
    <cellStyle name="PSHeading 8 11" xfId="17460"/>
    <cellStyle name="输入 3 2 2 2 10" xfId="17461"/>
    <cellStyle name="常规 89 2 2 14" xfId="17462"/>
    <cellStyle name="常规 94 2 2 14" xfId="17463"/>
    <cellStyle name="PSHeading 8 12" xfId="17464"/>
    <cellStyle name="输入 3 2 2 2 11" xfId="17465"/>
    <cellStyle name="常规 89 2 2 15" xfId="17466"/>
    <cellStyle name="常规 94 2 2 15" xfId="17467"/>
    <cellStyle name="PSHeading 8 13" xfId="17468"/>
    <cellStyle name="PSHeading 8 2 3" xfId="17469"/>
    <cellStyle name="PSHeading 8 5" xfId="17470"/>
    <cellStyle name="PSHeading 8 6" xfId="17471"/>
    <cellStyle name="PSHeading 8 7" xfId="17472"/>
    <cellStyle name="PSHeading 8 8" xfId="17473"/>
    <cellStyle name="PSHeading 8 9" xfId="17474"/>
    <cellStyle name="PSHeading 9" xfId="17475"/>
    <cellStyle name="PSHeading 9 10" xfId="17476"/>
    <cellStyle name="计算 2 2 2" xfId="17477"/>
    <cellStyle name="PSHeading 9 11" xfId="17478"/>
    <cellStyle name="计算 2 2 3" xfId="17479"/>
    <cellStyle name="PSHeading 9 12" xfId="17480"/>
    <cellStyle name="计算 2 2 4" xfId="17481"/>
    <cellStyle name="PSHeading 9 13" xfId="17482"/>
    <cellStyle name="PSHeading 9 2" xfId="17483"/>
    <cellStyle name="常规 96 2 2 12" xfId="17484"/>
    <cellStyle name="PSHeading 9 3" xfId="17485"/>
    <cellStyle name="常规 96 2 2 13" xfId="17486"/>
    <cellStyle name="PSHeading 9 4" xfId="17487"/>
    <cellStyle name="常规 96 2 2 14" xfId="17488"/>
    <cellStyle name="PSHeading 9 5" xfId="17489"/>
    <cellStyle name="常规 96 2 2 15" xfId="17490"/>
    <cellStyle name="PSHeading 9 6" xfId="17491"/>
    <cellStyle name="常规 96 2 2 16" xfId="17492"/>
    <cellStyle name="输出 2 3 3 10" xfId="17493"/>
    <cellStyle name="PSHeading 9 7" xfId="17494"/>
    <cellStyle name="常规 96 2 2 17" xfId="17495"/>
    <cellStyle name="输出 2 3 3 11" xfId="17496"/>
    <cellStyle name="PSHeading 9 8" xfId="17497"/>
    <cellStyle name="常规 96 2 2 18" xfId="17498"/>
    <cellStyle name="输出 2 3 3 12" xfId="17499"/>
    <cellStyle name="PSHeading 9 9" xfId="17500"/>
    <cellStyle name="输出 2 3 3 13" xfId="17501"/>
    <cellStyle name="PSInt 10" xfId="17502"/>
    <cellStyle name="PSInt 11" xfId="17503"/>
    <cellStyle name="PSInt 12" xfId="17504"/>
    <cellStyle name="PSInt 13" xfId="17505"/>
    <cellStyle name="PSInt 14" xfId="17506"/>
    <cellStyle name="PSInt 15" xfId="17507"/>
    <cellStyle name="PSInt 16" xfId="17508"/>
    <cellStyle name="PSInt 17" xfId="17509"/>
    <cellStyle name="PSInt 2" xfId="17510"/>
    <cellStyle name="常规 149 2 2 16" xfId="17511"/>
    <cellStyle name="PSInt 2 10" xfId="17512"/>
    <cellStyle name="常规 149 2 2 17" xfId="17513"/>
    <cellStyle name="PSInt 2 11" xfId="17514"/>
    <cellStyle name="常规 149 2 2 18" xfId="17515"/>
    <cellStyle name="PSInt 2 12" xfId="17516"/>
    <cellStyle name="PSInt 2 13" xfId="17517"/>
    <cellStyle name="PSInt 2 14" xfId="17518"/>
    <cellStyle name="PSInt 2 15" xfId="17519"/>
    <cellStyle name="PSInt 2 16" xfId="17520"/>
    <cellStyle name="PSInt 2 17" xfId="17521"/>
    <cellStyle name="标题 3 2 14 14" xfId="17522"/>
    <cellStyle name="PSInt 2 2" xfId="17523"/>
    <cellStyle name="PSInt 2 2 2" xfId="17524"/>
    <cellStyle name="标题 3 2 14 15" xfId="17525"/>
    <cellStyle name="汇总 3 11 2 2" xfId="17526"/>
    <cellStyle name="PSInt 2 3" xfId="17527"/>
    <cellStyle name="标题 3 2 14 16" xfId="17528"/>
    <cellStyle name="汇总 3 11 2 3" xfId="17529"/>
    <cellStyle name="PSInt 2 4" xfId="17530"/>
    <cellStyle name="标题 3 2 14 17" xfId="17531"/>
    <cellStyle name="PSInt 2 5" xfId="17532"/>
    <cellStyle name="PSInt 2 6" xfId="17533"/>
    <cellStyle name="PSInt 2 7" xfId="17534"/>
    <cellStyle name="PSInt 2 8" xfId="17535"/>
    <cellStyle name="PSInt 2 9" xfId="17536"/>
    <cellStyle name="强调文字颜色 6 3 2 3 2" xfId="17537"/>
    <cellStyle name="PSInt 3" xfId="17538"/>
    <cellStyle name="强调文字颜色 6 3 2 3 2 2" xfId="17539"/>
    <cellStyle name="PSInt 3 2" xfId="17540"/>
    <cellStyle name="强调文字颜色 6 3 2 3 2 3" xfId="17541"/>
    <cellStyle name="PSInt 3 3" xfId="17542"/>
    <cellStyle name="常规 156 2" xfId="17543"/>
    <cellStyle name="常规 161 2" xfId="17544"/>
    <cellStyle name="强调文字颜色 6 3 2 3 3" xfId="17545"/>
    <cellStyle name="PSInt 4" xfId="17546"/>
    <cellStyle name="常规 156 3" xfId="17547"/>
    <cellStyle name="常规 161 3" xfId="17548"/>
    <cellStyle name="PSInt 5" xfId="17549"/>
    <cellStyle name="常规 156 4" xfId="17550"/>
    <cellStyle name="常规 161 4" xfId="17551"/>
    <cellStyle name="PSInt 6" xfId="17552"/>
    <cellStyle name="常规 156 5" xfId="17553"/>
    <cellStyle name="常规 161 5" xfId="17554"/>
    <cellStyle name="PSInt 7" xfId="17555"/>
    <cellStyle name="常规 156 6" xfId="17556"/>
    <cellStyle name="常规 161 6" xfId="17557"/>
    <cellStyle name="PSInt 8" xfId="17558"/>
    <cellStyle name="常规 156 7" xfId="17559"/>
    <cellStyle name="常规 161 7" xfId="17560"/>
    <cellStyle name="PSInt 9" xfId="17561"/>
    <cellStyle name="汇总 2 2 7 2 12" xfId="17562"/>
    <cellStyle name="PSSpacer 10" xfId="17563"/>
    <cellStyle name="PSSpacer 11" xfId="17564"/>
    <cellStyle name="PSSpacer 12" xfId="17565"/>
    <cellStyle name="PSSpacer 13" xfId="17566"/>
    <cellStyle name="PSSpacer 14" xfId="17567"/>
    <cellStyle name="PSSpacer 15" xfId="17568"/>
    <cellStyle name="PSSpacer 16" xfId="17569"/>
    <cellStyle name="PSSpacer 17" xfId="17570"/>
    <cellStyle name="常规 46 3 3 2" xfId="17571"/>
    <cellStyle name="常规 51 3 3 2" xfId="17572"/>
    <cellStyle name="PSSpacer 18" xfId="17573"/>
    <cellStyle name="PSSpacer 2" xfId="17574"/>
    <cellStyle name="PSSpacer 2 10" xfId="17575"/>
    <cellStyle name="PSSpacer 2 11" xfId="17576"/>
    <cellStyle name="PSSpacer 2 12" xfId="17577"/>
    <cellStyle name="PSSpacer 2 13" xfId="17578"/>
    <cellStyle name="常规 98 2 10" xfId="17579"/>
    <cellStyle name="常规 57 2 4 2" xfId="17580"/>
    <cellStyle name="常规 62 2 4 2" xfId="17581"/>
    <cellStyle name="PSSpacer 2 14" xfId="17582"/>
    <cellStyle name="常规 98 2 11" xfId="17583"/>
    <cellStyle name="常规 57 2 4 3" xfId="17584"/>
    <cellStyle name="常规 62 2 4 3" xfId="17585"/>
    <cellStyle name="PSSpacer 2 15" xfId="17586"/>
    <cellStyle name="常规 98 2 12" xfId="17587"/>
    <cellStyle name="PSSpacer 2 16" xfId="17588"/>
    <cellStyle name="常规 98 2 13" xfId="17589"/>
    <cellStyle name="PSSpacer 2 17" xfId="17590"/>
    <cellStyle name="输入 3 8 2" xfId="17591"/>
    <cellStyle name="常规 166 2 15" xfId="17592"/>
    <cellStyle name="PSSpacer 2 2" xfId="17593"/>
    <cellStyle name="PSSpacer 2 2 2" xfId="17594"/>
    <cellStyle name="输入 3 8 3" xfId="17595"/>
    <cellStyle name="常规 166 2 16" xfId="17596"/>
    <cellStyle name="PSSpacer 2 3" xfId="17597"/>
    <cellStyle name="输入 3 8 4" xfId="17598"/>
    <cellStyle name="常规 166 2 17" xfId="17599"/>
    <cellStyle name="PSSpacer 2 4" xfId="17600"/>
    <cellStyle name="输入 3 8 5" xfId="17601"/>
    <cellStyle name="常规 166 2 18" xfId="17602"/>
    <cellStyle name="PSSpacer 2 5" xfId="17603"/>
    <cellStyle name="PSSpacer 2 6" xfId="17604"/>
    <cellStyle name="PSSpacer 2 7" xfId="17605"/>
    <cellStyle name="PSSpacer 2 8" xfId="17606"/>
    <cellStyle name="PSSpacer 2 9" xfId="17607"/>
    <cellStyle name="PSSpacer 3" xfId="17608"/>
    <cellStyle name="PSSpacer 3 2" xfId="17609"/>
    <cellStyle name="PSSpacer 3 3" xfId="17610"/>
    <cellStyle name="PSSpacer 4" xfId="17611"/>
    <cellStyle name="sstot" xfId="17612"/>
    <cellStyle name="常规 100 2 7" xfId="17613"/>
    <cellStyle name="sstot 10" xfId="17614"/>
    <cellStyle name="常规 100 2 8" xfId="17615"/>
    <cellStyle name="sstot 11" xfId="17616"/>
    <cellStyle name="常规 100 2 9" xfId="17617"/>
    <cellStyle name="sstot 12" xfId="17618"/>
    <cellStyle name="sstot 13" xfId="17619"/>
    <cellStyle name="sstot 14" xfId="17620"/>
    <cellStyle name="sstot 15" xfId="17621"/>
    <cellStyle name="sstot 16" xfId="17622"/>
    <cellStyle name="sstot 17" xfId="17623"/>
    <cellStyle name="输出 3 2" xfId="17624"/>
    <cellStyle name="sstot 18" xfId="17625"/>
    <cellStyle name="sstot 2" xfId="17626"/>
    <cellStyle name="输入 4 8" xfId="17627"/>
    <cellStyle name="sstot 2 10" xfId="17628"/>
    <cellStyle name="输入 4 9" xfId="17629"/>
    <cellStyle name="sstot 2 11" xfId="17630"/>
    <cellStyle name="sstot 2 12" xfId="17631"/>
    <cellStyle name="sstot 2 13" xfId="17632"/>
    <cellStyle name="sstot 2 14" xfId="17633"/>
    <cellStyle name="汇总 2 3 3 3 2 2" xfId="17634"/>
    <cellStyle name="sstot 2 15" xfId="17635"/>
    <cellStyle name="汇总 2 3 3 3 2 3" xfId="17636"/>
    <cellStyle name="sstot 2 16" xfId="17637"/>
    <cellStyle name="sstot 2 17" xfId="17638"/>
    <cellStyle name="货币 3 11" xfId="17639"/>
    <cellStyle name="sstot 2 2" xfId="17640"/>
    <cellStyle name="sstot 2 2 3" xfId="17641"/>
    <cellStyle name="货币 3 12" xfId="17642"/>
    <cellStyle name="sstot 2 3" xfId="17643"/>
    <cellStyle name="货币 3 13" xfId="17644"/>
    <cellStyle name="sstot 2 4" xfId="17645"/>
    <cellStyle name="货币 3 14" xfId="17646"/>
    <cellStyle name="sstot 2 5" xfId="17647"/>
    <cellStyle name="货币 3 15" xfId="17648"/>
    <cellStyle name="sstot 2 6" xfId="17649"/>
    <cellStyle name="货币 3 16" xfId="17650"/>
    <cellStyle name="sstot 2 7" xfId="17651"/>
    <cellStyle name="货币 3 17" xfId="17652"/>
    <cellStyle name="sstot 2 8" xfId="17653"/>
    <cellStyle name="常规 100 3 3 2 2" xfId="17654"/>
    <cellStyle name="货币 3 18" xfId="17655"/>
    <cellStyle name="sstot 2 9" xfId="17656"/>
    <cellStyle name="常规 100 3 3 2 3" xfId="17657"/>
    <cellStyle name="sstot 3" xfId="17658"/>
    <cellStyle name="sstot 4" xfId="17659"/>
    <cellStyle name="sstot 5" xfId="17660"/>
    <cellStyle name="sstot 6" xfId="17661"/>
    <cellStyle name="汇总 2 2 7 12" xfId="17662"/>
    <cellStyle name="Standard_AREAS" xfId="17663"/>
    <cellStyle name="常规 7 5 2" xfId="17664"/>
    <cellStyle name="summaryD" xfId="17665"/>
    <cellStyle name="常规 85 2 2 16" xfId="17666"/>
    <cellStyle name="常规 90 2 2 16" xfId="17667"/>
    <cellStyle name="t" xfId="17668"/>
    <cellStyle name="常规 167 12" xfId="17669"/>
    <cellStyle name="常规 172 12" xfId="17670"/>
    <cellStyle name="t 10" xfId="17671"/>
    <cellStyle name="常规 167 13" xfId="17672"/>
    <cellStyle name="常规 172 13" xfId="17673"/>
    <cellStyle name="t 11" xfId="17674"/>
    <cellStyle name="常规 167 14" xfId="17675"/>
    <cellStyle name="常规 172 14" xfId="17676"/>
    <cellStyle name="常规 105 2 2 3 2" xfId="17677"/>
    <cellStyle name="常规 110 2 2 3 2" xfId="17678"/>
    <cellStyle name="t 12" xfId="17679"/>
    <cellStyle name="常规 167 15" xfId="17680"/>
    <cellStyle name="常规 167 20" xfId="17681"/>
    <cellStyle name="常规 172 15" xfId="17682"/>
    <cellStyle name="常规 105 2 2 3 3" xfId="17683"/>
    <cellStyle name="常规 110 2 2 3 3" xfId="17684"/>
    <cellStyle name="t 13" xfId="17685"/>
    <cellStyle name="常规 167 16" xfId="17686"/>
    <cellStyle name="常规 167 21" xfId="17687"/>
    <cellStyle name="常规 172 16" xfId="17688"/>
    <cellStyle name="t 14" xfId="17689"/>
    <cellStyle name="常规 167 17" xfId="17690"/>
    <cellStyle name="常规 172 17" xfId="17691"/>
    <cellStyle name="t 15" xfId="17692"/>
    <cellStyle name="常规 167 18" xfId="17693"/>
    <cellStyle name="常规 172 18" xfId="17694"/>
    <cellStyle name="t 16" xfId="17695"/>
    <cellStyle name="常规 167 19" xfId="17696"/>
    <cellStyle name="t 17" xfId="17697"/>
    <cellStyle name="t 18" xfId="17698"/>
    <cellStyle name="t 2" xfId="17699"/>
    <cellStyle name="t 2 10" xfId="17700"/>
    <cellStyle name="t 2 11" xfId="17701"/>
    <cellStyle name="t 2 12" xfId="17702"/>
    <cellStyle name="t 2 13" xfId="17703"/>
    <cellStyle name="常规 175 2" xfId="17704"/>
    <cellStyle name="常规 180 2" xfId="17705"/>
    <cellStyle name="t 2 14" xfId="17706"/>
    <cellStyle name="常规 175 3" xfId="17707"/>
    <cellStyle name="常规 180 3" xfId="17708"/>
    <cellStyle name="t 2 15" xfId="17709"/>
    <cellStyle name="常规 175 4" xfId="17710"/>
    <cellStyle name="t 2 16" xfId="17711"/>
    <cellStyle name="常规 175 5" xfId="17712"/>
    <cellStyle name="t 2 17" xfId="17713"/>
    <cellStyle name="常规 25 2 12" xfId="17714"/>
    <cellStyle name="常规 30 2 12" xfId="17715"/>
    <cellStyle name="t 2 2" xfId="17716"/>
    <cellStyle name="t 2 2 2" xfId="17717"/>
    <cellStyle name="常规 25 2 13" xfId="17718"/>
    <cellStyle name="常规 30 2 13" xfId="17719"/>
    <cellStyle name="t 2 3" xfId="17720"/>
    <cellStyle name="常规 25 2 14" xfId="17721"/>
    <cellStyle name="常规 30 2 14" xfId="17722"/>
    <cellStyle name="t 2 4" xfId="17723"/>
    <cellStyle name="常规 25 2 15" xfId="17724"/>
    <cellStyle name="常规 30 2 15" xfId="17725"/>
    <cellStyle name="t 2 5" xfId="17726"/>
    <cellStyle name="常规 25 2 16" xfId="17727"/>
    <cellStyle name="常规 30 2 16" xfId="17728"/>
    <cellStyle name="t 2 6" xfId="17729"/>
    <cellStyle name="常规 25 2 17" xfId="17730"/>
    <cellStyle name="常规 30 2 17" xfId="17731"/>
    <cellStyle name="t 2 7" xfId="17732"/>
    <cellStyle name="常规 25 2 18" xfId="17733"/>
    <cellStyle name="常规 30 2 18" xfId="17734"/>
    <cellStyle name="t 2 8" xfId="17735"/>
    <cellStyle name="常规 25 2 19" xfId="17736"/>
    <cellStyle name="常规 30 2 19" xfId="17737"/>
    <cellStyle name="t 2 9" xfId="17738"/>
    <cellStyle name="t 3" xfId="17739"/>
    <cellStyle name="t 3 2" xfId="17740"/>
    <cellStyle name="t 4" xfId="17741"/>
    <cellStyle name="t 5" xfId="17742"/>
    <cellStyle name="常规 137 5 2" xfId="17743"/>
    <cellStyle name="常规 142 5 2" xfId="17744"/>
    <cellStyle name="t 6" xfId="17745"/>
    <cellStyle name="常规 137 5 3" xfId="17746"/>
    <cellStyle name="常规 142 5 3" xfId="17747"/>
    <cellStyle name="常规 105 2 2 10" xfId="17748"/>
    <cellStyle name="常规 110 2 2 10" xfId="17749"/>
    <cellStyle name="t 7" xfId="17750"/>
    <cellStyle name="常规 105 2 2 11" xfId="17751"/>
    <cellStyle name="常规 110 2 2 11" xfId="17752"/>
    <cellStyle name="t 8" xfId="17753"/>
    <cellStyle name="常规 105 2 2 12" xfId="17754"/>
    <cellStyle name="常规 110 2 2 12" xfId="17755"/>
    <cellStyle name="t 9" xfId="17756"/>
    <cellStyle name="输出 2 4 6" xfId="17757"/>
    <cellStyle name="常规 2 3 4" xfId="17758"/>
    <cellStyle name="t_HVAC Equipment (3)" xfId="17759"/>
    <cellStyle name="t_HVAC Equipment (3) 14" xfId="17760"/>
    <cellStyle name="t_HVAC Equipment (3) 15" xfId="17761"/>
    <cellStyle name="计算 2 6 2 10" xfId="17762"/>
    <cellStyle name="t_HVAC Equipment (3) 16" xfId="17763"/>
    <cellStyle name="计算 2 6 2 11" xfId="17764"/>
    <cellStyle name="t_HVAC Equipment (3) 17" xfId="17765"/>
    <cellStyle name="计算 2 6 2 12" xfId="17766"/>
    <cellStyle name="t_HVAC Equipment (3) 18" xfId="17767"/>
    <cellStyle name="t_HVAC Equipment (3) 2" xfId="17768"/>
    <cellStyle name="t_HVAC Equipment (3) 2 10" xfId="17769"/>
    <cellStyle name="常规 67 2 4 2" xfId="17770"/>
    <cellStyle name="常规 72 2 4 2" xfId="17771"/>
    <cellStyle name="t_HVAC Equipment (3) 2 11" xfId="17772"/>
    <cellStyle name="常规 67 2 4 3" xfId="17773"/>
    <cellStyle name="常规 72 2 4 3" xfId="17774"/>
    <cellStyle name="t_HVAC Equipment (3) 2 12" xfId="17775"/>
    <cellStyle name="t_HVAC Equipment (3) 2 13" xfId="17776"/>
    <cellStyle name="t_HVAC Equipment (3) 2 14" xfId="17777"/>
    <cellStyle name="t_HVAC Equipment (3) 2 2" xfId="17778"/>
    <cellStyle name="t_HVAC Equipment (3) 2 3" xfId="17779"/>
    <cellStyle name="t_HVAC Equipment (3) 2 4" xfId="17780"/>
    <cellStyle name="t_HVAC Equipment (3) 2 5" xfId="17781"/>
    <cellStyle name="t_HVAC Equipment (3) 2 6" xfId="17782"/>
    <cellStyle name="t_HVAC Equipment (3) 2 9" xfId="17783"/>
    <cellStyle name="t_HVAC Equipment (3) 3" xfId="17784"/>
    <cellStyle name="计算 2 6 2 2" xfId="17785"/>
    <cellStyle name="t_HVAC Equipment (3) 3 2" xfId="17786"/>
    <cellStyle name="t_HVAC Equipment (3) 4" xfId="17787"/>
    <cellStyle name="计算 2 6 2 3" xfId="17788"/>
    <cellStyle name="t_HVAC Equipment (3) 5" xfId="17789"/>
    <cellStyle name="计算 2 6 2 4" xfId="17790"/>
    <cellStyle name="百分比 2 10" xfId="17791"/>
    <cellStyle name="百分比 2 11" xfId="17792"/>
    <cellStyle name="百分比 2 12" xfId="17793"/>
    <cellStyle name="百分比 2 15" xfId="17794"/>
    <cellStyle name="百分比 2 20" xfId="17795"/>
    <cellStyle name="百分比 2 16" xfId="17796"/>
    <cellStyle name="百分比 2 21" xfId="17797"/>
    <cellStyle name="汇总 2 2 12 12" xfId="17798"/>
    <cellStyle name="注释 2 2 2 17" xfId="17799"/>
    <cellStyle name="百分比 2 2" xfId="17800"/>
    <cellStyle name="百分比 2 2 18" xfId="17801"/>
    <cellStyle name="常规 168 8" xfId="17802"/>
    <cellStyle name="常规 173 8" xfId="17803"/>
    <cellStyle name="百分比 2 2 3 2 2" xfId="17804"/>
    <cellStyle name="常规 168 9" xfId="17805"/>
    <cellStyle name="常规 173 9" xfId="17806"/>
    <cellStyle name="百分比 2 2 3 2 3" xfId="17807"/>
    <cellStyle name="汇总 2 2 12 13" xfId="17808"/>
    <cellStyle name="百分比 2 3" xfId="17809"/>
    <cellStyle name="百分比 2 3 10" xfId="17810"/>
    <cellStyle name="百分比 2 3 11" xfId="17811"/>
    <cellStyle name="百分比 2 3 12" xfId="17812"/>
    <cellStyle name="百分比 2 3 13" xfId="17813"/>
    <cellStyle name="百分比 2 3 2" xfId="17814"/>
    <cellStyle name="百分比 2 3 3 2 2" xfId="17815"/>
    <cellStyle name="百分比 2 3 3 2 3" xfId="17816"/>
    <cellStyle name="百分比 2 3 5" xfId="17817"/>
    <cellStyle name="百分比 2 3 6" xfId="17818"/>
    <cellStyle name="百分比 2 3 7" xfId="17819"/>
    <cellStyle name="百分比 2 3 8" xfId="17820"/>
    <cellStyle name="百分比 2 3 9" xfId="17821"/>
    <cellStyle name="汇总 2 2 12 14" xfId="17822"/>
    <cellStyle name="百分比 2 4" xfId="17823"/>
    <cellStyle name="汇总 2 2 12 15" xfId="17824"/>
    <cellStyle name="百分比 2 5" xfId="17825"/>
    <cellStyle name="汇总 2 2 12 16" xfId="17826"/>
    <cellStyle name="百分比 2 6" xfId="17827"/>
    <cellStyle name="常规 15 2" xfId="17828"/>
    <cellStyle name="常规 20 2" xfId="17829"/>
    <cellStyle name="汇总 2 2 12 17" xfId="17830"/>
    <cellStyle name="百分比 2 7" xfId="17831"/>
    <cellStyle name="常规 15 3" xfId="17832"/>
    <cellStyle name="常规 20 3" xfId="17833"/>
    <cellStyle name="汇总 2 2 12 18" xfId="17834"/>
    <cellStyle name="百分比 2 8" xfId="17835"/>
    <cellStyle name="常规 15 4" xfId="17836"/>
    <cellStyle name="常规 20 4" xfId="17837"/>
    <cellStyle name="百分比 2 9" xfId="17838"/>
    <cellStyle name="常规 15 5" xfId="17839"/>
    <cellStyle name="常规 20 5" xfId="17840"/>
    <cellStyle name="百分比 3 10" xfId="17841"/>
    <cellStyle name="百分比 3 11" xfId="17842"/>
    <cellStyle name="百分比 3 12" xfId="17843"/>
    <cellStyle name="百分比 3 13" xfId="17844"/>
    <cellStyle name="百分比 3 14" xfId="17845"/>
    <cellStyle name="百分比 3 15" xfId="17846"/>
    <cellStyle name="百分比 3 16" xfId="17847"/>
    <cellStyle name="百分比 3 17" xfId="17848"/>
    <cellStyle name="百分比 3 18" xfId="17849"/>
    <cellStyle name="百分比 3 19" xfId="17850"/>
    <cellStyle name="百分比 3 2" xfId="17851"/>
    <cellStyle name="百分比 3 2 10" xfId="17852"/>
    <cellStyle name="百分比 3 2 11" xfId="17853"/>
    <cellStyle name="百分比 3 2 12" xfId="17854"/>
    <cellStyle name="百分比 3 2 13" xfId="17855"/>
    <cellStyle name="百分比 3 2 14" xfId="17856"/>
    <cellStyle name="百分比 3 2 15" xfId="17857"/>
    <cellStyle name="百分比 3 2 16" xfId="17858"/>
    <cellStyle name="百分比 3 2 17" xfId="17859"/>
    <cellStyle name="百分比 3 2 18" xfId="17860"/>
    <cellStyle name="标题 1 2" xfId="17861"/>
    <cellStyle name="百分比 3 2 2" xfId="17862"/>
    <cellStyle name="百分比 3 2 3" xfId="17863"/>
    <cellStyle name="百分比 3 2 3 2" xfId="17864"/>
    <cellStyle name="计算 3 2 12" xfId="17865"/>
    <cellStyle name="百分比 3 2 3 2 2" xfId="17866"/>
    <cellStyle name="计算 3 2 13" xfId="17867"/>
    <cellStyle name="百分比 3 2 3 2 3" xfId="17868"/>
    <cellStyle name="百分比 3 2 3 3" xfId="17869"/>
    <cellStyle name="百分比 3 2 4" xfId="17870"/>
    <cellStyle name="百分比 3 2 5" xfId="17871"/>
    <cellStyle name="百分比 3 2 6" xfId="17872"/>
    <cellStyle name="百分比 3 2 7" xfId="17873"/>
    <cellStyle name="百分比 3 2 8" xfId="17874"/>
    <cellStyle name="百分比 3 2 9" xfId="17875"/>
    <cellStyle name="百分比 3 3" xfId="17876"/>
    <cellStyle name="百分比 3 4" xfId="17877"/>
    <cellStyle name="百分比 3 4 2" xfId="17878"/>
    <cellStyle name="百分比 3 4 3" xfId="17879"/>
    <cellStyle name="百分比 3 5" xfId="17880"/>
    <cellStyle name="百分比 3 6" xfId="17881"/>
    <cellStyle name="常规 16 2" xfId="17882"/>
    <cellStyle name="常规 21 2" xfId="17883"/>
    <cellStyle name="常规 115 3 3 2 2" xfId="17884"/>
    <cellStyle name="常规 120 3 3 2 2" xfId="17885"/>
    <cellStyle name="百分比 3 7" xfId="17886"/>
    <cellStyle name="常规 16 3" xfId="17887"/>
    <cellStyle name="常规 21 3" xfId="17888"/>
    <cellStyle name="常规 115 3 3 2 3" xfId="17889"/>
    <cellStyle name="常规 120 3 3 2 3" xfId="17890"/>
    <cellStyle name="百分比 3 8" xfId="17891"/>
    <cellStyle name="常规 16 4" xfId="17892"/>
    <cellStyle name="常规 21 4" xfId="17893"/>
    <cellStyle name="百分比 3 9" xfId="17894"/>
    <cellStyle name="常规 16 5" xfId="17895"/>
    <cellStyle name="常规 21 5" xfId="17896"/>
    <cellStyle name="捠壿 [0.00]_Region Orders (2)" xfId="17897"/>
    <cellStyle name="捠壿_Region Orders (2)" xfId="17898"/>
    <cellStyle name="计算 3 7 8" xfId="17899"/>
    <cellStyle name="编号 10" xfId="17900"/>
    <cellStyle name="常规 36 16" xfId="17901"/>
    <cellStyle name="常规 36 21" xfId="17902"/>
    <cellStyle name="常规 41 16" xfId="17903"/>
    <cellStyle name="常规 41 21" xfId="17904"/>
    <cellStyle name="编号 10 15" xfId="17905"/>
    <cellStyle name="常规 36 17" xfId="17906"/>
    <cellStyle name="常规 36 22" xfId="17907"/>
    <cellStyle name="常规 41 17" xfId="17908"/>
    <cellStyle name="常规 41 22" xfId="17909"/>
    <cellStyle name="编号 10 16" xfId="17910"/>
    <cellStyle name="常规 36 18" xfId="17911"/>
    <cellStyle name="常规 36 23" xfId="17912"/>
    <cellStyle name="常规 41 18" xfId="17913"/>
    <cellStyle name="常规 41 23" xfId="17914"/>
    <cellStyle name="编号 10 17" xfId="17915"/>
    <cellStyle name="计算 3 7 9" xfId="17916"/>
    <cellStyle name="编号 11" xfId="17917"/>
    <cellStyle name="编号 11 2" xfId="17918"/>
    <cellStyle name="常规 37 2 7" xfId="17919"/>
    <cellStyle name="常规 42 2 7" xfId="17920"/>
    <cellStyle name="编号 11 2 2" xfId="17921"/>
    <cellStyle name="编号 11 3" xfId="17922"/>
    <cellStyle name="汇总 2 7 2 10" xfId="17923"/>
    <cellStyle name="常规 10 5 2 2" xfId="17924"/>
    <cellStyle name="编号 11 4" xfId="17925"/>
    <cellStyle name="汇总 2 7 2 11" xfId="17926"/>
    <cellStyle name="常规 10 5 2 3" xfId="17927"/>
    <cellStyle name="编号 11 5" xfId="17928"/>
    <cellStyle name="汇总 2 7 2 12" xfId="17929"/>
    <cellStyle name="编号 11 6" xfId="17930"/>
    <cellStyle name="编号 11 7" xfId="17931"/>
    <cellStyle name="编号 11 8" xfId="17932"/>
    <cellStyle name="汇总 2 2 10 10" xfId="17933"/>
    <cellStyle name="编号 12" xfId="17934"/>
    <cellStyle name="编号 12 2" xfId="17935"/>
    <cellStyle name="汇总 2 2 10 11" xfId="17936"/>
    <cellStyle name="编号 13" xfId="17937"/>
    <cellStyle name="编号 13 10" xfId="17938"/>
    <cellStyle name="编号 13 11" xfId="17939"/>
    <cellStyle name="编号 13 12" xfId="17940"/>
    <cellStyle name="标题 5 10" xfId="17941"/>
    <cellStyle name="编号 13 13" xfId="17942"/>
    <cellStyle name="标题 5 11" xfId="17943"/>
    <cellStyle name="编号 13 14" xfId="17944"/>
    <cellStyle name="标题 5 12" xfId="17945"/>
    <cellStyle name="编号 13 15" xfId="17946"/>
    <cellStyle name="标题 5 13" xfId="17947"/>
    <cellStyle name="编号 13 16" xfId="17948"/>
    <cellStyle name="标题 5 14" xfId="17949"/>
    <cellStyle name="编号 13 17" xfId="17950"/>
    <cellStyle name="编号 13 2" xfId="17951"/>
    <cellStyle name="常规 39 2 7" xfId="17952"/>
    <cellStyle name="常规 44 2 7" xfId="17953"/>
    <cellStyle name="编号 13 2 2" xfId="17954"/>
    <cellStyle name="标题1 3 3" xfId="17955"/>
    <cellStyle name="编号 13 5" xfId="17956"/>
    <cellStyle name="汇总 2 2 10 12" xfId="17957"/>
    <cellStyle name="编号 14" xfId="17958"/>
    <cellStyle name="编号 14 2" xfId="17959"/>
    <cellStyle name="编号 2" xfId="17960"/>
    <cellStyle name="编号 2 10" xfId="17961"/>
    <cellStyle name="编号 2 2" xfId="17962"/>
    <cellStyle name="常规 147 3" xfId="17963"/>
    <cellStyle name="常规 152 3" xfId="17964"/>
    <cellStyle name="编号 2 2 2" xfId="17965"/>
    <cellStyle name="编号 2 3" xfId="17966"/>
    <cellStyle name="编号 2 4" xfId="17967"/>
    <cellStyle name="编号 2 5" xfId="17968"/>
    <cellStyle name="编号 2 6" xfId="17969"/>
    <cellStyle name="编号 2 7" xfId="17970"/>
    <cellStyle name="编号 2 8" xfId="17971"/>
    <cellStyle name="编号 2 9" xfId="17972"/>
    <cellStyle name="汇总 2 2 10 18" xfId="17973"/>
    <cellStyle name="编号 25" xfId="17974"/>
    <cellStyle name="编号 26" xfId="17975"/>
    <cellStyle name="编号 27" xfId="17976"/>
    <cellStyle name="编号 28" xfId="17977"/>
    <cellStyle name="常规 119 5 2 2" xfId="17978"/>
    <cellStyle name="常规 124 5 2 2" xfId="17979"/>
    <cellStyle name="编号 29" xfId="17980"/>
    <cellStyle name="常规 42 2 2 3 2" xfId="17981"/>
    <cellStyle name="编号 3 3" xfId="17982"/>
    <cellStyle name="常规 42 2 2 3 3" xfId="17983"/>
    <cellStyle name="常规 75 3 3 2" xfId="17984"/>
    <cellStyle name="常规 80 3 3 2" xfId="17985"/>
    <cellStyle name="编号 3 4" xfId="17986"/>
    <cellStyle name="常规 75 3 3 3" xfId="17987"/>
    <cellStyle name="常规 80 3 3 3" xfId="17988"/>
    <cellStyle name="常规 100 2 4 2" xfId="17989"/>
    <cellStyle name="编号 3 5" xfId="17990"/>
    <cellStyle name="常规 100 2 4 3" xfId="17991"/>
    <cellStyle name="编号 3 6" xfId="17992"/>
    <cellStyle name="编号 3 7" xfId="17993"/>
    <cellStyle name="编号 3 8" xfId="17994"/>
    <cellStyle name="编号 3 9" xfId="17995"/>
    <cellStyle name="编号 4 2" xfId="17996"/>
    <cellStyle name="编号 4 2 2" xfId="17997"/>
    <cellStyle name="编号 4 3" xfId="17998"/>
    <cellStyle name="编号 4 4" xfId="17999"/>
    <cellStyle name="编号 4 5" xfId="18000"/>
    <cellStyle name="编号 4 6" xfId="18001"/>
    <cellStyle name="编号 4 7" xfId="18002"/>
    <cellStyle name="编号 4 8" xfId="18003"/>
    <cellStyle name="编号 4 9" xfId="18004"/>
    <cellStyle name="常规 147 3 4" xfId="18005"/>
    <cellStyle name="常规 152 3 4" xfId="18006"/>
    <cellStyle name="标题1 7 8" xfId="18007"/>
    <cellStyle name="编号 5 10" xfId="18008"/>
    <cellStyle name="编号 5 2" xfId="18009"/>
    <cellStyle name="编号 5 3" xfId="18010"/>
    <cellStyle name="编号 5 4" xfId="18011"/>
    <cellStyle name="编号 5 5" xfId="18012"/>
    <cellStyle name="编号 5 6" xfId="18013"/>
    <cellStyle name="编号 5 7" xfId="18014"/>
    <cellStyle name="编号 5 8" xfId="18015"/>
    <cellStyle name="编号 5 9" xfId="18016"/>
    <cellStyle name="编号 6 16" xfId="18017"/>
    <cellStyle name="编号 6 17" xfId="18018"/>
    <cellStyle name="编号 6 4" xfId="18019"/>
    <cellStyle name="编号 6 5" xfId="18020"/>
    <cellStyle name="编号 6 6" xfId="18021"/>
    <cellStyle name="编号 6 7" xfId="18022"/>
    <cellStyle name="编号 6 8" xfId="18023"/>
    <cellStyle name="编号 6 9" xfId="18024"/>
    <cellStyle name="编号 7 10" xfId="18025"/>
    <cellStyle name="编号 7 13" xfId="18026"/>
    <cellStyle name="编号 7 14" xfId="18027"/>
    <cellStyle name="编号 7 15" xfId="18028"/>
    <cellStyle name="编号 7 16" xfId="18029"/>
    <cellStyle name="编号 7 17" xfId="18030"/>
    <cellStyle name="编号 7 2" xfId="18031"/>
    <cellStyle name="编号 7 3" xfId="18032"/>
    <cellStyle name="编号 7 4" xfId="18033"/>
    <cellStyle name="编号 7 5" xfId="18034"/>
    <cellStyle name="编号 7 6" xfId="18035"/>
    <cellStyle name="编号 7 7" xfId="18036"/>
    <cellStyle name="编号 7 8" xfId="18037"/>
    <cellStyle name="编号 7 9" xfId="18038"/>
    <cellStyle name="常规 98 2 3" xfId="18039"/>
    <cellStyle name="编号 8 10" xfId="18040"/>
    <cellStyle name="常规 85 2 2 2" xfId="18041"/>
    <cellStyle name="常规 90 2 2 2" xfId="18042"/>
    <cellStyle name="常规 98 2 4" xfId="18043"/>
    <cellStyle name="编号 8 11" xfId="18044"/>
    <cellStyle name="常规 85 2 2 3" xfId="18045"/>
    <cellStyle name="常规 90 2 2 3" xfId="18046"/>
    <cellStyle name="常规 98 2 5" xfId="18047"/>
    <cellStyle name="编号 8 12" xfId="18048"/>
    <cellStyle name="常规 85 2 2 4" xfId="18049"/>
    <cellStyle name="常规 90 2 2 4" xfId="18050"/>
    <cellStyle name="常规 98 2 6" xfId="18051"/>
    <cellStyle name="编号 8 13" xfId="18052"/>
    <cellStyle name="常规 85 2 2 5" xfId="18053"/>
    <cellStyle name="常规 90 2 2 5" xfId="18054"/>
    <cellStyle name="常规 98 2 7" xfId="18055"/>
    <cellStyle name="编号 8 14" xfId="18056"/>
    <cellStyle name="常规 85 2 2 6" xfId="18057"/>
    <cellStyle name="常规 90 2 2 6" xfId="18058"/>
    <cellStyle name="常规 98 2 8" xfId="18059"/>
    <cellStyle name="编号 8 15" xfId="18060"/>
    <cellStyle name="常规 85 2 2 7" xfId="18061"/>
    <cellStyle name="常规 90 2 2 7" xfId="18062"/>
    <cellStyle name="常规 98 2 9" xfId="18063"/>
    <cellStyle name="编号 8 16" xfId="18064"/>
    <cellStyle name="常规 85 2 2 8" xfId="18065"/>
    <cellStyle name="常规 90 2 2 8" xfId="18066"/>
    <cellStyle name="编号 8 17" xfId="18067"/>
    <cellStyle name="计算 3 8 17" xfId="18068"/>
    <cellStyle name="编号 8 2" xfId="18069"/>
    <cellStyle name="编号 8 3" xfId="18070"/>
    <cellStyle name="编号 8 4" xfId="18071"/>
    <cellStyle name="编号 8 5" xfId="18072"/>
    <cellStyle name="编号 8 6" xfId="18073"/>
    <cellStyle name="编号 8 7" xfId="18074"/>
    <cellStyle name="编号 8 8" xfId="18075"/>
    <cellStyle name="编号 8 9" xfId="18076"/>
    <cellStyle name="编号 9 11" xfId="18077"/>
    <cellStyle name="编号 9 14" xfId="18078"/>
    <cellStyle name="编号 9 15" xfId="18079"/>
    <cellStyle name="编号 9 16" xfId="18080"/>
    <cellStyle name="编号 9 17" xfId="18081"/>
    <cellStyle name="编号 9 2" xfId="18082"/>
    <cellStyle name="编号 9 2 2" xfId="18083"/>
    <cellStyle name="编号 9 6" xfId="18084"/>
    <cellStyle name="标题 1 2 10" xfId="18085"/>
    <cellStyle name="标题 1 2 11" xfId="18086"/>
    <cellStyle name="标题 1 2 14" xfId="18087"/>
    <cellStyle name="标题 1 2 15" xfId="18088"/>
    <cellStyle name="标题 1 2 16" xfId="18089"/>
    <cellStyle name="标题 2 2 2 10" xfId="18090"/>
    <cellStyle name="标题 1 2 17" xfId="18091"/>
    <cellStyle name="标题 2 2 2 11" xfId="18092"/>
    <cellStyle name="标题 1 2 18" xfId="18093"/>
    <cellStyle name="标题 2 2 2 12" xfId="18094"/>
    <cellStyle name="常规 87 2 2 3 2" xfId="18095"/>
    <cellStyle name="常规 92 2 2 3 2" xfId="18096"/>
    <cellStyle name="标题 1 2 19" xfId="18097"/>
    <cellStyle name="标题 1 2 2" xfId="18098"/>
    <cellStyle name="标题 1 2 2 10" xfId="18099"/>
    <cellStyle name="标题 1 2 2 11" xfId="18100"/>
    <cellStyle name="标题 1 2 2 12" xfId="18101"/>
    <cellStyle name="标题 1 2 2 13" xfId="18102"/>
    <cellStyle name="标题 1 2 2 14" xfId="18103"/>
    <cellStyle name="标题 1 2 2 15" xfId="18104"/>
    <cellStyle name="标题 1 2 2 16" xfId="18105"/>
    <cellStyle name="标题 1 2 2 17" xfId="18106"/>
    <cellStyle name="标题 1 2 2 2" xfId="18107"/>
    <cellStyle name="汇总 2 9 2 10" xfId="18108"/>
    <cellStyle name="标题 1 2 2 2 2" xfId="18109"/>
    <cellStyle name="标题 1 2 2 3" xfId="18110"/>
    <cellStyle name="标题 1 2 2 4" xfId="18111"/>
    <cellStyle name="标题 1 2 3" xfId="18112"/>
    <cellStyle name="标题 1 2 3 2" xfId="18113"/>
    <cellStyle name="标题 1 2 3 2 2" xfId="18114"/>
    <cellStyle name="标题 1 2 3 3" xfId="18115"/>
    <cellStyle name="标题 1 2 3 4" xfId="18116"/>
    <cellStyle name="标题 1 2 3 6" xfId="18117"/>
    <cellStyle name="标题 1 2 3 7" xfId="18118"/>
    <cellStyle name="标题 1 2 3 8" xfId="18119"/>
    <cellStyle name="标题 1 2 3 9" xfId="18120"/>
    <cellStyle name="标题 1 2 4" xfId="18121"/>
    <cellStyle name="标题 1 2 5" xfId="18122"/>
    <cellStyle name="标题 1 2 6" xfId="18123"/>
    <cellStyle name="常规 35 3 2" xfId="18124"/>
    <cellStyle name="常规 40 3 2" xfId="18125"/>
    <cellStyle name="标题 1 2 7" xfId="18126"/>
    <cellStyle name="常规 35 3 3" xfId="18127"/>
    <cellStyle name="常规 40 3 3" xfId="18128"/>
    <cellStyle name="标题 1 2 8" xfId="18129"/>
    <cellStyle name="常规 35 3 4" xfId="18130"/>
    <cellStyle name="常规 40 3 4" xfId="18131"/>
    <cellStyle name="汇总 3 2 8 2 2" xfId="18132"/>
    <cellStyle name="标题 1 2 9" xfId="18133"/>
    <cellStyle name="汇总 3 3 4 2 11" xfId="18134"/>
    <cellStyle name="标题 1 3 10" xfId="18135"/>
    <cellStyle name="汇总 3 3 4 2 12" xfId="18136"/>
    <cellStyle name="标题 1 3 11" xfId="18137"/>
    <cellStyle name="标题 1 3 12" xfId="18138"/>
    <cellStyle name="标题 1 3 13" xfId="18139"/>
    <cellStyle name="标题 1 3 14" xfId="18140"/>
    <cellStyle name="标题 1 3 15" xfId="18141"/>
    <cellStyle name="标题 1 3 16" xfId="18142"/>
    <cellStyle name="标题 2 2 3 10" xfId="18143"/>
    <cellStyle name="标题 1 3 17" xfId="18144"/>
    <cellStyle name="标题 2 2 3 11" xfId="18145"/>
    <cellStyle name="标题 1 3 18" xfId="18146"/>
    <cellStyle name="标题 1 3 2 10" xfId="18147"/>
    <cellStyle name="标题 1 3 2 11" xfId="18148"/>
    <cellStyle name="标题 1 3 2 12" xfId="18149"/>
    <cellStyle name="标题 1 3 2 13" xfId="18150"/>
    <cellStyle name="标题 1 3 2 14" xfId="18151"/>
    <cellStyle name="标题 1 3 2 15" xfId="18152"/>
    <cellStyle name="标题 1 3 2 16" xfId="18153"/>
    <cellStyle name="标题 1 3 2 2" xfId="18154"/>
    <cellStyle name="标题 1 3 2 3" xfId="18155"/>
    <cellStyle name="标题 1 3 2 4" xfId="18156"/>
    <cellStyle name="标题 1 3 3 2" xfId="18157"/>
    <cellStyle name="标题 1 3 4" xfId="18158"/>
    <cellStyle name="标题 1 3 5" xfId="18159"/>
    <cellStyle name="标题 1 3 6" xfId="18160"/>
    <cellStyle name="标题 1 3 7" xfId="18161"/>
    <cellStyle name="标题 1 4 10" xfId="18162"/>
    <cellStyle name="标题 1 4 11" xfId="18163"/>
    <cellStyle name="常规 100 2" xfId="18164"/>
    <cellStyle name="常规 4 5 2" xfId="18165"/>
    <cellStyle name="标题 1 4 12" xfId="18166"/>
    <cellStyle name="常规 100 3" xfId="18167"/>
    <cellStyle name="常规 4 5 3" xfId="18168"/>
    <cellStyle name="标题 1 4 13" xfId="18169"/>
    <cellStyle name="常规 100 4" xfId="18170"/>
    <cellStyle name="标题 1 4 14" xfId="18171"/>
    <cellStyle name="常规 100 5" xfId="18172"/>
    <cellStyle name="标题 1 4 15" xfId="18173"/>
    <cellStyle name="常规 100 6" xfId="18174"/>
    <cellStyle name="标题 1 4 16" xfId="18175"/>
    <cellStyle name="常规 100 7" xfId="18176"/>
    <cellStyle name="标题 1 4 17" xfId="18177"/>
    <cellStyle name="常规 4 15" xfId="18178"/>
    <cellStyle name="常规 4 20" xfId="18179"/>
    <cellStyle name="标题 1 4 2" xfId="18180"/>
    <cellStyle name="常规 45 2 14" xfId="18181"/>
    <cellStyle name="常规 50 2 14" xfId="18182"/>
    <cellStyle name="标题 1 4 2 2" xfId="18183"/>
    <cellStyle name="常规 4 16" xfId="18184"/>
    <cellStyle name="常规 4 21" xfId="18185"/>
    <cellStyle name="标题 1 4 3" xfId="18186"/>
    <cellStyle name="常规 4 17" xfId="18187"/>
    <cellStyle name="常规 4 22" xfId="18188"/>
    <cellStyle name="标题 1 4 4" xfId="18189"/>
    <cellStyle name="常规 4 18" xfId="18190"/>
    <cellStyle name="常规 4 23" xfId="18191"/>
    <cellStyle name="标题 1 4 5" xfId="18192"/>
    <cellStyle name="常规 4 19" xfId="18193"/>
    <cellStyle name="标题 1 4 6" xfId="18194"/>
    <cellStyle name="常规 35 5 2" xfId="18195"/>
    <cellStyle name="常规 40 5 2" xfId="18196"/>
    <cellStyle name="标题 1 4 7" xfId="18197"/>
    <cellStyle name="常规 35 5 3" xfId="18198"/>
    <cellStyle name="常规 40 5 3" xfId="18199"/>
    <cellStyle name="标题 1 4 8" xfId="18200"/>
    <cellStyle name="标题 1 4 9" xfId="18201"/>
    <cellStyle name="标题 2 2" xfId="18202"/>
    <cellStyle name="标题 2 3 2 10" xfId="18203"/>
    <cellStyle name="注释 2 5 15" xfId="18204"/>
    <cellStyle name="标题 2 2 17" xfId="18205"/>
    <cellStyle name="标题 2 2 22" xfId="18206"/>
    <cellStyle name="标题 2 3 2 11" xfId="18207"/>
    <cellStyle name="注释 2 5 16" xfId="18208"/>
    <cellStyle name="标题 2 2 18" xfId="18209"/>
    <cellStyle name="标题 2 2 2" xfId="18210"/>
    <cellStyle name="标题 2 2 2 13" xfId="18211"/>
    <cellStyle name="常规 87 2 2 3 3" xfId="18212"/>
    <cellStyle name="常规 92 2 2 3 3" xfId="18213"/>
    <cellStyle name="常规 65 5 2" xfId="18214"/>
    <cellStyle name="常规 70 5 2" xfId="18215"/>
    <cellStyle name="标题 2 2 2 14" xfId="18216"/>
    <cellStyle name="常规 65 5 3" xfId="18217"/>
    <cellStyle name="常规 70 5 3" xfId="18218"/>
    <cellStyle name="标题 2 2 2 15" xfId="18219"/>
    <cellStyle name="标题 2 2 2 16" xfId="18220"/>
    <cellStyle name="标题 2 2 2 17" xfId="18221"/>
    <cellStyle name="标题 2 2 2 2" xfId="18222"/>
    <cellStyle name="标题 2 2 2 2 2" xfId="18223"/>
    <cellStyle name="标题 2 2 2 3" xfId="18224"/>
    <cellStyle name="标题 2 2 2 4" xfId="18225"/>
    <cellStyle name="标题 2 2 3" xfId="18226"/>
    <cellStyle name="标题 2 2 3 12" xfId="18227"/>
    <cellStyle name="标题 2 2 3 13" xfId="18228"/>
    <cellStyle name="标题 2 2 3 14" xfId="18229"/>
    <cellStyle name="标题 2 2 3 15" xfId="18230"/>
    <cellStyle name="标题 2 2 3 16" xfId="18231"/>
    <cellStyle name="标题 2 2 3 17" xfId="18232"/>
    <cellStyle name="标题 2 2 3 2" xfId="18233"/>
    <cellStyle name="标题 2 2 3 2 2" xfId="18234"/>
    <cellStyle name="标题 2 2 3 3" xfId="18235"/>
    <cellStyle name="标题 2 2 3 4" xfId="18236"/>
    <cellStyle name="标题 2 2 3 5" xfId="18237"/>
    <cellStyle name="标题 2 2 3 6" xfId="18238"/>
    <cellStyle name="标题 2 2 3 7" xfId="18239"/>
    <cellStyle name="标题 2 2 3 8" xfId="18240"/>
    <cellStyle name="标题 2 2 3 9" xfId="18241"/>
    <cellStyle name="标题 2 2 4" xfId="18242"/>
    <cellStyle name="标题 2 2 5" xfId="18243"/>
    <cellStyle name="标题 2 2 6" xfId="18244"/>
    <cellStyle name="常规 36 3 2" xfId="18245"/>
    <cellStyle name="常规 41 3 2" xfId="18246"/>
    <cellStyle name="标题 2 2 7" xfId="18247"/>
    <cellStyle name="常规 36 3 3" xfId="18248"/>
    <cellStyle name="常规 41 3 3" xfId="18249"/>
    <cellStyle name="标题 2 2 8" xfId="18250"/>
    <cellStyle name="常规 36 3 4" xfId="18251"/>
    <cellStyle name="常规 41 3 4" xfId="18252"/>
    <cellStyle name="汇总 3 2 9 2 2" xfId="18253"/>
    <cellStyle name="标题 2 2 9" xfId="18254"/>
    <cellStyle name="标题 2 3" xfId="18255"/>
    <cellStyle name="标题 2 3 10" xfId="18256"/>
    <cellStyle name="标题 2 3 11" xfId="18257"/>
    <cellStyle name="注释 2 6 10" xfId="18258"/>
    <cellStyle name="标题 2 3 12" xfId="18259"/>
    <cellStyle name="注释 2 6 11" xfId="18260"/>
    <cellStyle name="标题 2 3 13" xfId="18261"/>
    <cellStyle name="注释 2 6 12" xfId="18262"/>
    <cellStyle name="标题 2 3 14" xfId="18263"/>
    <cellStyle name="注释 2 6 13" xfId="18264"/>
    <cellStyle name="标题 2 3 15" xfId="18265"/>
    <cellStyle name="注释 2 6 14" xfId="18266"/>
    <cellStyle name="标题 2 3 16" xfId="18267"/>
    <cellStyle name="注释 2 6 15" xfId="18268"/>
    <cellStyle name="标题 2 3 17" xfId="18269"/>
    <cellStyle name="注释 2 6 16" xfId="18270"/>
    <cellStyle name="标题 2 3 18" xfId="18271"/>
    <cellStyle name="标题 2 3 2" xfId="18272"/>
    <cellStyle name="常规 75 5 2" xfId="18273"/>
    <cellStyle name="常规 80 5 2" xfId="18274"/>
    <cellStyle name="标题 2 3 2 14" xfId="18275"/>
    <cellStyle name="常规 75 5 3" xfId="18276"/>
    <cellStyle name="常规 80 5 3" xfId="18277"/>
    <cellStyle name="标题 2 3 2 15" xfId="18278"/>
    <cellStyle name="标题 2 3 2 2 2" xfId="18279"/>
    <cellStyle name="标题 2 3 3" xfId="18280"/>
    <cellStyle name="标题 2 3 3 2" xfId="18281"/>
    <cellStyle name="标题 2 3 4" xfId="18282"/>
    <cellStyle name="标题 2 3 5" xfId="18283"/>
    <cellStyle name="标题 2 3 6" xfId="18284"/>
    <cellStyle name="标题 2 3 7" xfId="18285"/>
    <cellStyle name="标题 2 3 8" xfId="18286"/>
    <cellStyle name="标题 2 3 9" xfId="18287"/>
    <cellStyle name="标题 2 4" xfId="18288"/>
    <cellStyle name="标题 2 4 10" xfId="18289"/>
    <cellStyle name="标题 2 4 11" xfId="18290"/>
    <cellStyle name="常规 9 5 2" xfId="18291"/>
    <cellStyle name="注释 2 7 10" xfId="18292"/>
    <cellStyle name="标题 2 4 12" xfId="18293"/>
    <cellStyle name="常规 9 5 3" xfId="18294"/>
    <cellStyle name="注释 2 7 11" xfId="18295"/>
    <cellStyle name="标题 2 4 13" xfId="18296"/>
    <cellStyle name="注释 2 7 12" xfId="18297"/>
    <cellStyle name="标题 2 4 14" xfId="18298"/>
    <cellStyle name="注释 2 7 13" xfId="18299"/>
    <cellStyle name="标题 2 4 15" xfId="18300"/>
    <cellStyle name="注释 2 7 14" xfId="18301"/>
    <cellStyle name="标题 2 4 16" xfId="18302"/>
    <cellStyle name="注释 2 7 15" xfId="18303"/>
    <cellStyle name="标题 2 4 17" xfId="18304"/>
    <cellStyle name="常规 9 15" xfId="18305"/>
    <cellStyle name="常规 9 20" xfId="18306"/>
    <cellStyle name="标题 2 4 2" xfId="18307"/>
    <cellStyle name="常规 9 16" xfId="18308"/>
    <cellStyle name="常规 9 21" xfId="18309"/>
    <cellStyle name="标题 2 4 3" xfId="18310"/>
    <cellStyle name="常规 9 17" xfId="18311"/>
    <cellStyle name="常规 9 22" xfId="18312"/>
    <cellStyle name="标题 2 4 4" xfId="18313"/>
    <cellStyle name="常规 9 18" xfId="18314"/>
    <cellStyle name="常规 9 23" xfId="18315"/>
    <cellStyle name="标题 2 4 5" xfId="18316"/>
    <cellStyle name="常规 9 19" xfId="18317"/>
    <cellStyle name="标题 2 4 6" xfId="18318"/>
    <cellStyle name="常规 36 5 2" xfId="18319"/>
    <cellStyle name="常规 41 5 2" xfId="18320"/>
    <cellStyle name="标题 2 4 7" xfId="18321"/>
    <cellStyle name="常规 36 5 3" xfId="18322"/>
    <cellStyle name="常规 41 5 3" xfId="18323"/>
    <cellStyle name="标题 2 4 8" xfId="18324"/>
    <cellStyle name="标题 2 4 9" xfId="18325"/>
    <cellStyle name="标题 3 2" xfId="18326"/>
    <cellStyle name="标题 3 2 10" xfId="18327"/>
    <cellStyle name="标题 3 2 10 10" xfId="18328"/>
    <cellStyle name="标题 3 2 10 11" xfId="18329"/>
    <cellStyle name="标题 3 2 10 12" xfId="18330"/>
    <cellStyle name="标题 3 2 10 13" xfId="18331"/>
    <cellStyle name="常规 108 2 2 10" xfId="18332"/>
    <cellStyle name="常规 113 2 2 10" xfId="18333"/>
    <cellStyle name="标题 3 2 10 14" xfId="18334"/>
    <cellStyle name="常规 108 2 2 11" xfId="18335"/>
    <cellStyle name="常规 113 2 2 11" xfId="18336"/>
    <cellStyle name="标题 3 2 10 15" xfId="18337"/>
    <cellStyle name="常规 108 2 2 12" xfId="18338"/>
    <cellStyle name="常规 113 2 2 12" xfId="18339"/>
    <cellStyle name="标题 3 2 10 16" xfId="18340"/>
    <cellStyle name="常规 108 2 2 13" xfId="18341"/>
    <cellStyle name="常规 113 2 2 13" xfId="18342"/>
    <cellStyle name="标题 3 2 10 17" xfId="18343"/>
    <cellStyle name="标题 3 2 3 4" xfId="18344"/>
    <cellStyle name="标题 3 2 10 2" xfId="18345"/>
    <cellStyle name="标题 3 2 10 2 2" xfId="18346"/>
    <cellStyle name="标题 3 2 3 7" xfId="18347"/>
    <cellStyle name="标题 3 2 10 5" xfId="18348"/>
    <cellStyle name="标题 3 2 3 8" xfId="18349"/>
    <cellStyle name="标题 3 2 10 6" xfId="18350"/>
    <cellStyle name="标题 3 2 3 9" xfId="18351"/>
    <cellStyle name="标题 3 2 10 7" xfId="18352"/>
    <cellStyle name="标题 3 2 10 8" xfId="18353"/>
    <cellStyle name="标题 3 2 10 9" xfId="18354"/>
    <cellStyle name="标题 3 2 11" xfId="18355"/>
    <cellStyle name="标题 3 2 11 10" xfId="18356"/>
    <cellStyle name="标题 3 2 11 11" xfId="18357"/>
    <cellStyle name="标题 3 2 11 12" xfId="18358"/>
    <cellStyle name="标题 3 2 11 13" xfId="18359"/>
    <cellStyle name="标题 3 2 11 14" xfId="18360"/>
    <cellStyle name="标题 3 2 6 2" xfId="18361"/>
    <cellStyle name="标题 3 2 11 15" xfId="18362"/>
    <cellStyle name="标题 3 2 6 3" xfId="18363"/>
    <cellStyle name="标题 3 2 11 16" xfId="18364"/>
    <cellStyle name="标题 3 2 13 2" xfId="18365"/>
    <cellStyle name="标题 3 2 6 4" xfId="18366"/>
    <cellStyle name="标题 3 2 11 17" xfId="18367"/>
    <cellStyle name="标题 3 2 4 4" xfId="18368"/>
    <cellStyle name="标题 3 2 11 2" xfId="18369"/>
    <cellStyle name="标题 3 2 11 2 2" xfId="18370"/>
    <cellStyle name="标题 3 2 4 5" xfId="18371"/>
    <cellStyle name="标题 3 2 11 3" xfId="18372"/>
    <cellStyle name="标题 3 2 4 6" xfId="18373"/>
    <cellStyle name="标题 3 2 11 4" xfId="18374"/>
    <cellStyle name="标题 3 2 4 7" xfId="18375"/>
    <cellStyle name="标题 3 2 11 5" xfId="18376"/>
    <cellStyle name="标题 3 2 4 8" xfId="18377"/>
    <cellStyle name="标题 3 2 11 6" xfId="18378"/>
    <cellStyle name="标题 3 2 4 9" xfId="18379"/>
    <cellStyle name="标题 3 2 11 7" xfId="18380"/>
    <cellStyle name="标题 3 2 11 8" xfId="18381"/>
    <cellStyle name="标题 3 2 11 9" xfId="18382"/>
    <cellStyle name="注释 3 5 10" xfId="18383"/>
    <cellStyle name="标题 3 2 12" xfId="18384"/>
    <cellStyle name="标题 3 2 12 10" xfId="18385"/>
    <cellStyle name="标题 3 2 12 11" xfId="18386"/>
    <cellStyle name="标题 3 2 12 12" xfId="18387"/>
    <cellStyle name="标题 3 2 12 13" xfId="18388"/>
    <cellStyle name="标题 3 2 12 14" xfId="18389"/>
    <cellStyle name="标题 3 2 12 15" xfId="18390"/>
    <cellStyle name="标题 3 2 12 16" xfId="18391"/>
    <cellStyle name="标题 3 2 12 17" xfId="18392"/>
    <cellStyle name="标题 3 2 5 4" xfId="18393"/>
    <cellStyle name="标题 3 2 12 2" xfId="18394"/>
    <cellStyle name="标题 3 2 12 2 2" xfId="18395"/>
    <cellStyle name="标题 3 2 5 5" xfId="18396"/>
    <cellStyle name="标题 3 2 12 3" xfId="18397"/>
    <cellStyle name="标题 3 2 5 6" xfId="18398"/>
    <cellStyle name="标题 3 2 12 4" xfId="18399"/>
    <cellStyle name="标题 3 2 5 7" xfId="18400"/>
    <cellStyle name="标题 3 2 12 5" xfId="18401"/>
    <cellStyle name="标题 3 2 5 8" xfId="18402"/>
    <cellStyle name="标题 3 2 12 6" xfId="18403"/>
    <cellStyle name="标题 3 2 5 9" xfId="18404"/>
    <cellStyle name="标题 3 2 12 7" xfId="18405"/>
    <cellStyle name="标题 3 2 12 8" xfId="18406"/>
    <cellStyle name="标题 3 2 12 9" xfId="18407"/>
    <cellStyle name="注释 3 5 11" xfId="18408"/>
    <cellStyle name="标题 3 2 13" xfId="18409"/>
    <cellStyle name="标题 3 2 13 10" xfId="18410"/>
    <cellStyle name="标题 3 2 13 11" xfId="18411"/>
    <cellStyle name="标题 3 2 13 12" xfId="18412"/>
    <cellStyle name="标题 3 2 13 13" xfId="18413"/>
    <cellStyle name="标题 3 2 13 14" xfId="18414"/>
    <cellStyle name="标题 3 2 13 15" xfId="18415"/>
    <cellStyle name="标题 3 2 13 16" xfId="18416"/>
    <cellStyle name="标题 3 2 13 17" xfId="18417"/>
    <cellStyle name="标题 3 2 13 2 2" xfId="18418"/>
    <cellStyle name="标题 3 2 6 5" xfId="18419"/>
    <cellStyle name="标题 3 2 13 3" xfId="18420"/>
    <cellStyle name="标题 3 2 6 6" xfId="18421"/>
    <cellStyle name="标题 3 2 13 4" xfId="18422"/>
    <cellStyle name="标题 3 2 6 7" xfId="18423"/>
    <cellStyle name="标题 3 2 13 5" xfId="18424"/>
    <cellStyle name="标题 3 2 6 8" xfId="18425"/>
    <cellStyle name="标题 3 2 13 6" xfId="18426"/>
    <cellStyle name="标题 3 2 6 9" xfId="18427"/>
    <cellStyle name="标题 3 2 13 7" xfId="18428"/>
    <cellStyle name="标题 3 2 13 8" xfId="18429"/>
    <cellStyle name="标题 3 2 13 9" xfId="18430"/>
    <cellStyle name="注释 3 5 12" xfId="18431"/>
    <cellStyle name="标题 3 2 14" xfId="18432"/>
    <cellStyle name="标题 3 2 7 4" xfId="18433"/>
    <cellStyle name="标题 3 2 14 2" xfId="18434"/>
    <cellStyle name="标题 3 2 7 5" xfId="18435"/>
    <cellStyle name="标题 3 2 14 3" xfId="18436"/>
    <cellStyle name="标题 3 2 7 6" xfId="18437"/>
    <cellStyle name="标题 3 2 14 4" xfId="18438"/>
    <cellStyle name="标题 3 2 7 7" xfId="18439"/>
    <cellStyle name="标题 3 2 14 5" xfId="18440"/>
    <cellStyle name="标题 3 2 7 8" xfId="18441"/>
    <cellStyle name="标题 3 2 14 6" xfId="18442"/>
    <cellStyle name="标题 3 2 7 9" xfId="18443"/>
    <cellStyle name="标题 3 2 14 7" xfId="18444"/>
    <cellStyle name="标题 3 2 14 8" xfId="18445"/>
    <cellStyle name="标题 3 2 14 9" xfId="18446"/>
    <cellStyle name="注释 3 5 13" xfId="18447"/>
    <cellStyle name="标题 3 2 15" xfId="18448"/>
    <cellStyle name="标题 3 2 20" xfId="18449"/>
    <cellStyle name="标题 3 2 8 4" xfId="18450"/>
    <cellStyle name="标题 3 2 15 2" xfId="18451"/>
    <cellStyle name="注释 3 5 14" xfId="18452"/>
    <cellStyle name="标题 3 2 16" xfId="18453"/>
    <cellStyle name="标题 3 2 21" xfId="18454"/>
    <cellStyle name="注释 3 5 20" xfId="18455"/>
    <cellStyle name="注释 3 5 15" xfId="18456"/>
    <cellStyle name="标题 3 2 17" xfId="18457"/>
    <cellStyle name="标题 3 2 22" xfId="18458"/>
    <cellStyle name="注释 3 5 21" xfId="18459"/>
    <cellStyle name="注释 3 5 16" xfId="18460"/>
    <cellStyle name="标题 3 2 18" xfId="18461"/>
    <cellStyle name="标题 3 2 23" xfId="18462"/>
    <cellStyle name="注释 3 5 17" xfId="18463"/>
    <cellStyle name="标题 3 2 19" xfId="18464"/>
    <cellStyle name="标题 3 2 24" xfId="18465"/>
    <cellStyle name="汇总 3 10 8" xfId="18466"/>
    <cellStyle name="计算 2 2 6 4" xfId="18467"/>
    <cellStyle name="常规 159 2 18" xfId="18468"/>
    <cellStyle name="标题 3 2 2" xfId="18469"/>
    <cellStyle name="标题 3 2 2 10" xfId="18470"/>
    <cellStyle name="标题 3 2 2 11" xfId="18471"/>
    <cellStyle name="标题 3 2 2 12" xfId="18472"/>
    <cellStyle name="标题 3 2 2 13" xfId="18473"/>
    <cellStyle name="标题 3 2 2 14" xfId="18474"/>
    <cellStyle name="标题 3 2 2 15" xfId="18475"/>
    <cellStyle name="标题 3 2 2 20" xfId="18476"/>
    <cellStyle name="标题 3 2 2 16" xfId="18477"/>
    <cellStyle name="标题 3 2 2 17" xfId="18478"/>
    <cellStyle name="标题 3 2 2 18" xfId="18479"/>
    <cellStyle name="标题 3 2 2 19" xfId="18480"/>
    <cellStyle name="计算 3 2 12 2 11" xfId="18481"/>
    <cellStyle name="标题 3 2 2 2" xfId="18482"/>
    <cellStyle name="输入 2 3 3 15" xfId="18483"/>
    <cellStyle name="标题 3 2 2 2 2" xfId="18484"/>
    <cellStyle name="计算 3 2 12 2 12" xfId="18485"/>
    <cellStyle name="标题 3 2 2 3" xfId="18486"/>
    <cellStyle name="标题 3 2 2 4" xfId="18487"/>
    <cellStyle name="注释 3 5 18" xfId="18488"/>
    <cellStyle name="标题 3 2 25" xfId="18489"/>
    <cellStyle name="标题 3 2 30" xfId="18490"/>
    <cellStyle name="注释 3 5 19" xfId="18491"/>
    <cellStyle name="标题 3 2 26" xfId="18492"/>
    <cellStyle name="标题 3 2 31" xfId="18493"/>
    <cellStyle name="标题 3 2 27" xfId="18494"/>
    <cellStyle name="标题 3 2 32" xfId="18495"/>
    <cellStyle name="标题 3 2 28" xfId="18496"/>
    <cellStyle name="标题 3 2 33" xfId="18497"/>
    <cellStyle name="常规 104 3 3 2 2" xfId="18498"/>
    <cellStyle name="标题 3 2 29" xfId="18499"/>
    <cellStyle name="汇总 3 10 9" xfId="18500"/>
    <cellStyle name="计算 2 2 6 5" xfId="18501"/>
    <cellStyle name="标题 3 2 3" xfId="18502"/>
    <cellStyle name="标题 3 2 3 11" xfId="18503"/>
    <cellStyle name="标题 3 2 3 12" xfId="18504"/>
    <cellStyle name="标题 3 2 3 13" xfId="18505"/>
    <cellStyle name="标题 3 2 3 14" xfId="18506"/>
    <cellStyle name="标题 3 2 3 15" xfId="18507"/>
    <cellStyle name="标题 3 2 3 20" xfId="18508"/>
    <cellStyle name="标题 3 2 3 16" xfId="18509"/>
    <cellStyle name="标题 3 2 3 17" xfId="18510"/>
    <cellStyle name="标题 3 2 3 18" xfId="18511"/>
    <cellStyle name="标题 3 2 3 19" xfId="18512"/>
    <cellStyle name="标题 3 2 3 2" xfId="18513"/>
    <cellStyle name="计算 2 2 6 2 12" xfId="18514"/>
    <cellStyle name="标题 3 2 3 2 2" xfId="18515"/>
    <cellStyle name="标题 3 2 3 3" xfId="18516"/>
    <cellStyle name="计算 2 2 6 6" xfId="18517"/>
    <cellStyle name="标题 3 2 4" xfId="18518"/>
    <cellStyle name="标题 3 2 4 10" xfId="18519"/>
    <cellStyle name="标题 3 2 4 11" xfId="18520"/>
    <cellStyle name="标题 3 2 4 12" xfId="18521"/>
    <cellStyle name="标题 3 2 4 13" xfId="18522"/>
    <cellStyle name="标题 3 2 4 14" xfId="18523"/>
    <cellStyle name="标题 3 2 4 15" xfId="18524"/>
    <cellStyle name="标题 3 2 4 20" xfId="18525"/>
    <cellStyle name="标题 3 2 4 16" xfId="18526"/>
    <cellStyle name="标题 3 2 4 17" xfId="18527"/>
    <cellStyle name="标题 3 2 4 18" xfId="18528"/>
    <cellStyle name="标题 3 2 4 19" xfId="18529"/>
    <cellStyle name="标题 3 2 4 2" xfId="18530"/>
    <cellStyle name="标题 3 2 4 3" xfId="18531"/>
    <cellStyle name="计算 2 2 6 7" xfId="18532"/>
    <cellStyle name="标题 3 2 5" xfId="18533"/>
    <cellStyle name="标题 3 2 5 10" xfId="18534"/>
    <cellStyle name="标题 3 2 5 13" xfId="18535"/>
    <cellStyle name="标题 3 2 5 14" xfId="18536"/>
    <cellStyle name="标题 3 2 5 15" xfId="18537"/>
    <cellStyle name="标题 3 2 5 20" xfId="18538"/>
    <cellStyle name="标题 3 2 5 16" xfId="18539"/>
    <cellStyle name="标题 3 2 5 17" xfId="18540"/>
    <cellStyle name="标题 3 2 5 18" xfId="18541"/>
    <cellStyle name="标题 3 2 5 19" xfId="18542"/>
    <cellStyle name="标题 3 2 5 2" xfId="18543"/>
    <cellStyle name="标题 3 2 5 3" xfId="18544"/>
    <cellStyle name="计算 2 2 6 8" xfId="18545"/>
    <cellStyle name="标题 3 2 6" xfId="18546"/>
    <cellStyle name="标题 3 2 6 10" xfId="18547"/>
    <cellStyle name="标题 3 2 6 11" xfId="18548"/>
    <cellStyle name="标题 3 2 6 12" xfId="18549"/>
    <cellStyle name="标题 3 2 6 13" xfId="18550"/>
    <cellStyle name="标题 3 2 6 14" xfId="18551"/>
    <cellStyle name="标题 3 2 6 15" xfId="18552"/>
    <cellStyle name="标题 3 2 6 20" xfId="18553"/>
    <cellStyle name="标题 3 2 6 16" xfId="18554"/>
    <cellStyle name="标题 3 2 6 17" xfId="18555"/>
    <cellStyle name="标题 3 2 6 18" xfId="18556"/>
    <cellStyle name="标题 3 2 6 19" xfId="18557"/>
    <cellStyle name="标题 3 2 6 2 2" xfId="18558"/>
    <cellStyle name="常规 37 3 2" xfId="18559"/>
    <cellStyle name="常规 42 3 2" xfId="18560"/>
    <cellStyle name="计算 2 2 6 9" xfId="18561"/>
    <cellStyle name="标题 3 2 7" xfId="18562"/>
    <cellStyle name="标题 3 2 7 10" xfId="18563"/>
    <cellStyle name="标题 3 2 7 11" xfId="18564"/>
    <cellStyle name="标题 3 2 7 12" xfId="18565"/>
    <cellStyle name="标题 3 2 7 13" xfId="18566"/>
    <cellStyle name="标题 3 2 7 2" xfId="18567"/>
    <cellStyle name="标题 3 2 7 2 2" xfId="18568"/>
    <cellStyle name="标题 3 2 7 3" xfId="18569"/>
    <cellStyle name="常规 37 3 3" xfId="18570"/>
    <cellStyle name="常规 42 3 3" xfId="18571"/>
    <cellStyle name="标题 3 2 8" xfId="18572"/>
    <cellStyle name="标题 3 2 8 11" xfId="18573"/>
    <cellStyle name="标题 3 2 8 12" xfId="18574"/>
    <cellStyle name="标题 3 2 8 13" xfId="18575"/>
    <cellStyle name="常规 37 3 3 2" xfId="18576"/>
    <cellStyle name="常规 42 3 3 2" xfId="18577"/>
    <cellStyle name="标题 3 2 8 2" xfId="18578"/>
    <cellStyle name="常规 37 3 3 3" xfId="18579"/>
    <cellStyle name="常规 42 3 3 3" xfId="18580"/>
    <cellStyle name="标题 3 2 8 3" xfId="18581"/>
    <cellStyle name="标题 3 2 8 5" xfId="18582"/>
    <cellStyle name="标题 3 2 8 6" xfId="18583"/>
    <cellStyle name="标题 3 2 8 7" xfId="18584"/>
    <cellStyle name="标题 3 2 8 8" xfId="18585"/>
    <cellStyle name="标题 3 2 8 9" xfId="18586"/>
    <cellStyle name="常规 37 3 4" xfId="18587"/>
    <cellStyle name="常规 42 3 4" xfId="18588"/>
    <cellStyle name="标题 3 2 9" xfId="18589"/>
    <cellStyle name="标题 3 2 9 2" xfId="18590"/>
    <cellStyle name="标题 3 3 5 12" xfId="18591"/>
    <cellStyle name="标题 3 2 9 2 2" xfId="18592"/>
    <cellStyle name="标题 3 2 9 3" xfId="18593"/>
    <cellStyle name="标题 3 2 9 4" xfId="18594"/>
    <cellStyle name="标题 3 2 9 5" xfId="18595"/>
    <cellStyle name="标题 3 2 9 6" xfId="18596"/>
    <cellStyle name="标题 3 2 9 7" xfId="18597"/>
    <cellStyle name="标题 3 2 9 8" xfId="18598"/>
    <cellStyle name="标题 3 2 9 9" xfId="18599"/>
    <cellStyle name="标题 3 3" xfId="18600"/>
    <cellStyle name="常规 48 3 4" xfId="18601"/>
    <cellStyle name="常规 53 3 4" xfId="18602"/>
    <cellStyle name="标题 3 3 10 10" xfId="18603"/>
    <cellStyle name="常规 48 3 5" xfId="18604"/>
    <cellStyle name="常规 53 3 5" xfId="18605"/>
    <cellStyle name="标题 3 3 10 11" xfId="18606"/>
    <cellStyle name="常规 48 3 6" xfId="18607"/>
    <cellStyle name="常规 53 3 6" xfId="18608"/>
    <cellStyle name="标题 3 3 10 12" xfId="18609"/>
    <cellStyle name="常规 48 3 7" xfId="18610"/>
    <cellStyle name="常规 53 3 7" xfId="18611"/>
    <cellStyle name="标题 3 3 10 13" xfId="18612"/>
    <cellStyle name="常规 48 3 8" xfId="18613"/>
    <cellStyle name="常规 53 3 8" xfId="18614"/>
    <cellStyle name="标题 3 3 10 14" xfId="18615"/>
    <cellStyle name="常规 48 3 9" xfId="18616"/>
    <cellStyle name="常规 53 3 9" xfId="18617"/>
    <cellStyle name="标题 3 3 10 15" xfId="18618"/>
    <cellStyle name="标题 3 3 10 16" xfId="18619"/>
    <cellStyle name="标题 3 3 10 17" xfId="18620"/>
    <cellStyle name="标题 3 3 10 2" xfId="18621"/>
    <cellStyle name="标题 3 3 10 3" xfId="18622"/>
    <cellStyle name="标题 3 3 10 4" xfId="18623"/>
    <cellStyle name="标题 3 3 10 5" xfId="18624"/>
    <cellStyle name="标题 3 3 10 6" xfId="18625"/>
    <cellStyle name="标题 3 3 10 7" xfId="18626"/>
    <cellStyle name="标题 3 3 10 8" xfId="18627"/>
    <cellStyle name="常规 137 3 3 2" xfId="18628"/>
    <cellStyle name="常规 142 3 3 2" xfId="18629"/>
    <cellStyle name="样式 1" xfId="18630"/>
    <cellStyle name="标题 3 3 10 9" xfId="18631"/>
    <cellStyle name="标题 3 3 11 10" xfId="18632"/>
    <cellStyle name="标题 3 3 11 11" xfId="18633"/>
    <cellStyle name="标题 3 3 11 2" xfId="18634"/>
    <cellStyle name="标题 3 3 11 2 2" xfId="18635"/>
    <cellStyle name="标题 3 3 11 3" xfId="18636"/>
    <cellStyle name="标题 3 3 11 4" xfId="18637"/>
    <cellStyle name="标题 3 3 11 5" xfId="18638"/>
    <cellStyle name="标题 3 3 11 6" xfId="18639"/>
    <cellStyle name="标题 3 3 11 7" xfId="18640"/>
    <cellStyle name="标题 3 3 11 8" xfId="18641"/>
    <cellStyle name="标题 3 3 11 9" xfId="18642"/>
    <cellStyle name="好 3 2 2" xfId="18643"/>
    <cellStyle name="注释 3 6 10" xfId="18644"/>
    <cellStyle name="标题 3 3 12" xfId="18645"/>
    <cellStyle name="好 3 2 3" xfId="18646"/>
    <cellStyle name="注释 3 6 11" xfId="18647"/>
    <cellStyle name="标题 3 3 13" xfId="18648"/>
    <cellStyle name="标题 3 3 13 10" xfId="18649"/>
    <cellStyle name="标题 3 3 13 11" xfId="18650"/>
    <cellStyle name="标题 3 3 13 12" xfId="18651"/>
    <cellStyle name="标题 3 3 13 13" xfId="18652"/>
    <cellStyle name="标题 3 3 13 14" xfId="18653"/>
    <cellStyle name="标题 3 3 13 15" xfId="18654"/>
    <cellStyle name="标题 3 3 13 16" xfId="18655"/>
    <cellStyle name="标题 3 3 13 17" xfId="18656"/>
    <cellStyle name="好 3 2 3 2" xfId="18657"/>
    <cellStyle name="标题 3 3 13 2" xfId="18658"/>
    <cellStyle name="好 3 2 3 2 2" xfId="18659"/>
    <cellStyle name="标题 3 3 13 2 2" xfId="18660"/>
    <cellStyle name="好 3 2 3 3" xfId="18661"/>
    <cellStyle name="标题 3 3 13 3" xfId="18662"/>
    <cellStyle name="标题 3 3 13 4" xfId="18663"/>
    <cellStyle name="标题 3 3 13 5" xfId="18664"/>
    <cellStyle name="标题 3 3 13 6" xfId="18665"/>
    <cellStyle name="标题 3 3 13 7" xfId="18666"/>
    <cellStyle name="标题 3 3 13 8" xfId="18667"/>
    <cellStyle name="标题 3 3 13 9" xfId="18668"/>
    <cellStyle name="强调 1" xfId="18669"/>
    <cellStyle name="好 3 2 4" xfId="18670"/>
    <cellStyle name="注释 3 6 12" xfId="18671"/>
    <cellStyle name="标题 3 3 14" xfId="18672"/>
    <cellStyle name="标题 3 3 14 10" xfId="18673"/>
    <cellStyle name="标题 3 3 14 11" xfId="18674"/>
    <cellStyle name="标题 3 3 14 12" xfId="18675"/>
    <cellStyle name="标题 3 3 14 13" xfId="18676"/>
    <cellStyle name="标题 3 3 14 14" xfId="18677"/>
    <cellStyle name="标题 3 3 14 15" xfId="18678"/>
    <cellStyle name="标题 3 3 14 16" xfId="18679"/>
    <cellStyle name="标题 3 3 14 17" xfId="18680"/>
    <cellStyle name="标题 3 3 14 2" xfId="18681"/>
    <cellStyle name="标题 3 3 14 3" xfId="18682"/>
    <cellStyle name="标题 3 3 14 4" xfId="18683"/>
    <cellStyle name="标题 3 3 14 5" xfId="18684"/>
    <cellStyle name="标题 3 3 14 6" xfId="18685"/>
    <cellStyle name="标题 3 3 14 7" xfId="18686"/>
    <cellStyle name="标题 3 3 14 8" xfId="18687"/>
    <cellStyle name="标题 3 3 14 9" xfId="18688"/>
    <cellStyle name="好 3 2 5" xfId="18689"/>
    <cellStyle name="注释 3 6 13" xfId="18690"/>
    <cellStyle name="标题 3 3 15" xfId="18691"/>
    <cellStyle name="标题 3 3 20" xfId="18692"/>
    <cellStyle name="常规 76 2 2 3 2 3" xfId="18693"/>
    <cellStyle name="常规 81 2 2 3 2 3" xfId="18694"/>
    <cellStyle name="标题 3 3 15 2" xfId="18695"/>
    <cellStyle name="好 3 2 6" xfId="18696"/>
    <cellStyle name="注释 3 6 14" xfId="18697"/>
    <cellStyle name="标题 3 3 16" xfId="18698"/>
    <cellStyle name="标题 3 3 21" xfId="18699"/>
    <cellStyle name="好 3 2 7" xfId="18700"/>
    <cellStyle name="注释 3 6 20" xfId="18701"/>
    <cellStyle name="注释 3 6 15" xfId="18702"/>
    <cellStyle name="标题 3 3 17" xfId="18703"/>
    <cellStyle name="标题 3 3 22" xfId="18704"/>
    <cellStyle name="好 3 2 8" xfId="18705"/>
    <cellStyle name="注释 3 6 21" xfId="18706"/>
    <cellStyle name="注释 3 6 16" xfId="18707"/>
    <cellStyle name="标题 3 3 18" xfId="18708"/>
    <cellStyle name="标题 3 3 23" xfId="18709"/>
    <cellStyle name="好 3 2 9" xfId="18710"/>
    <cellStyle name="注释 3 6 17" xfId="18711"/>
    <cellStyle name="标题 3 3 19" xfId="18712"/>
    <cellStyle name="标题 3 3 24" xfId="18713"/>
    <cellStyle name="计算 2 2 7 4" xfId="18714"/>
    <cellStyle name="标题 3 3 2" xfId="18715"/>
    <cellStyle name="常规 101 19" xfId="18716"/>
    <cellStyle name="标题 3 3 2 10" xfId="18717"/>
    <cellStyle name="标题 3 3 2 11" xfId="18718"/>
    <cellStyle name="标题 3 3 2 12" xfId="18719"/>
    <cellStyle name="标题 3 3 2 13" xfId="18720"/>
    <cellStyle name="标题 3 3 2 14" xfId="18721"/>
    <cellStyle name="标题 3 3 2 15" xfId="18722"/>
    <cellStyle name="标题 3 3 2 16" xfId="18723"/>
    <cellStyle name="标题 3 3 2 17" xfId="18724"/>
    <cellStyle name="标题 3 3 2 18" xfId="18725"/>
    <cellStyle name="标题 3 3 2 2" xfId="18726"/>
    <cellStyle name="标题 3 3 2 2 10" xfId="18727"/>
    <cellStyle name="标题 3 3 2 2 11" xfId="18728"/>
    <cellStyle name="标题 3 3 2 2 12" xfId="18729"/>
    <cellStyle name="标题 3 3 2 2 13" xfId="18730"/>
    <cellStyle name="标题 3 3 2 2 14" xfId="18731"/>
    <cellStyle name="标题 3 3 2 2 15" xfId="18732"/>
    <cellStyle name="标题 3 3 2 2 16" xfId="18733"/>
    <cellStyle name="标题 3 3 2 2 17" xfId="18734"/>
    <cellStyle name="标题 3 3 2 2 2" xfId="18735"/>
    <cellStyle name="常规 139 2 2 3 2 3" xfId="18736"/>
    <cellStyle name="常规 144 2 2 3 2 3" xfId="18737"/>
    <cellStyle name="标题 3 3 2 2 2 2" xfId="18738"/>
    <cellStyle name="标题 3 3 2 2 3" xfId="18739"/>
    <cellStyle name="标题 3 3 2 2 4" xfId="18740"/>
    <cellStyle name="标题 3 3 2 2 5" xfId="18741"/>
    <cellStyle name="标题 3 3 2 2 9" xfId="18742"/>
    <cellStyle name="标题 3 3 2 3" xfId="18743"/>
    <cellStyle name="标题 3 3 2 3 2" xfId="18744"/>
    <cellStyle name="标题 3 3 2 4" xfId="18745"/>
    <cellStyle name="注释 3 6 18" xfId="18746"/>
    <cellStyle name="标题 3 3 25" xfId="18747"/>
    <cellStyle name="注释 3 6 19" xfId="18748"/>
    <cellStyle name="标题 3 3 26" xfId="18749"/>
    <cellStyle name="标题 3 3 27" xfId="18750"/>
    <cellStyle name="标题 3 3 28" xfId="18751"/>
    <cellStyle name="标题 3 3 29" xfId="18752"/>
    <cellStyle name="计算 2 2 7 5" xfId="18753"/>
    <cellStyle name="标题 3 3 3" xfId="18754"/>
    <cellStyle name="常规 102 19" xfId="18755"/>
    <cellStyle name="标题 3 3 3 10" xfId="18756"/>
    <cellStyle name="标题 3 3 3 11" xfId="18757"/>
    <cellStyle name="标题 3 3 3 12" xfId="18758"/>
    <cellStyle name="标题 3 3 3 13" xfId="18759"/>
    <cellStyle name="标题 3 3 3 14" xfId="18760"/>
    <cellStyle name="标题 3 3 3 15" xfId="18761"/>
    <cellStyle name="标题 3 3 3 16" xfId="18762"/>
    <cellStyle name="标题 3 3 3 17" xfId="18763"/>
    <cellStyle name="计算 3 10" xfId="18764"/>
    <cellStyle name="标题 3 3 3 2 2" xfId="18765"/>
    <cellStyle name="标题 3 3 3 3" xfId="18766"/>
    <cellStyle name="标题 3 3 3 4" xfId="18767"/>
    <cellStyle name="标题 3 3 3 7" xfId="18768"/>
    <cellStyle name="计算 2 2 7 6" xfId="18769"/>
    <cellStyle name="标题 3 3 4" xfId="18770"/>
    <cellStyle name="常规 103 19" xfId="18771"/>
    <cellStyle name="标题 3 3 4 10" xfId="18772"/>
    <cellStyle name="标题 3 3 4 11" xfId="18773"/>
    <cellStyle name="标题 3 3 4 12" xfId="18774"/>
    <cellStyle name="标题 3 3 4 13" xfId="18775"/>
    <cellStyle name="标题 3 3 4 14" xfId="18776"/>
    <cellStyle name="标题 3 3 4 15" xfId="18777"/>
    <cellStyle name="标题 3 3 4 16" xfId="18778"/>
    <cellStyle name="标题 3 3 4 17" xfId="18779"/>
    <cellStyle name="标题 3 3 4 2" xfId="18780"/>
    <cellStyle name="标题 3 3 4 3" xfId="18781"/>
    <cellStyle name="标题 3 3 4 4" xfId="18782"/>
    <cellStyle name="标题 3 3 4 5" xfId="18783"/>
    <cellStyle name="标题 3 3 4 6" xfId="18784"/>
    <cellStyle name="标题 3 3 4 7" xfId="18785"/>
    <cellStyle name="计算 2 2 7 7" xfId="18786"/>
    <cellStyle name="常规 118 3 10" xfId="18787"/>
    <cellStyle name="常规 123 3 10" xfId="18788"/>
    <cellStyle name="标题 3 3 5" xfId="18789"/>
    <cellStyle name="常规 104 19" xfId="18790"/>
    <cellStyle name="标题 3 3 5 10" xfId="18791"/>
    <cellStyle name="标题 3 3 5 11" xfId="18792"/>
    <cellStyle name="常规 76 5 2 2" xfId="18793"/>
    <cellStyle name="常规 81 5 2 2" xfId="18794"/>
    <cellStyle name="标题 3 3 5 13" xfId="18795"/>
    <cellStyle name="常规 76 5 2 3" xfId="18796"/>
    <cellStyle name="常规 81 5 2 3" xfId="18797"/>
    <cellStyle name="标题 3 3 5 14" xfId="18798"/>
    <cellStyle name="标题 3 3 5 15" xfId="18799"/>
    <cellStyle name="标题 3 3 5 16" xfId="18800"/>
    <cellStyle name="标题 3 3 5 17" xfId="18801"/>
    <cellStyle name="标题 3 3 5 2" xfId="18802"/>
    <cellStyle name="标题 3 3 5 3" xfId="18803"/>
    <cellStyle name="标题 3 3 5 4" xfId="18804"/>
    <cellStyle name="标题 3 3 5 5" xfId="18805"/>
    <cellStyle name="标题 3 3 5 6" xfId="18806"/>
    <cellStyle name="标题 3 3 5 7" xfId="18807"/>
    <cellStyle name="计算 2 2 7 8" xfId="18808"/>
    <cellStyle name="常规 118 3 11" xfId="18809"/>
    <cellStyle name="常规 123 3 11" xfId="18810"/>
    <cellStyle name="标题 3 3 6" xfId="18811"/>
    <cellStyle name="常规 105 19" xfId="18812"/>
    <cellStyle name="常规 110 19" xfId="18813"/>
    <cellStyle name="标题 3 3 6 10" xfId="18814"/>
    <cellStyle name="标题 3 3 6 11" xfId="18815"/>
    <cellStyle name="标题 3 3 6 12" xfId="18816"/>
    <cellStyle name="标题 3 3 6 13" xfId="18817"/>
    <cellStyle name="标题 3 3 6 14" xfId="18818"/>
    <cellStyle name="标题 3 3 6 15" xfId="18819"/>
    <cellStyle name="标题 3 3 6 16" xfId="18820"/>
    <cellStyle name="标题 3 3 6 17" xfId="18821"/>
    <cellStyle name="标题 3 3 6 2" xfId="18822"/>
    <cellStyle name="标题 3 3 6 3" xfId="18823"/>
    <cellStyle name="标题 3 3 6 4" xfId="18824"/>
    <cellStyle name="标题 3 3 6 5" xfId="18825"/>
    <cellStyle name="标题 3 3 6 6" xfId="18826"/>
    <cellStyle name="标题 3 3 6 7" xfId="18827"/>
    <cellStyle name="计算 2 2 7 9" xfId="18828"/>
    <cellStyle name="常规 118 3 12" xfId="18829"/>
    <cellStyle name="常规 123 3 12" xfId="18830"/>
    <cellStyle name="标题 3 3 7" xfId="18831"/>
    <cellStyle name="常规 106 19" xfId="18832"/>
    <cellStyle name="常规 111 19" xfId="18833"/>
    <cellStyle name="注释 2 14" xfId="18834"/>
    <cellStyle name="标题 3 3 7 10" xfId="18835"/>
    <cellStyle name="注释 2 15" xfId="18836"/>
    <cellStyle name="注释 2 20" xfId="18837"/>
    <cellStyle name="标题 3 3 7 11" xfId="18838"/>
    <cellStyle name="注释 2 16" xfId="18839"/>
    <cellStyle name="注释 2 21" xfId="18840"/>
    <cellStyle name="标题 3 3 7 12" xfId="18841"/>
    <cellStyle name="注释 2 17" xfId="18842"/>
    <cellStyle name="注释 2 22" xfId="18843"/>
    <cellStyle name="标题 3 3 7 13" xfId="18844"/>
    <cellStyle name="标题 3 3 7 2 2" xfId="18845"/>
    <cellStyle name="标题 3 3 7 6" xfId="18846"/>
    <cellStyle name="标题 3 3 7 7" xfId="18847"/>
    <cellStyle name="标题 3 3 7 8" xfId="18848"/>
    <cellStyle name="常规 118 3 13" xfId="18849"/>
    <cellStyle name="常规 123 3 13" xfId="18850"/>
    <cellStyle name="标题 3 3 8" xfId="18851"/>
    <cellStyle name="常规 48 2 2 3 3" xfId="18852"/>
    <cellStyle name="常规 53 2 2 3 3" xfId="18853"/>
    <cellStyle name="常规 107 19" xfId="18854"/>
    <cellStyle name="常规 112 19" xfId="18855"/>
    <cellStyle name="注释 3 14" xfId="18856"/>
    <cellStyle name="标题 3 3 8 10" xfId="18857"/>
    <cellStyle name="注释 3 15" xfId="18858"/>
    <cellStyle name="注释 3 20" xfId="18859"/>
    <cellStyle name="标题 3 3 8 11" xfId="18860"/>
    <cellStyle name="注释 3 16" xfId="18861"/>
    <cellStyle name="注释 3 21" xfId="18862"/>
    <cellStyle name="标题 3 3 8 12" xfId="18863"/>
    <cellStyle name="注释 3 17" xfId="18864"/>
    <cellStyle name="注释 3 22" xfId="18865"/>
    <cellStyle name="标题 3 3 8 13" xfId="18866"/>
    <cellStyle name="标题 3 3 8 2" xfId="18867"/>
    <cellStyle name="标题 3 3 8 2 2" xfId="18868"/>
    <cellStyle name="标题 3 3 8 2 3" xfId="18869"/>
    <cellStyle name="常规 118 3 14" xfId="18870"/>
    <cellStyle name="常规 123 3 14" xfId="18871"/>
    <cellStyle name="标题 3 3 9" xfId="18872"/>
    <cellStyle name="标题 3 3 9 2" xfId="18873"/>
    <cellStyle name="标题 3 3 9 2 2" xfId="18874"/>
    <cellStyle name="输出 2 4 7" xfId="18875"/>
    <cellStyle name="常规 2 3 5" xfId="18876"/>
    <cellStyle name="标题 3 3 9 3" xfId="18877"/>
    <cellStyle name="标题 3 3 9 4" xfId="18878"/>
    <cellStyle name="标题 3 3 9 5" xfId="18879"/>
    <cellStyle name="标题 3 3 9 6" xfId="18880"/>
    <cellStyle name="货币 3 2" xfId="18881"/>
    <cellStyle name="标题 3 3 9 7" xfId="18882"/>
    <cellStyle name="货币 3 3" xfId="18883"/>
    <cellStyle name="标题 3 3 9 8" xfId="18884"/>
    <cellStyle name="货币 3 4" xfId="18885"/>
    <cellStyle name="标题 3 3 9 9" xfId="18886"/>
    <cellStyle name="标题 3 4" xfId="18887"/>
    <cellStyle name="标题 3 4 10" xfId="18888"/>
    <cellStyle name="常规 9 5 2 3" xfId="18889"/>
    <cellStyle name="标题 3 4 11" xfId="18890"/>
    <cellStyle name="注释 3 7 10" xfId="18891"/>
    <cellStyle name="标题 3 4 12" xfId="18892"/>
    <cellStyle name="注释 3 7 11" xfId="18893"/>
    <cellStyle name="标题 3 4 13" xfId="18894"/>
    <cellStyle name="注释 3 7 12" xfId="18895"/>
    <cellStyle name="标题 3 4 14" xfId="18896"/>
    <cellStyle name="注释 3 7 13" xfId="18897"/>
    <cellStyle name="标题 3 4 15" xfId="18898"/>
    <cellStyle name="注释 3 7 14" xfId="18899"/>
    <cellStyle name="标题 3 4 16" xfId="18900"/>
    <cellStyle name="注释 3 7 15" xfId="18901"/>
    <cellStyle name="标题 3 4 17" xfId="18902"/>
    <cellStyle name="计算 3 2 10 2 3" xfId="18903"/>
    <cellStyle name="汇总 3 4 11" xfId="18904"/>
    <cellStyle name="计算 2 2 8 7" xfId="18905"/>
    <cellStyle name="标题 3 4 5" xfId="18906"/>
    <cellStyle name="计算 3 2 10 2 4" xfId="18907"/>
    <cellStyle name="汇总 3 4 12" xfId="18908"/>
    <cellStyle name="计算 2 2 8 8" xfId="18909"/>
    <cellStyle name="标题 3 4 6" xfId="18910"/>
    <cellStyle name="计算 3 2 10 2 5" xfId="18911"/>
    <cellStyle name="常规 37 5 2" xfId="18912"/>
    <cellStyle name="常规 42 5 2" xfId="18913"/>
    <cellStyle name="汇总 3 4 13" xfId="18914"/>
    <cellStyle name="计算 2 2 8 9" xfId="18915"/>
    <cellStyle name="标题 3 4 7" xfId="18916"/>
    <cellStyle name="计算 3 2 10 2 6" xfId="18917"/>
    <cellStyle name="常规 37 5 3" xfId="18918"/>
    <cellStyle name="常规 42 5 3" xfId="18919"/>
    <cellStyle name="汇总 3 4 14" xfId="18920"/>
    <cellStyle name="标题 3 4 8" xfId="18921"/>
    <cellStyle name="计算 3 2 10 2 7" xfId="18922"/>
    <cellStyle name="汇总 3 4 15" xfId="18923"/>
    <cellStyle name="标题 3 4 9" xfId="18924"/>
    <cellStyle name="标题 4 2" xfId="18925"/>
    <cellStyle name="标题 4 2 10" xfId="18926"/>
    <cellStyle name="标题 4 2 11" xfId="18927"/>
    <cellStyle name="常规 67 3 3 2 2" xfId="18928"/>
    <cellStyle name="常规 72 3 3 2 2" xfId="18929"/>
    <cellStyle name="标题 4 2 12" xfId="18930"/>
    <cellStyle name="常规 67 3 3 2 3" xfId="18931"/>
    <cellStyle name="常规 72 3 3 2 3" xfId="18932"/>
    <cellStyle name="标题 4 2 13" xfId="18933"/>
    <cellStyle name="标题 4 2 14" xfId="18934"/>
    <cellStyle name="标题 4 2 15" xfId="18935"/>
    <cellStyle name="标题 4 2 20" xfId="18936"/>
    <cellStyle name="标题 4 2 16" xfId="18937"/>
    <cellStyle name="标题 4 2 21" xfId="18938"/>
    <cellStyle name="标题 4 2 17" xfId="18939"/>
    <cellStyle name="标题 4 2 22" xfId="18940"/>
    <cellStyle name="标题 4 2 18" xfId="18941"/>
    <cellStyle name="标题 4 2 19" xfId="18942"/>
    <cellStyle name="计算 2 3 6 4" xfId="18943"/>
    <cellStyle name="标题 4 2 2" xfId="18944"/>
    <cellStyle name="标题 4 2 2 14" xfId="18945"/>
    <cellStyle name="标题 4 2 2 15" xfId="18946"/>
    <cellStyle name="标题 4 2 2 16" xfId="18947"/>
    <cellStyle name="标题 4 2 2 17" xfId="18948"/>
    <cellStyle name="计算 2 3 13" xfId="18949"/>
    <cellStyle name="标题 4 2 2 2" xfId="18950"/>
    <cellStyle name="输出 3 3 2 6" xfId="18951"/>
    <cellStyle name="标题 4 2 2 2 2" xfId="18952"/>
    <cellStyle name="计算 2 3 14" xfId="18953"/>
    <cellStyle name="标题 4 2 2 3" xfId="18954"/>
    <cellStyle name="计算 2 3 15" xfId="18955"/>
    <cellStyle name="计算 2 3 20" xfId="18956"/>
    <cellStyle name="标题 4 2 2 4" xfId="18957"/>
    <cellStyle name="计算 2 3 6 5" xfId="18958"/>
    <cellStyle name="标题 4 2 3" xfId="18959"/>
    <cellStyle name="标题 4 2 3 10" xfId="18960"/>
    <cellStyle name="标题 4 2 3 11" xfId="18961"/>
    <cellStyle name="标题 4 2 3 12" xfId="18962"/>
    <cellStyle name="标题 4 2 3 13" xfId="18963"/>
    <cellStyle name="标题 4 2 3 14" xfId="18964"/>
    <cellStyle name="标题 4 2 3 15" xfId="18965"/>
    <cellStyle name="标题 4 2 3 16" xfId="18966"/>
    <cellStyle name="标题 4 2 3 17" xfId="18967"/>
    <cellStyle name="标题 4 2 3 2" xfId="18968"/>
    <cellStyle name="输出 3 4 2 6" xfId="18969"/>
    <cellStyle name="标题 4 2 3 2 2" xfId="18970"/>
    <cellStyle name="标题 4 2 3 3" xfId="18971"/>
    <cellStyle name="标题 4 2 3 4" xfId="18972"/>
    <cellStyle name="计算 2 3 6 6" xfId="18973"/>
    <cellStyle name="标题 4 2 4" xfId="18974"/>
    <cellStyle name="标题 4 2 4 2" xfId="18975"/>
    <cellStyle name="计算 2 3 6 7" xfId="18976"/>
    <cellStyle name="标题 4 2 5" xfId="18977"/>
    <cellStyle name="计算 2 3 6 8" xfId="18978"/>
    <cellStyle name="标题 4 2 6" xfId="18979"/>
    <cellStyle name="常规 38 3 2" xfId="18980"/>
    <cellStyle name="常规 43 3 2" xfId="18981"/>
    <cellStyle name="计算 2 3 6 9" xfId="18982"/>
    <cellStyle name="标题 4 2 7" xfId="18983"/>
    <cellStyle name="常规 38 3 3" xfId="18984"/>
    <cellStyle name="常规 43 3 3" xfId="18985"/>
    <cellStyle name="标题 4 2 8" xfId="18986"/>
    <cellStyle name="常规 38 3 4" xfId="18987"/>
    <cellStyle name="常规 43 3 4" xfId="18988"/>
    <cellStyle name="标题 4 2 9" xfId="18989"/>
    <cellStyle name="标题 4 3" xfId="18990"/>
    <cellStyle name="计算 3 2 5 2 7" xfId="18991"/>
    <cellStyle name="标题 4 3 10" xfId="18992"/>
    <cellStyle name="计算 3 2 5 2 8" xfId="18993"/>
    <cellStyle name="标题 4 3 11" xfId="18994"/>
    <cellStyle name="计算 3 2 5 2 9" xfId="18995"/>
    <cellStyle name="标题 4 3 12" xfId="18996"/>
    <cellStyle name="标题 4 3 17" xfId="18997"/>
    <cellStyle name="标题 4 3 18" xfId="18998"/>
    <cellStyle name="标题 4 3 2 10" xfId="18999"/>
    <cellStyle name="标题 4 3 2 11" xfId="19000"/>
    <cellStyle name="标题 4 3 2 12" xfId="19001"/>
    <cellStyle name="标题 4 3 2 13" xfId="19002"/>
    <cellStyle name="标题 4 3 2 2 2" xfId="19003"/>
    <cellStyle name="计算 2 8 14" xfId="19004"/>
    <cellStyle name="标题 4 3 2 3" xfId="19005"/>
    <cellStyle name="计算 2 8 15" xfId="19006"/>
    <cellStyle name="标题 4 3 2 4" xfId="19007"/>
    <cellStyle name="标题 4 3 3" xfId="19008"/>
    <cellStyle name="计算 3 2 5 2 12" xfId="19009"/>
    <cellStyle name="标题 4 3 3 2" xfId="19010"/>
    <cellStyle name="标题 4 3 4" xfId="19011"/>
    <cellStyle name="标题 4 3 7" xfId="19012"/>
    <cellStyle name="标题 4 3 8" xfId="19013"/>
    <cellStyle name="标题 4 4" xfId="19014"/>
    <cellStyle name="标题 4 4 10" xfId="19015"/>
    <cellStyle name="标题 4 4 11" xfId="19016"/>
    <cellStyle name="标题 4 4 12" xfId="19017"/>
    <cellStyle name="标题 4 4 13" xfId="19018"/>
    <cellStyle name="标题 4 4 14" xfId="19019"/>
    <cellStyle name="标题 4 4 15" xfId="19020"/>
    <cellStyle name="标题 4 4 16" xfId="19021"/>
    <cellStyle name="标题 4 4 17" xfId="19022"/>
    <cellStyle name="标题 4 4 2" xfId="19023"/>
    <cellStyle name="常规 75 2 14" xfId="19024"/>
    <cellStyle name="常规 80 2 14" xfId="19025"/>
    <cellStyle name="标题 4 4 2 2" xfId="19026"/>
    <cellStyle name="标题 4 4 3" xfId="19027"/>
    <cellStyle name="常规 28 2 2 10" xfId="19028"/>
    <cellStyle name="计算 3 2 11 2 2" xfId="19029"/>
    <cellStyle name="汇总 3 9 10" xfId="19030"/>
    <cellStyle name="标题 4 4 4" xfId="19031"/>
    <cellStyle name="常规 28 2 2 11" xfId="19032"/>
    <cellStyle name="计算 3 2 11 2 3" xfId="19033"/>
    <cellStyle name="汇总 3 9 11" xfId="19034"/>
    <cellStyle name="标题 4 4 5" xfId="19035"/>
    <cellStyle name="常规 28 2 2 12" xfId="19036"/>
    <cellStyle name="计算 3 2 11 2 4" xfId="19037"/>
    <cellStyle name="汇总 3 9 12" xfId="19038"/>
    <cellStyle name="标题 4 4 6" xfId="19039"/>
    <cellStyle name="常规 28 2 2 13" xfId="19040"/>
    <cellStyle name="计算 3 2 11 2 5" xfId="19041"/>
    <cellStyle name="常规 38 5 2" xfId="19042"/>
    <cellStyle name="常规 43 5 2" xfId="19043"/>
    <cellStyle name="汇总 3 9 13" xfId="19044"/>
    <cellStyle name="标题 4 4 7" xfId="19045"/>
    <cellStyle name="常规 28 2 2 14" xfId="19046"/>
    <cellStyle name="计算 3 2 11 2 6" xfId="19047"/>
    <cellStyle name="常规 38 5 3" xfId="19048"/>
    <cellStyle name="常规 43 5 3" xfId="19049"/>
    <cellStyle name="汇总 3 9 14" xfId="19050"/>
    <cellStyle name="标题 4 4 8" xfId="19051"/>
    <cellStyle name="常规 28 2 2 15" xfId="19052"/>
    <cellStyle name="计算 3 2 11 2 7" xfId="19053"/>
    <cellStyle name="汇总 3 9 15" xfId="19054"/>
    <cellStyle name="标题 4 4 9" xfId="19055"/>
    <cellStyle name="标题 5" xfId="19056"/>
    <cellStyle name="标题 5 15" xfId="19057"/>
    <cellStyle name="标题 5 20" xfId="19058"/>
    <cellStyle name="标题 5 16" xfId="19059"/>
    <cellStyle name="标题 5 21" xfId="19060"/>
    <cellStyle name="标题1 3 10" xfId="19061"/>
    <cellStyle name="标题 5 17" xfId="19062"/>
    <cellStyle name="标题 5 22" xfId="19063"/>
    <cellStyle name="标题1 3 11" xfId="19064"/>
    <cellStyle name="标题 5 18" xfId="19065"/>
    <cellStyle name="标题1 3 12" xfId="19066"/>
    <cellStyle name="常规 67 2 2 10" xfId="19067"/>
    <cellStyle name="常规 72 2 2 10" xfId="19068"/>
    <cellStyle name="标题 5 19" xfId="19069"/>
    <cellStyle name="标题 5 2" xfId="19070"/>
    <cellStyle name="强调文字颜色 5 3 2 3 2 3" xfId="19071"/>
    <cellStyle name="标题 5 2 10" xfId="19072"/>
    <cellStyle name="标题 5 2 11" xfId="19073"/>
    <cellStyle name="标题 5 2 12" xfId="19074"/>
    <cellStyle name="标题 5 2 13" xfId="19075"/>
    <cellStyle name="常规 55 2 2 10" xfId="19076"/>
    <cellStyle name="常规 60 2 2 10" xfId="19077"/>
    <cellStyle name="标题 5 2 14" xfId="19078"/>
    <cellStyle name="常规 55 2 2 11" xfId="19079"/>
    <cellStyle name="常规 60 2 2 11" xfId="19080"/>
    <cellStyle name="标题 5 2 15" xfId="19081"/>
    <cellStyle name="常规 55 2 2 12" xfId="19082"/>
    <cellStyle name="常规 60 2 2 12" xfId="19083"/>
    <cellStyle name="标题 5 2 16" xfId="19084"/>
    <cellStyle name="常规 55 2 2 13" xfId="19085"/>
    <cellStyle name="常规 60 2 2 13" xfId="19086"/>
    <cellStyle name="标题 5 2 17" xfId="19087"/>
    <cellStyle name="标题 5 2 2" xfId="19088"/>
    <cellStyle name="标题 5 2 2 2" xfId="19089"/>
    <cellStyle name="标题 5 2 3" xfId="19090"/>
    <cellStyle name="标题 5 2 4" xfId="19091"/>
    <cellStyle name="标题 5 2 5" xfId="19092"/>
    <cellStyle name="标题 5 2 6" xfId="19093"/>
    <cellStyle name="常规 39 3 2" xfId="19094"/>
    <cellStyle name="常规 44 3 2" xfId="19095"/>
    <cellStyle name="标题 5 2 7" xfId="19096"/>
    <cellStyle name="常规 39 3 3" xfId="19097"/>
    <cellStyle name="常规 44 3 3" xfId="19098"/>
    <cellStyle name="标题 5 2 8" xfId="19099"/>
    <cellStyle name="常规 39 3 4" xfId="19100"/>
    <cellStyle name="常规 44 3 4" xfId="19101"/>
    <cellStyle name="标题 5 2 9" xfId="19102"/>
    <cellStyle name="标题 5 3" xfId="19103"/>
    <cellStyle name="标题 5 3 11" xfId="19104"/>
    <cellStyle name="标题 5 3 12" xfId="19105"/>
    <cellStyle name="标题 5 3 13" xfId="19106"/>
    <cellStyle name="标题 5 3 14" xfId="19107"/>
    <cellStyle name="标题 5 3 15" xfId="19108"/>
    <cellStyle name="标题 5 3 16" xfId="19109"/>
    <cellStyle name="标题 5 3 17" xfId="19110"/>
    <cellStyle name="标题 5 3 2" xfId="19111"/>
    <cellStyle name="标题 5 3 2 2" xfId="19112"/>
    <cellStyle name="输出 2 2 5 18" xfId="19113"/>
    <cellStyle name="标题 5 3 3" xfId="19114"/>
    <cellStyle name="标题 5 3 4" xfId="19115"/>
    <cellStyle name="标题 5 3 5" xfId="19116"/>
    <cellStyle name="标题 5 3 6" xfId="19117"/>
    <cellStyle name="标题 5 3 7" xfId="19118"/>
    <cellStyle name="标题 5 3 8" xfId="19119"/>
    <cellStyle name="标题 5 3 9" xfId="19120"/>
    <cellStyle name="标题 5 4" xfId="19121"/>
    <cellStyle name="常规 108 2 2 5" xfId="19122"/>
    <cellStyle name="常规 113 2 2 5" xfId="19123"/>
    <cellStyle name="标题 5 4 2" xfId="19124"/>
    <cellStyle name="标题 5 5" xfId="19125"/>
    <cellStyle name="标题 5 6" xfId="19126"/>
    <cellStyle name="标题 5 7" xfId="19127"/>
    <cellStyle name="标题 5 8" xfId="19128"/>
    <cellStyle name="标题 5 9" xfId="19129"/>
    <cellStyle name="标题 6" xfId="19130"/>
    <cellStyle name="常规 36 2 3 2 2" xfId="19131"/>
    <cellStyle name="常规 41 2 3 2 2" xfId="19132"/>
    <cellStyle name="常规 45 14" xfId="19133"/>
    <cellStyle name="常规 50 14" xfId="19134"/>
    <cellStyle name="常规 69 2 5" xfId="19135"/>
    <cellStyle name="常规 74 2 5" xfId="19136"/>
    <cellStyle name="标题1 12 3" xfId="19137"/>
    <cellStyle name="标题 6 10" xfId="19138"/>
    <cellStyle name="常规 36 2 3 2 3" xfId="19139"/>
    <cellStyle name="常规 41 2 3 2 3" xfId="19140"/>
    <cellStyle name="常规 45 15" xfId="19141"/>
    <cellStyle name="常规 45 20" xfId="19142"/>
    <cellStyle name="常规 50 15" xfId="19143"/>
    <cellStyle name="常规 50 20" xfId="19144"/>
    <cellStyle name="常规 69 2 6" xfId="19145"/>
    <cellStyle name="常规 74 2 6" xfId="19146"/>
    <cellStyle name="标题1 12 4" xfId="19147"/>
    <cellStyle name="标题 6 11" xfId="19148"/>
    <cellStyle name="常规 45 16" xfId="19149"/>
    <cellStyle name="常规 45 21" xfId="19150"/>
    <cellStyle name="常规 50 16" xfId="19151"/>
    <cellStyle name="常规 50 21" xfId="19152"/>
    <cellStyle name="常规 69 2 7" xfId="19153"/>
    <cellStyle name="常规 74 2 7" xfId="19154"/>
    <cellStyle name="标题1 12 5" xfId="19155"/>
    <cellStyle name="标题 6 12" xfId="19156"/>
    <cellStyle name="常规 45 17" xfId="19157"/>
    <cellStyle name="常规 45 22" xfId="19158"/>
    <cellStyle name="常规 50 17" xfId="19159"/>
    <cellStyle name="常规 50 22" xfId="19160"/>
    <cellStyle name="常规 69 2 8" xfId="19161"/>
    <cellStyle name="常规 74 2 8" xfId="19162"/>
    <cellStyle name="标题1 12 6" xfId="19163"/>
    <cellStyle name="标题 6 13" xfId="19164"/>
    <cellStyle name="常规 45 18" xfId="19165"/>
    <cellStyle name="常规 45 23" xfId="19166"/>
    <cellStyle name="常规 50 18" xfId="19167"/>
    <cellStyle name="常规 50 23" xfId="19168"/>
    <cellStyle name="常规 69 2 9" xfId="19169"/>
    <cellStyle name="常规 74 2 9" xfId="19170"/>
    <cellStyle name="标题1 12 7" xfId="19171"/>
    <cellStyle name="标题 6 14" xfId="19172"/>
    <cellStyle name="常规 45 19" xfId="19173"/>
    <cellStyle name="常规 50 19" xfId="19174"/>
    <cellStyle name="标题1 12 8" xfId="19175"/>
    <cellStyle name="标题 6 15" xfId="19176"/>
    <cellStyle name="标题1 12 9" xfId="19177"/>
    <cellStyle name="标题 6 16" xfId="19178"/>
    <cellStyle name="标题1 4 10" xfId="19179"/>
    <cellStyle name="标题 6 17" xfId="19180"/>
    <cellStyle name="标题1 4 11" xfId="19181"/>
    <cellStyle name="标题 6 18" xfId="19182"/>
    <cellStyle name="标题 6 2" xfId="19183"/>
    <cellStyle name="标题 6 2 10" xfId="19184"/>
    <cellStyle name="标题 6 2 11" xfId="19185"/>
    <cellStyle name="常规 139 5 2 2" xfId="19186"/>
    <cellStyle name="常规 144 5 2 2" xfId="19187"/>
    <cellStyle name="标题 6 2 12" xfId="19188"/>
    <cellStyle name="常规 139 5 2 3" xfId="19189"/>
    <cellStyle name="常规 144 5 2 3" xfId="19190"/>
    <cellStyle name="标题 6 2 13" xfId="19191"/>
    <cellStyle name="标题 6 2 14" xfId="19192"/>
    <cellStyle name="标题 6 2 15" xfId="19193"/>
    <cellStyle name="标题 6 2 2 2" xfId="19194"/>
    <cellStyle name="标题 6 2 3" xfId="19195"/>
    <cellStyle name="标题 6 2 4" xfId="19196"/>
    <cellStyle name="标题 6 2 5" xfId="19197"/>
    <cellStyle name="标题 6 2 6" xfId="19198"/>
    <cellStyle name="常规 45 3 2" xfId="19199"/>
    <cellStyle name="常规 50 3 2" xfId="19200"/>
    <cellStyle name="标题 6 2 7" xfId="19201"/>
    <cellStyle name="常规 45 3 3" xfId="19202"/>
    <cellStyle name="常规 50 3 3" xfId="19203"/>
    <cellStyle name="标题 6 2 8" xfId="19204"/>
    <cellStyle name="常规 45 3 4" xfId="19205"/>
    <cellStyle name="常规 50 3 4" xfId="19206"/>
    <cellStyle name="标题 6 2 9" xfId="19207"/>
    <cellStyle name="标题 6 3" xfId="19208"/>
    <cellStyle name="标题 6 3 2" xfId="19209"/>
    <cellStyle name="标题 6 4" xfId="19210"/>
    <cellStyle name="标题 6 5" xfId="19211"/>
    <cellStyle name="标题 6 6" xfId="19212"/>
    <cellStyle name="标题 6 7" xfId="19213"/>
    <cellStyle name="标题 6 8" xfId="19214"/>
    <cellStyle name="标题 6 9" xfId="19215"/>
    <cellStyle name="常规 15 3 3 2 2" xfId="19216"/>
    <cellStyle name="常规 20 3 3 2 2" xfId="19217"/>
    <cellStyle name="标题1" xfId="19218"/>
    <cellStyle name="标题1 10" xfId="19219"/>
    <cellStyle name="汇总 2 19" xfId="19220"/>
    <cellStyle name="汇总 2 24" xfId="19221"/>
    <cellStyle name="标题1 10 10" xfId="19222"/>
    <cellStyle name="汇总 2 25" xfId="19223"/>
    <cellStyle name="标题1 10 11" xfId="19224"/>
    <cellStyle name="汇总 2 26" xfId="19225"/>
    <cellStyle name="标题1 10 12" xfId="19226"/>
    <cellStyle name="汇总 2 27" xfId="19227"/>
    <cellStyle name="标题1 10 13" xfId="19228"/>
    <cellStyle name="标题1 10 16" xfId="19229"/>
    <cellStyle name="输出 2 3 2 4" xfId="19230"/>
    <cellStyle name="标题1 10 17" xfId="19231"/>
    <cellStyle name="输出 2 3 2 5" xfId="19232"/>
    <cellStyle name="标题1 10 2" xfId="19233"/>
    <cellStyle name="常规 158 2 9" xfId="19234"/>
    <cellStyle name="商品名称 9 8" xfId="19235"/>
    <cellStyle name="标题1 10 2 2" xfId="19236"/>
    <cellStyle name="常规 145 2 4 2 2" xfId="19237"/>
    <cellStyle name="常规 150 2 4 2 2" xfId="19238"/>
    <cellStyle name="标题1 10 3" xfId="19239"/>
    <cellStyle name="常规 145 2 4 2 3" xfId="19240"/>
    <cellStyle name="常规 150 2 4 2 3" xfId="19241"/>
    <cellStyle name="标题1 10 4" xfId="19242"/>
    <cellStyle name="标题1 10 5" xfId="19243"/>
    <cellStyle name="标题1 10 6" xfId="19244"/>
    <cellStyle name="标题1 10 7" xfId="19245"/>
    <cellStyle name="标题1 10 8" xfId="19246"/>
    <cellStyle name="标题1 10 9" xfId="19247"/>
    <cellStyle name="标题1 11" xfId="19248"/>
    <cellStyle name="常规 149 2 4 3" xfId="19249"/>
    <cellStyle name="汇总 3 19" xfId="19250"/>
    <cellStyle name="汇总 3 24" xfId="19251"/>
    <cellStyle name="标题1 11 10" xfId="19252"/>
    <cellStyle name="汇总 3 25" xfId="19253"/>
    <cellStyle name="标题1 11 11" xfId="19254"/>
    <cellStyle name="汇总 3 26" xfId="19255"/>
    <cellStyle name="标题1 11 12" xfId="19256"/>
    <cellStyle name="汇总 3 27" xfId="19257"/>
    <cellStyle name="标题1 11 13" xfId="19258"/>
    <cellStyle name="汇总 3 28" xfId="19259"/>
    <cellStyle name="标题1 11 14" xfId="19260"/>
    <cellStyle name="标题1 11 15" xfId="19261"/>
    <cellStyle name="标题1 11 16" xfId="19262"/>
    <cellStyle name="标题1 11 17" xfId="19263"/>
    <cellStyle name="标题1 11 2" xfId="19264"/>
    <cellStyle name="常规 159 2 9" xfId="19265"/>
    <cellStyle name="常规 164 2 9" xfId="19266"/>
    <cellStyle name="标题1 11 2 2" xfId="19267"/>
    <cellStyle name="标题1 11 3" xfId="19268"/>
    <cellStyle name="标题1 11 4" xfId="19269"/>
    <cellStyle name="标题1 11 5" xfId="19270"/>
    <cellStyle name="标题1 11 6" xfId="19271"/>
    <cellStyle name="标题1 11 7" xfId="19272"/>
    <cellStyle name="标题1 11 8" xfId="19273"/>
    <cellStyle name="标题1 11 9" xfId="19274"/>
    <cellStyle name="标题1 12" xfId="19275"/>
    <cellStyle name="标题1 12 10" xfId="19276"/>
    <cellStyle name="标题1 12 11" xfId="19277"/>
    <cellStyle name="标题1 12 12" xfId="19278"/>
    <cellStyle name="标题1 12 13" xfId="19279"/>
    <cellStyle name="注释 4 2 2 2" xfId="19280"/>
    <cellStyle name="标题1 12 14" xfId="19281"/>
    <cellStyle name="注释 4 2 2 3" xfId="19282"/>
    <cellStyle name="标题1 12 15" xfId="19283"/>
    <cellStyle name="注释 4 2 2 4" xfId="19284"/>
    <cellStyle name="标题1 12 16" xfId="19285"/>
    <cellStyle name="注释 4 2 2 5" xfId="19286"/>
    <cellStyle name="标题1 12 17" xfId="19287"/>
    <cellStyle name="常规 45 13" xfId="19288"/>
    <cellStyle name="常规 50 13" xfId="19289"/>
    <cellStyle name="常规 69 2 4" xfId="19290"/>
    <cellStyle name="常规 74 2 4" xfId="19291"/>
    <cellStyle name="标题1 12 2" xfId="19292"/>
    <cellStyle name="常规 165 2 9" xfId="19293"/>
    <cellStyle name="常规 69 2 4 2" xfId="19294"/>
    <cellStyle name="常规 74 2 4 2" xfId="19295"/>
    <cellStyle name="标题1 12 2 2" xfId="19296"/>
    <cellStyle name="汇总 3 3 2 2 10" xfId="19297"/>
    <cellStyle name="标题1 13 10" xfId="19298"/>
    <cellStyle name="汇总 3 3 2 2 11" xfId="19299"/>
    <cellStyle name="标题1 13 11" xfId="19300"/>
    <cellStyle name="汇总 3 3 2 2 2" xfId="19301"/>
    <cellStyle name="常规 69 3 4" xfId="19302"/>
    <cellStyle name="常规 74 3 4" xfId="19303"/>
    <cellStyle name="标题1 13 2" xfId="19304"/>
    <cellStyle name="常规 166 2 9" xfId="19305"/>
    <cellStyle name="标题1 13 2 2" xfId="19306"/>
    <cellStyle name="汇总 3 3 2 2 3" xfId="19307"/>
    <cellStyle name="常规 69 3 5" xfId="19308"/>
    <cellStyle name="常规 74 3 5" xfId="19309"/>
    <cellStyle name="标题1 13 3" xfId="19310"/>
    <cellStyle name="汇总 3 3 2 2 4" xfId="19311"/>
    <cellStyle name="常规 69 3 6" xfId="19312"/>
    <cellStyle name="常规 74 3 6" xfId="19313"/>
    <cellStyle name="标题1 13 4" xfId="19314"/>
    <cellStyle name="汇总 3 3 2 2 5" xfId="19315"/>
    <cellStyle name="常规 69 3 7" xfId="19316"/>
    <cellStyle name="常规 74 3 7" xfId="19317"/>
    <cellStyle name="标题1 13 5" xfId="19318"/>
    <cellStyle name="汇总 3 3 2 2 6" xfId="19319"/>
    <cellStyle name="常规 69 3 8" xfId="19320"/>
    <cellStyle name="常规 74 3 8" xfId="19321"/>
    <cellStyle name="标题1 13 6" xfId="19322"/>
    <cellStyle name="汇总 3 3 2 4" xfId="19323"/>
    <cellStyle name="标题1 15" xfId="19324"/>
    <cellStyle name="标题1 20" xfId="19325"/>
    <cellStyle name="标题1 2" xfId="19326"/>
    <cellStyle name="标题1 2 13" xfId="19327"/>
    <cellStyle name="标题1 2 14" xfId="19328"/>
    <cellStyle name="标题1 2 15" xfId="19329"/>
    <cellStyle name="标题1 2 16" xfId="19330"/>
    <cellStyle name="标题1 2 17" xfId="19331"/>
    <cellStyle name="好_Book1 2 18" xfId="19332"/>
    <cellStyle name="常规 148 2 17" xfId="19333"/>
    <cellStyle name="常规 153 2 17" xfId="19334"/>
    <cellStyle name="标题1 29" xfId="19335"/>
    <cellStyle name="标题1 3" xfId="19336"/>
    <cellStyle name="常规 67 2 2 11" xfId="19337"/>
    <cellStyle name="常规 72 2 2 11" xfId="19338"/>
    <cellStyle name="标题1 3 13" xfId="19339"/>
    <cellStyle name="常规 67 2 2 12" xfId="19340"/>
    <cellStyle name="常规 72 2 2 12" xfId="19341"/>
    <cellStyle name="标题1 3 14" xfId="19342"/>
    <cellStyle name="常规 67 2 2 13" xfId="19343"/>
    <cellStyle name="常规 72 2 2 13" xfId="19344"/>
    <cellStyle name="标题1 3 15" xfId="19345"/>
    <cellStyle name="常规 67 2 2 14" xfId="19346"/>
    <cellStyle name="常规 72 2 2 14" xfId="19347"/>
    <cellStyle name="标题1 3 16" xfId="19348"/>
    <cellStyle name="常规 67 2 2 15" xfId="19349"/>
    <cellStyle name="常规 72 2 2 15" xfId="19350"/>
    <cellStyle name="标题1 3 17" xfId="19351"/>
    <cellStyle name="标题1 3 2 2" xfId="19352"/>
    <cellStyle name="标题1 4" xfId="19353"/>
    <cellStyle name="标题1 4 12" xfId="19354"/>
    <cellStyle name="标题1 4 13" xfId="19355"/>
    <cellStyle name="标题1 4 14" xfId="19356"/>
    <cellStyle name="标题1 4 15" xfId="19357"/>
    <cellStyle name="标题1 4 16" xfId="19358"/>
    <cellStyle name="标题1 4 17" xfId="19359"/>
    <cellStyle name="标题1 4 2" xfId="19360"/>
    <cellStyle name="常规 69 2 12" xfId="19361"/>
    <cellStyle name="常规 74 2 12" xfId="19362"/>
    <cellStyle name="汇总 4 11" xfId="19363"/>
    <cellStyle name="标题1 4 2 2" xfId="19364"/>
    <cellStyle name="常规 69 2 13" xfId="19365"/>
    <cellStyle name="常规 74 2 13" xfId="19366"/>
    <cellStyle name="汇总 4 12" xfId="19367"/>
    <cellStyle name="标题1 4 2 3" xfId="19368"/>
    <cellStyle name="标题1 4 3" xfId="19369"/>
    <cellStyle name="标题1 4 4" xfId="19370"/>
    <cellStyle name="标题1 4 5" xfId="19371"/>
    <cellStyle name="标题1 4 6" xfId="19372"/>
    <cellStyle name="标题1 4 7" xfId="19373"/>
    <cellStyle name="标题1 4 8" xfId="19374"/>
    <cellStyle name="标题1 4 9" xfId="19375"/>
    <cellStyle name="标题1 5" xfId="19376"/>
    <cellStyle name="输出 3 2 3 2 12" xfId="19377"/>
    <cellStyle name="标题1 5 10" xfId="19378"/>
    <cellStyle name="标题1 5 11" xfId="19379"/>
    <cellStyle name="标题1 5 12" xfId="19380"/>
    <cellStyle name="标题1 5 13" xfId="19381"/>
    <cellStyle name="标题1 5 14" xfId="19382"/>
    <cellStyle name="标题1 5 15" xfId="19383"/>
    <cellStyle name="标题1 5 2" xfId="19384"/>
    <cellStyle name="标题1 5 3" xfId="19385"/>
    <cellStyle name="标题1 5 4" xfId="19386"/>
    <cellStyle name="标题1 6" xfId="19387"/>
    <cellStyle name="标题1 6 10" xfId="19388"/>
    <cellStyle name="标题1 6 2" xfId="19389"/>
    <cellStyle name="常规 119 3 17" xfId="19390"/>
    <cellStyle name="常规 124 3 17" xfId="19391"/>
    <cellStyle name="标题1 6 2 2" xfId="19392"/>
    <cellStyle name="标题1 6 3" xfId="19393"/>
    <cellStyle name="标题1 6 4" xfId="19394"/>
    <cellStyle name="标题1 6 5" xfId="19395"/>
    <cellStyle name="常规 147 2 2" xfId="19396"/>
    <cellStyle name="常规 152 2 2" xfId="19397"/>
    <cellStyle name="标题1 6 6" xfId="19398"/>
    <cellStyle name="常规 147 2 3" xfId="19399"/>
    <cellStyle name="常规 152 2 3" xfId="19400"/>
    <cellStyle name="标题1 6 7" xfId="19401"/>
    <cellStyle name="常规 147 2 4" xfId="19402"/>
    <cellStyle name="常规 152 2 4" xfId="19403"/>
    <cellStyle name="标题1 6 8" xfId="19404"/>
    <cellStyle name="常规 147 2 5" xfId="19405"/>
    <cellStyle name="常规 152 2 5" xfId="19406"/>
    <cellStyle name="标题1 6 9" xfId="19407"/>
    <cellStyle name="标题1 7" xfId="19408"/>
    <cellStyle name="标题1 7 10" xfId="19409"/>
    <cellStyle name="标题1 7 11" xfId="19410"/>
    <cellStyle name="标题1 7 12" xfId="19411"/>
    <cellStyle name="标题1 7 13" xfId="19412"/>
    <cellStyle name="标题1 7 14" xfId="19413"/>
    <cellStyle name="标题1 7 15" xfId="19414"/>
    <cellStyle name="标题1 7 16" xfId="19415"/>
    <cellStyle name="标题1 7 17" xfId="19416"/>
    <cellStyle name="标题1 7 2" xfId="19417"/>
    <cellStyle name="计算 2 3 11" xfId="19418"/>
    <cellStyle name="标题1 7 2 2" xfId="19419"/>
    <cellStyle name="标题1 7 3" xfId="19420"/>
    <cellStyle name="标题1 7 4" xfId="19421"/>
    <cellStyle name="标题1 7 5" xfId="19422"/>
    <cellStyle name="常规 147 3 2" xfId="19423"/>
    <cellStyle name="常规 152 3 2" xfId="19424"/>
    <cellStyle name="标题1 7 6" xfId="19425"/>
    <cellStyle name="常规 147 3 3" xfId="19426"/>
    <cellStyle name="常规 152 3 3" xfId="19427"/>
    <cellStyle name="标题1 7 7" xfId="19428"/>
    <cellStyle name="标题1 8" xfId="19429"/>
    <cellStyle name="标题1 8 10" xfId="19430"/>
    <cellStyle name="标题1 8 11" xfId="19431"/>
    <cellStyle name="标题1 8 12" xfId="19432"/>
    <cellStyle name="标题1 8 2" xfId="19433"/>
    <cellStyle name="标题1 8 3" xfId="19434"/>
    <cellStyle name="标题1 8 4" xfId="19435"/>
    <cellStyle name="标题1 8 5" xfId="19436"/>
    <cellStyle name="标题1 8 6" xfId="19437"/>
    <cellStyle name="计算 2 2 3 2 2" xfId="19438"/>
    <cellStyle name="标题1 8 7" xfId="19439"/>
    <cellStyle name="常规 28 2 4 2 2" xfId="19440"/>
    <cellStyle name="计算 2 2 3 2 3" xfId="19441"/>
    <cellStyle name="标题1 8 8" xfId="19442"/>
    <cellStyle name="常规 28 2 4 2 3" xfId="19443"/>
    <cellStyle name="计算 2 2 3 2 4" xfId="19444"/>
    <cellStyle name="标题1 8 9" xfId="19445"/>
    <cellStyle name="标题1 9" xfId="19446"/>
    <cellStyle name="标题1 9 10" xfId="19447"/>
    <cellStyle name="标题1 9 11" xfId="19448"/>
    <cellStyle name="标题1 9 12" xfId="19449"/>
    <cellStyle name="标题1 9 2" xfId="19450"/>
    <cellStyle name="常规 75 2 12" xfId="19451"/>
    <cellStyle name="常规 80 2 12" xfId="19452"/>
    <cellStyle name="标题1 9 2 2" xfId="19453"/>
    <cellStyle name="标题1 9 3" xfId="19454"/>
    <cellStyle name="标题1 9 4" xfId="19455"/>
    <cellStyle name="标题1 9 5" xfId="19456"/>
    <cellStyle name="常规 147 5 2" xfId="19457"/>
    <cellStyle name="常规 152 5 2" xfId="19458"/>
    <cellStyle name="标题1 9 6" xfId="19459"/>
    <cellStyle name="常规 147 5 3" xfId="19460"/>
    <cellStyle name="常规 152 5 3" xfId="19461"/>
    <cellStyle name="计算 2 2 3 3 2" xfId="19462"/>
    <cellStyle name="标题1 9 7" xfId="19463"/>
    <cellStyle name="计算 2 2 3 3 3" xfId="19464"/>
    <cellStyle name="标题1 9 8" xfId="19465"/>
    <cellStyle name="标题1 9 9" xfId="19466"/>
    <cellStyle name="表标题" xfId="19467"/>
    <cellStyle name="输出 3 3 13" xfId="19468"/>
    <cellStyle name="表标题 17" xfId="19469"/>
    <cellStyle name="输出 3 3 14" xfId="19470"/>
    <cellStyle name="表标题 18" xfId="19471"/>
    <cellStyle name="输出 3 3 15" xfId="19472"/>
    <cellStyle name="输出 3 3 20" xfId="19473"/>
    <cellStyle name="表标题 19" xfId="19474"/>
    <cellStyle name="表标题 2" xfId="19475"/>
    <cellStyle name="表标题 2 10" xfId="19476"/>
    <cellStyle name="表标题 2 11" xfId="19477"/>
    <cellStyle name="表标题 2 12" xfId="19478"/>
    <cellStyle name="表标题 2 13" xfId="19479"/>
    <cellStyle name="表标题 2 14" xfId="19480"/>
    <cellStyle name="常规 46 3 2" xfId="19481"/>
    <cellStyle name="常规 51 3 2" xfId="19482"/>
    <cellStyle name="表标题 2 15" xfId="19483"/>
    <cellStyle name="常规 46 3 3" xfId="19484"/>
    <cellStyle name="常规 51 3 3" xfId="19485"/>
    <cellStyle name="表标题 2 16" xfId="19486"/>
    <cellStyle name="常规 46 3 4" xfId="19487"/>
    <cellStyle name="常规 51 3 4" xfId="19488"/>
    <cellStyle name="表标题 2 17" xfId="19489"/>
    <cellStyle name="表标题 2 2 2" xfId="19490"/>
    <cellStyle name="常规 116 5 2 3" xfId="19491"/>
    <cellStyle name="常规 121 5 2 3" xfId="19492"/>
    <cellStyle name="表标题 2 5" xfId="19493"/>
    <cellStyle name="表标题 2 6" xfId="19494"/>
    <cellStyle name="表标题 2 7" xfId="19495"/>
    <cellStyle name="表标题 2 8" xfId="19496"/>
    <cellStyle name="计算 2 3 4 10" xfId="19497"/>
    <cellStyle name="表标题 2 9" xfId="19498"/>
    <cellStyle name="表标题 3 10" xfId="19499"/>
    <cellStyle name="表标题 3 11" xfId="19500"/>
    <cellStyle name="表标题 3 12" xfId="19501"/>
    <cellStyle name="表标题 3 13" xfId="19502"/>
    <cellStyle name="表标题 3 14" xfId="19503"/>
    <cellStyle name="表标题 3 15" xfId="19504"/>
    <cellStyle name="表标题 3 16" xfId="19505"/>
    <cellStyle name="表标题 3 17" xfId="19506"/>
    <cellStyle name="输出 3 3 2 7" xfId="19507"/>
    <cellStyle name="表标题 3 2" xfId="19508"/>
    <cellStyle name="表标题 3 2 2" xfId="19509"/>
    <cellStyle name="输出 3 3 2 8" xfId="19510"/>
    <cellStyle name="表标题 3 3" xfId="19511"/>
    <cellStyle name="输出 3 3 2 9" xfId="19512"/>
    <cellStyle name="表标题 3 4" xfId="19513"/>
    <cellStyle name="表标题 3 5" xfId="19514"/>
    <cellStyle name="常规 12 5 2 2" xfId="19515"/>
    <cellStyle name="表标题 3 6" xfId="19516"/>
    <cellStyle name="常规 12 5 2 3" xfId="19517"/>
    <cellStyle name="表标题 3 7" xfId="19518"/>
    <cellStyle name="表标题 3 8" xfId="19519"/>
    <cellStyle name="输出 3 3 3 7" xfId="19520"/>
    <cellStyle name="表标题 4 2" xfId="19521"/>
    <cellStyle name="常规 149 11" xfId="19522"/>
    <cellStyle name="常规 154 11" xfId="19523"/>
    <cellStyle name="表标题 5" xfId="19524"/>
    <cellStyle name="常规 149 12" xfId="19525"/>
    <cellStyle name="常规 154 12" xfId="19526"/>
    <cellStyle name="输入 2 3 6 2" xfId="19527"/>
    <cellStyle name="表标题 6" xfId="19528"/>
    <cellStyle name="常规 149 13" xfId="19529"/>
    <cellStyle name="常规 154 13" xfId="19530"/>
    <cellStyle name="输入 2 3 6 3" xfId="19531"/>
    <cellStyle name="表标题 7" xfId="19532"/>
    <cellStyle name="常规 149 14" xfId="19533"/>
    <cellStyle name="常规 154 14" xfId="19534"/>
    <cellStyle name="输入 2 3 6 4" xfId="19535"/>
    <cellStyle name="表标题 8" xfId="19536"/>
    <cellStyle name="常规 149 15" xfId="19537"/>
    <cellStyle name="常规 149 20" xfId="19538"/>
    <cellStyle name="常规 154 15" xfId="19539"/>
    <cellStyle name="常规 154 20" xfId="19540"/>
    <cellStyle name="输入 2 3 6 5" xfId="19541"/>
    <cellStyle name="表标题 9" xfId="19542"/>
    <cellStyle name="部门" xfId="19543"/>
    <cellStyle name="部门 10" xfId="19544"/>
    <cellStyle name="部门 11" xfId="19545"/>
    <cellStyle name="部门 12" xfId="19546"/>
    <cellStyle name="部门 13" xfId="19547"/>
    <cellStyle name="输入 3 6 2 2" xfId="19548"/>
    <cellStyle name="部门 14" xfId="19549"/>
    <cellStyle name="输入 3 6 2 3" xfId="19550"/>
    <cellStyle name="部门 15" xfId="19551"/>
    <cellStyle name="输入 3 6 2 4" xfId="19552"/>
    <cellStyle name="部门 16" xfId="19553"/>
    <cellStyle name="输入 3 6 2 5" xfId="19554"/>
    <cellStyle name="部门 17" xfId="19555"/>
    <cellStyle name="输入 3 6 2 6" xfId="19556"/>
    <cellStyle name="部门 18" xfId="19557"/>
    <cellStyle name="部门 2 10" xfId="19558"/>
    <cellStyle name="部门 2 11" xfId="19559"/>
    <cellStyle name="部门 2 12" xfId="19560"/>
    <cellStyle name="常规 129 2 4 2 2" xfId="19561"/>
    <cellStyle name="常规 134 2 4 2 2" xfId="19562"/>
    <cellStyle name="部门 2 13" xfId="19563"/>
    <cellStyle name="常规 129 2 4 2 3" xfId="19564"/>
    <cellStyle name="常规 134 2 4 2 3" xfId="19565"/>
    <cellStyle name="部门 2 14" xfId="19566"/>
    <cellStyle name="部门 2 15" xfId="19567"/>
    <cellStyle name="部门 2 2" xfId="19568"/>
    <cellStyle name="部门 2 3" xfId="19569"/>
    <cellStyle name="部门 2 4" xfId="19570"/>
    <cellStyle name="部门 2 5" xfId="19571"/>
    <cellStyle name="部门 2 6" xfId="19572"/>
    <cellStyle name="部门 2 7" xfId="19573"/>
    <cellStyle name="常规 129 2" xfId="19574"/>
    <cellStyle name="常规 134 2" xfId="19575"/>
    <cellStyle name="部门 2 8" xfId="19576"/>
    <cellStyle name="常规 129 3" xfId="19577"/>
    <cellStyle name="常规 134 3" xfId="19578"/>
    <cellStyle name="部门 2 9" xfId="19579"/>
    <cellStyle name="部门 3 2" xfId="19580"/>
    <cellStyle name="部门 5" xfId="19581"/>
    <cellStyle name="部门 6" xfId="19582"/>
    <cellStyle name="部门 7" xfId="19583"/>
    <cellStyle name="部门 8" xfId="19584"/>
    <cellStyle name="部门 9" xfId="19585"/>
    <cellStyle name="差 2 13" xfId="19586"/>
    <cellStyle name="差 2 14" xfId="19587"/>
    <cellStyle name="差 2 15" xfId="19588"/>
    <cellStyle name="差 2 16" xfId="19589"/>
    <cellStyle name="差 2 17" xfId="19590"/>
    <cellStyle name="差 2 18" xfId="19591"/>
    <cellStyle name="差 2 19" xfId="19592"/>
    <cellStyle name="差 2 2 10" xfId="19593"/>
    <cellStyle name="差 2 2 11" xfId="19594"/>
    <cellStyle name="差 2 2 12" xfId="19595"/>
    <cellStyle name="差 2 2 13" xfId="19596"/>
    <cellStyle name="差 2 2 14" xfId="19597"/>
    <cellStyle name="差 2 2 15" xfId="19598"/>
    <cellStyle name="差 2 2 16" xfId="19599"/>
    <cellStyle name="差 2 2 17" xfId="19600"/>
    <cellStyle name="差 2 2 2 2" xfId="19601"/>
    <cellStyle name="差 2 2 3" xfId="19602"/>
    <cellStyle name="差 2 2 4" xfId="19603"/>
    <cellStyle name="差 2 2 5" xfId="19604"/>
    <cellStyle name="差 2 3 10" xfId="19605"/>
    <cellStyle name="差 2 3 11" xfId="19606"/>
    <cellStyle name="差 2 3 12" xfId="19607"/>
    <cellStyle name="差 2 3 13" xfId="19608"/>
    <cellStyle name="差 2 3 14" xfId="19609"/>
    <cellStyle name="差 2 3 15" xfId="19610"/>
    <cellStyle name="差 2 3 16" xfId="19611"/>
    <cellStyle name="差 2 3 17" xfId="19612"/>
    <cellStyle name="差 2 3 2" xfId="19613"/>
    <cellStyle name="差 2 3 3" xfId="19614"/>
    <cellStyle name="差 2 3 4" xfId="19615"/>
    <cellStyle name="差 2 3 5" xfId="19616"/>
    <cellStyle name="差 2 3 7" xfId="19617"/>
    <cellStyle name="差 2 3 8" xfId="19618"/>
    <cellStyle name="差 2 3 9" xfId="19619"/>
    <cellStyle name="差 2 4 2" xfId="19620"/>
    <cellStyle name="差 3 10" xfId="19621"/>
    <cellStyle name="差 3 11" xfId="19622"/>
    <cellStyle name="差 3 12" xfId="19623"/>
    <cellStyle name="差 3 13" xfId="19624"/>
    <cellStyle name="差 3 14" xfId="19625"/>
    <cellStyle name="差 3 15" xfId="19626"/>
    <cellStyle name="差 3 16" xfId="19627"/>
    <cellStyle name="差 3 17" xfId="19628"/>
    <cellStyle name="差 3 18" xfId="19629"/>
    <cellStyle name="差 3 2 10" xfId="19630"/>
    <cellStyle name="差 3 2 13" xfId="19631"/>
    <cellStyle name="差 3 2 14" xfId="19632"/>
    <cellStyle name="差 3 2 15" xfId="19633"/>
    <cellStyle name="差 3 2 16" xfId="19634"/>
    <cellStyle name="差 3 2 17" xfId="19635"/>
    <cellStyle name="差 3 2 2" xfId="19636"/>
    <cellStyle name="输入 2 3 2 4" xfId="19637"/>
    <cellStyle name="差 3 2 2 2" xfId="19638"/>
    <cellStyle name="差 3 2 3" xfId="19639"/>
    <cellStyle name="差 3 2 4" xfId="19640"/>
    <cellStyle name="差 3 2 5" xfId="19641"/>
    <cellStyle name="差 3 2 6" xfId="19642"/>
    <cellStyle name="差 3 2 7" xfId="19643"/>
    <cellStyle name="输出 2 2 13 2" xfId="19644"/>
    <cellStyle name="差 3 2 8" xfId="19645"/>
    <cellStyle name="输出 2 2 13 3" xfId="19646"/>
    <cellStyle name="差 3 2 9" xfId="19647"/>
    <cellStyle name="差 3 3 2" xfId="19648"/>
    <cellStyle name="差 3 4" xfId="19649"/>
    <cellStyle name="差 3 5" xfId="19650"/>
    <cellStyle name="差 3 6" xfId="19651"/>
    <cellStyle name="差 3 7" xfId="19652"/>
    <cellStyle name="差 3 9" xfId="19653"/>
    <cellStyle name="输出 2 2 2 2 6" xfId="19654"/>
    <cellStyle name="差 4 10" xfId="19655"/>
    <cellStyle name="输出 2 2 2 2 7" xfId="19656"/>
    <cellStyle name="差 4 11" xfId="19657"/>
    <cellStyle name="输出 2 2 2 2 8" xfId="19658"/>
    <cellStyle name="差 4 12" xfId="19659"/>
    <cellStyle name="输出 2 2 2 2 9" xfId="19660"/>
    <cellStyle name="差 4 13" xfId="19661"/>
    <cellStyle name="差 4 14" xfId="19662"/>
    <cellStyle name="差 4 17" xfId="19663"/>
    <cellStyle name="差 4 2" xfId="19664"/>
    <cellStyle name="差 4 2 2" xfId="19665"/>
    <cellStyle name="差 4 3" xfId="19666"/>
    <cellStyle name="差 4 4" xfId="19667"/>
    <cellStyle name="差_Book1 10" xfId="19668"/>
    <cellStyle name="差_Book1 11" xfId="19669"/>
    <cellStyle name="常规 98 5 2" xfId="19670"/>
    <cellStyle name="差_Book1 12" xfId="19671"/>
    <cellStyle name="常规 98 5 3" xfId="19672"/>
    <cellStyle name="差_Book1 13" xfId="19673"/>
    <cellStyle name="差_Book1 14" xfId="19674"/>
    <cellStyle name="差_Book1 15" xfId="19675"/>
    <cellStyle name="差_Book1 20" xfId="19676"/>
    <cellStyle name="差_Book1 16" xfId="19677"/>
    <cellStyle name="差_Book1 17" xfId="19678"/>
    <cellStyle name="差_Book1 18" xfId="19679"/>
    <cellStyle name="差_Book1 19" xfId="19680"/>
    <cellStyle name="常规 98 15" xfId="19681"/>
    <cellStyle name="常规 98 20" xfId="19682"/>
    <cellStyle name="差_Book1 2" xfId="19683"/>
    <cellStyle name="差_Book1 2 10" xfId="19684"/>
    <cellStyle name="差_Book1 2 11" xfId="19685"/>
    <cellStyle name="差_Book1 2 12" xfId="19686"/>
    <cellStyle name="差_Book1 2 13" xfId="19687"/>
    <cellStyle name="差_Book1 2 14" xfId="19688"/>
    <cellStyle name="差_Book1 2 15" xfId="19689"/>
    <cellStyle name="差_Book1 2 16" xfId="19690"/>
    <cellStyle name="差_Book1 2 17" xfId="19691"/>
    <cellStyle name="差_Book1 2 2" xfId="19692"/>
    <cellStyle name="差_Book1 2 3" xfId="19693"/>
    <cellStyle name="常规 22 2 2 13" xfId="19694"/>
    <cellStyle name="差_Book1 2 3 2" xfId="19695"/>
    <cellStyle name="差_Book1 2 3 2 2" xfId="19696"/>
    <cellStyle name="常规 57 2 2 3 2 2" xfId="19697"/>
    <cellStyle name="常规 62 2 2 3 2 2" xfId="19698"/>
    <cellStyle name="差_Book1 2 3 2 3" xfId="19699"/>
    <cellStyle name="常规 22 2 2 14" xfId="19700"/>
    <cellStyle name="差_Book1 2 3 3" xfId="19701"/>
    <cellStyle name="差_Book1 2 4" xfId="19702"/>
    <cellStyle name="差_Book1 2 5" xfId="19703"/>
    <cellStyle name="差_Book1 2 6" xfId="19704"/>
    <cellStyle name="差_Book1 2 7" xfId="19705"/>
    <cellStyle name="差_Book1 2 8" xfId="19706"/>
    <cellStyle name="差_Book1 2 9" xfId="19707"/>
    <cellStyle name="常规 98 16" xfId="19708"/>
    <cellStyle name="常规 98 21" xfId="19709"/>
    <cellStyle name="差_Book1 3" xfId="19710"/>
    <cellStyle name="差_Book1 3 10" xfId="19711"/>
    <cellStyle name="差_Book1 3 13" xfId="19712"/>
    <cellStyle name="差_Book1 3 14" xfId="19713"/>
    <cellStyle name="差_Book1 3 15" xfId="19714"/>
    <cellStyle name="差_Book1 3 16" xfId="19715"/>
    <cellStyle name="差_Book1 3 17" xfId="19716"/>
    <cellStyle name="差_Book1 3 18" xfId="19717"/>
    <cellStyle name="输出 3 2 11 2 4" xfId="19718"/>
    <cellStyle name="常规 86 13" xfId="19719"/>
    <cellStyle name="常规 91 13" xfId="19720"/>
    <cellStyle name="差_Book1 3 2" xfId="19721"/>
    <cellStyle name="输出 3 2 11 2 5" xfId="19722"/>
    <cellStyle name="常规 86 14" xfId="19723"/>
    <cellStyle name="常规 91 14" xfId="19724"/>
    <cellStyle name="差_Book1 3 3" xfId="19725"/>
    <cellStyle name="差_Book1 3 3 2" xfId="19726"/>
    <cellStyle name="常规 12 2 11" xfId="19727"/>
    <cellStyle name="差_Book1 3 3 2 2" xfId="19728"/>
    <cellStyle name="常规 12 2 12" xfId="19729"/>
    <cellStyle name="差_Book1 3 3 2 3" xfId="19730"/>
    <cellStyle name="差_Book1 3 3 3" xfId="19731"/>
    <cellStyle name="输出 3 2 11 2 6" xfId="19732"/>
    <cellStyle name="常规 86 15" xfId="19733"/>
    <cellStyle name="常规 86 20" xfId="19734"/>
    <cellStyle name="常规 91 15" xfId="19735"/>
    <cellStyle name="常规 91 20" xfId="19736"/>
    <cellStyle name="差_Book1 3 4" xfId="19737"/>
    <cellStyle name="输出 3 2 11 2 7" xfId="19738"/>
    <cellStyle name="常规 86 16" xfId="19739"/>
    <cellStyle name="常规 86 21" xfId="19740"/>
    <cellStyle name="常规 91 16" xfId="19741"/>
    <cellStyle name="常规 91 21" xfId="19742"/>
    <cellStyle name="差_Book1 3 5" xfId="19743"/>
    <cellStyle name="输出 3 2 11 2 8" xfId="19744"/>
    <cellStyle name="常规 86 17" xfId="19745"/>
    <cellStyle name="常规 86 22" xfId="19746"/>
    <cellStyle name="常规 91 17" xfId="19747"/>
    <cellStyle name="常规 91 22" xfId="19748"/>
    <cellStyle name="差_Book1 3 6" xfId="19749"/>
    <cellStyle name="输出 3 2 11 2 9" xfId="19750"/>
    <cellStyle name="常规 86 18" xfId="19751"/>
    <cellStyle name="常规 86 23" xfId="19752"/>
    <cellStyle name="常规 91 18" xfId="19753"/>
    <cellStyle name="常规 91 23" xfId="19754"/>
    <cellStyle name="差_Book1 3 7" xfId="19755"/>
    <cellStyle name="常规 86 19" xfId="19756"/>
    <cellStyle name="常规 91 19" xfId="19757"/>
    <cellStyle name="差_Book1 3 8" xfId="19758"/>
    <cellStyle name="差_Book1 3 9" xfId="19759"/>
    <cellStyle name="常规 98 17" xfId="19760"/>
    <cellStyle name="常规 98 22" xfId="19761"/>
    <cellStyle name="差_Book1 4" xfId="19762"/>
    <cellStyle name="常规 98 18" xfId="19763"/>
    <cellStyle name="常规 98 23" xfId="19764"/>
    <cellStyle name="差_Book1 5" xfId="19765"/>
    <cellStyle name="差_Book1 5 2" xfId="19766"/>
    <cellStyle name="差_Book1 5 2 2" xfId="19767"/>
    <cellStyle name="常规 66 2 10" xfId="19768"/>
    <cellStyle name="常规 71 2 10" xfId="19769"/>
    <cellStyle name="差_Book1 5 2 3" xfId="19770"/>
    <cellStyle name="差_Book1 5 3" xfId="19771"/>
    <cellStyle name="常规 98 19" xfId="19772"/>
    <cellStyle name="差_Book1 6" xfId="19773"/>
    <cellStyle name="差_Book1 7" xfId="19774"/>
    <cellStyle name="常规 12 2 3 2 2" xfId="19775"/>
    <cellStyle name="差_Book1 8" xfId="19776"/>
    <cellStyle name="常规 12 2 3 2 3" xfId="19777"/>
    <cellStyle name="差_Book1 9" xfId="19778"/>
    <cellStyle name="常规 10" xfId="19779"/>
    <cellStyle name="常规 10 16" xfId="19780"/>
    <cellStyle name="常规 10 21" xfId="19781"/>
    <cellStyle name="常规 65 2 7" xfId="19782"/>
    <cellStyle name="常规 70 2 7" xfId="19783"/>
    <cellStyle name="常规 10 17" xfId="19784"/>
    <cellStyle name="常规 10 22" xfId="19785"/>
    <cellStyle name="常规 65 2 8" xfId="19786"/>
    <cellStyle name="常规 70 2 8" xfId="19787"/>
    <cellStyle name="常规 10 18" xfId="19788"/>
    <cellStyle name="常规 10 23" xfId="19789"/>
    <cellStyle name="常规 65 2 9" xfId="19790"/>
    <cellStyle name="常规 70 2 9" xfId="19791"/>
    <cellStyle name="常规 10 19" xfId="19792"/>
    <cellStyle name="汇总 2 2 11 16" xfId="19793"/>
    <cellStyle name="常规 6 2 4 3" xfId="19794"/>
    <cellStyle name="常规 10 2" xfId="19795"/>
    <cellStyle name="常规 49 2 2 6" xfId="19796"/>
    <cellStyle name="常规 54 2 2 6" xfId="19797"/>
    <cellStyle name="常规 35 2 9" xfId="19798"/>
    <cellStyle name="常规 40 2 9" xfId="19799"/>
    <cellStyle name="常规 10 2 10" xfId="19800"/>
    <cellStyle name="常规 10 2 11" xfId="19801"/>
    <cellStyle name="常规 10 2 12" xfId="19802"/>
    <cellStyle name="输入 2 2 5 2" xfId="19803"/>
    <cellStyle name="常规 10 2 13" xfId="19804"/>
    <cellStyle name="输入 2 2 5 3" xfId="19805"/>
    <cellStyle name="常规 10 2 14" xfId="19806"/>
    <cellStyle name="输入 2 2 5 4" xfId="19807"/>
    <cellStyle name="常规 10 2 15" xfId="19808"/>
    <cellStyle name="输入 2 2 5 5" xfId="19809"/>
    <cellStyle name="常规 10 2 16" xfId="19810"/>
    <cellStyle name="输入 2 2 5 6" xfId="19811"/>
    <cellStyle name="常规 10 2 17" xfId="19812"/>
    <cellStyle name="输入 2 2 5 7" xfId="19813"/>
    <cellStyle name="常规 10 2 18" xfId="19814"/>
    <cellStyle name="常规 10 2 2" xfId="19815"/>
    <cellStyle name="常规 10 2 3" xfId="19816"/>
    <cellStyle name="千位分隔 3 2 14" xfId="19817"/>
    <cellStyle name="常规 10 2 3 2" xfId="19818"/>
    <cellStyle name="千位分隔 3 2 15" xfId="19819"/>
    <cellStyle name="常规 10 2 3 3" xfId="19820"/>
    <cellStyle name="常规 10 2 4" xfId="19821"/>
    <cellStyle name="常规 103 3 3 2" xfId="19822"/>
    <cellStyle name="常规 10 2 5" xfId="19823"/>
    <cellStyle name="常规 103 3 3 3" xfId="19824"/>
    <cellStyle name="常规 10 2 6" xfId="19825"/>
    <cellStyle name="常规 10 2 7" xfId="19826"/>
    <cellStyle name="常规 162 4 2" xfId="19827"/>
    <cellStyle name="常规 10 2 8" xfId="19828"/>
    <cellStyle name="常规 162 4 3" xfId="19829"/>
    <cellStyle name="计算 2 2 8 2 2" xfId="19830"/>
    <cellStyle name="常规 10 2 9" xfId="19831"/>
    <cellStyle name="汇总 2 2 11 17" xfId="19832"/>
    <cellStyle name="常规 10 3" xfId="19833"/>
    <cellStyle name="常规 49 2 2 7" xfId="19834"/>
    <cellStyle name="常规 54 2 2 7" xfId="19835"/>
    <cellStyle name="常规 10 3 10" xfId="19836"/>
    <cellStyle name="计算 2 3 4 2 11" xfId="19837"/>
    <cellStyle name="常规 10 3 11" xfId="19838"/>
    <cellStyle name="计算 2 3 4 2 12" xfId="19839"/>
    <cellStyle name="常规 10 3 12" xfId="19840"/>
    <cellStyle name="常规 10 3 13" xfId="19841"/>
    <cellStyle name="常规 26 5 2 2" xfId="19842"/>
    <cellStyle name="常规 31 5 2 2" xfId="19843"/>
    <cellStyle name="常规 10 3 14" xfId="19844"/>
    <cellStyle name="常规 10 3 2" xfId="19845"/>
    <cellStyle name="汇总 2 2 11 18" xfId="19846"/>
    <cellStyle name="常规 10 4" xfId="19847"/>
    <cellStyle name="常规 49 2 2 8" xfId="19848"/>
    <cellStyle name="常规 54 2 2 8" xfId="19849"/>
    <cellStyle name="汇总 3 2 8 11" xfId="19850"/>
    <cellStyle name="常规 100" xfId="19851"/>
    <cellStyle name="常规 4 5" xfId="19852"/>
    <cellStyle name="常规 100 10" xfId="19853"/>
    <cellStyle name="常规 100 11" xfId="19854"/>
    <cellStyle name="常规 100 12" xfId="19855"/>
    <cellStyle name="常规 100 13" xfId="19856"/>
    <cellStyle name="常规 100 14" xfId="19857"/>
    <cellStyle name="常规 100 15" xfId="19858"/>
    <cellStyle name="常规 100 20" xfId="19859"/>
    <cellStyle name="常规 100 16" xfId="19860"/>
    <cellStyle name="常规 100 21" xfId="19861"/>
    <cellStyle name="常规 100 17" xfId="19862"/>
    <cellStyle name="常规 100 22" xfId="19863"/>
    <cellStyle name="常规 100 18" xfId="19864"/>
    <cellStyle name="常规 100 23" xfId="19865"/>
    <cellStyle name="常规 100 19" xfId="19866"/>
    <cellStyle name="常规 100 2 14" xfId="19867"/>
    <cellStyle name="常规 100 2 15" xfId="19868"/>
    <cellStyle name="常规 100 2 16" xfId="19869"/>
    <cellStyle name="常规 100 2 17" xfId="19870"/>
    <cellStyle name="常规 100 2 18" xfId="19871"/>
    <cellStyle name="常规 100 2 19" xfId="19872"/>
    <cellStyle name="常规 100 2 2" xfId="19873"/>
    <cellStyle name="常规 4 5 2 2" xfId="19874"/>
    <cellStyle name="常规 100 2 2 10" xfId="19875"/>
    <cellStyle name="好 2 2 18" xfId="19876"/>
    <cellStyle name="常规 100 2 2 11" xfId="19877"/>
    <cellStyle name="常规 100 2 2 12" xfId="19878"/>
    <cellStyle name="常规 100 2 2 13" xfId="19879"/>
    <cellStyle name="常规 100 2 2 14" xfId="19880"/>
    <cellStyle name="常规 100 2 2 15" xfId="19881"/>
    <cellStyle name="常规 100 2 2 16" xfId="19882"/>
    <cellStyle name="常规 100 2 2 17" xfId="19883"/>
    <cellStyle name="常规 100 2 2 18" xfId="19884"/>
    <cellStyle name="常规 100 2 2 2" xfId="19885"/>
    <cellStyle name="注释 2" xfId="19886"/>
    <cellStyle name="常规 100 2 2 3" xfId="19887"/>
    <cellStyle name="常规 106 3" xfId="19888"/>
    <cellStyle name="常规 111 3" xfId="19889"/>
    <cellStyle name="注释 2 2" xfId="19890"/>
    <cellStyle name="常规 100 2 2 3 2" xfId="19891"/>
    <cellStyle name="常规 106 3 2" xfId="19892"/>
    <cellStyle name="常规 111 3 2" xfId="19893"/>
    <cellStyle name="注释 2 2 2" xfId="19894"/>
    <cellStyle name="常规 100 2 2 3 2 2" xfId="19895"/>
    <cellStyle name="常规 102 2 2 5" xfId="19896"/>
    <cellStyle name="常规 106 3 3" xfId="19897"/>
    <cellStyle name="常规 111 3 3" xfId="19898"/>
    <cellStyle name="注释 2 2 3" xfId="19899"/>
    <cellStyle name="常规 100 2 2 3 2 3" xfId="19900"/>
    <cellStyle name="常规 102 2 2 6" xfId="19901"/>
    <cellStyle name="常规 106 4" xfId="19902"/>
    <cellStyle name="常规 111 4" xfId="19903"/>
    <cellStyle name="注释 2 3" xfId="19904"/>
    <cellStyle name="常规 100 2 2 3 3" xfId="19905"/>
    <cellStyle name="注释 3" xfId="19906"/>
    <cellStyle name="常规 100 2 2 4" xfId="19907"/>
    <cellStyle name="注释 4" xfId="19908"/>
    <cellStyle name="常规 100 2 2 5" xfId="19909"/>
    <cellStyle name="常规 100 2 2 6" xfId="19910"/>
    <cellStyle name="常规 100 2 2 7" xfId="19911"/>
    <cellStyle name="常规 100 2 2 8" xfId="19912"/>
    <cellStyle name="常规 102 2 2 3 2 2" xfId="19913"/>
    <cellStyle name="常规 100 2 2 9" xfId="19914"/>
    <cellStyle name="常规 100 2 3" xfId="19915"/>
    <cellStyle name="常规 4 5 2 3" xfId="19916"/>
    <cellStyle name="常规 100 2 4" xfId="19917"/>
    <cellStyle name="常规 100 2 4 2 2" xfId="19918"/>
    <cellStyle name="常规 100 2 4 2 3" xfId="19919"/>
    <cellStyle name="常规 100 2 5" xfId="19920"/>
    <cellStyle name="常规 100 2 6" xfId="19921"/>
    <cellStyle name="常规 100 3 10" xfId="19922"/>
    <cellStyle name="常规 100 3 11" xfId="19923"/>
    <cellStyle name="常规 100 3 12" xfId="19924"/>
    <cellStyle name="常规 100 3 13" xfId="19925"/>
    <cellStyle name="常规 100 3 14" xfId="19926"/>
    <cellStyle name="常规 100 3 15" xfId="19927"/>
    <cellStyle name="常规 100 3 16" xfId="19928"/>
    <cellStyle name="常规 100 3 6" xfId="19929"/>
    <cellStyle name="常规 100 8" xfId="19930"/>
    <cellStyle name="常规 100 9" xfId="19931"/>
    <cellStyle name="汇总 3 2 8 12" xfId="19932"/>
    <cellStyle name="常规 101" xfId="19933"/>
    <cellStyle name="常规 4 6" xfId="19934"/>
    <cellStyle name="常规 101 10" xfId="19935"/>
    <cellStyle name="常规 118 3 3 2 2" xfId="19936"/>
    <cellStyle name="常规 123 3 3 2 2" xfId="19937"/>
    <cellStyle name="常规 101 11" xfId="19938"/>
    <cellStyle name="常规 118 3 3 2 3" xfId="19939"/>
    <cellStyle name="常规 123 3 3 2 3" xfId="19940"/>
    <cellStyle name="常规 101 12" xfId="19941"/>
    <cellStyle name="常规 101 13" xfId="19942"/>
    <cellStyle name="常规 101 14" xfId="19943"/>
    <cellStyle name="常规 101 15" xfId="19944"/>
    <cellStyle name="常规 101 20" xfId="19945"/>
    <cellStyle name="常规 101 16" xfId="19946"/>
    <cellStyle name="常规 101 21" xfId="19947"/>
    <cellStyle name="常规 101 17" xfId="19948"/>
    <cellStyle name="常规 101 22" xfId="19949"/>
    <cellStyle name="常规 101 18" xfId="19950"/>
    <cellStyle name="常规 101 23" xfId="19951"/>
    <cellStyle name="常规 101 2" xfId="19952"/>
    <cellStyle name="常规 101 2 10" xfId="19953"/>
    <cellStyle name="常规 101 2 11" xfId="19954"/>
    <cellStyle name="常规 101 2 12" xfId="19955"/>
    <cellStyle name="常规 101 2 13" xfId="19956"/>
    <cellStyle name="常规 101 2 14" xfId="19957"/>
    <cellStyle name="常规 101 2 15" xfId="19958"/>
    <cellStyle name="常规 101 2 16" xfId="19959"/>
    <cellStyle name="常规 101 2 17" xfId="19960"/>
    <cellStyle name="常规 101 2 18" xfId="19961"/>
    <cellStyle name="常规 101 2 19" xfId="19962"/>
    <cellStyle name="常规 101 2 2" xfId="19963"/>
    <cellStyle name="常规 101 2 2 10" xfId="19964"/>
    <cellStyle name="常规 101 2 2 11" xfId="19965"/>
    <cellStyle name="常规 101 2 2 12" xfId="19966"/>
    <cellStyle name="常规 101 2 2 2" xfId="19967"/>
    <cellStyle name="常规 101 2 2 3" xfId="19968"/>
    <cellStyle name="常规 101 2 2 3 2" xfId="19969"/>
    <cellStyle name="常规 101 2 2 3 2 2" xfId="19970"/>
    <cellStyle name="常规 101 2 2 3 2 3" xfId="19971"/>
    <cellStyle name="常规 101 2 2 3 3" xfId="19972"/>
    <cellStyle name="常规 101 2 2 4" xfId="19973"/>
    <cellStyle name="常规 101 2 2 5" xfId="19974"/>
    <cellStyle name="常规 101 2 2 6" xfId="19975"/>
    <cellStyle name="常规 101 2 2 7" xfId="19976"/>
    <cellStyle name="常规 101 2 3" xfId="19977"/>
    <cellStyle name="常规 101 2 4" xfId="19978"/>
    <cellStyle name="常规 101 2 4 2 2" xfId="19979"/>
    <cellStyle name="常规 101 2 4 2 3" xfId="19980"/>
    <cellStyle name="常规 101 2 4 3" xfId="19981"/>
    <cellStyle name="常规 101 2 5" xfId="19982"/>
    <cellStyle name="常规 101 2 6" xfId="19983"/>
    <cellStyle name="常规 101 2 7" xfId="19984"/>
    <cellStyle name="常规 101 2 8" xfId="19985"/>
    <cellStyle name="常规 101 2 9" xfId="19986"/>
    <cellStyle name="常规 101 3" xfId="19987"/>
    <cellStyle name="常规 101 3 10" xfId="19988"/>
    <cellStyle name="常规 101 3 11" xfId="19989"/>
    <cellStyle name="常规 101 3 12" xfId="19990"/>
    <cellStyle name="常规 101 3 13" xfId="19991"/>
    <cellStyle name="常规 101 3 14" xfId="19992"/>
    <cellStyle name="常规 101 3 15" xfId="19993"/>
    <cellStyle name="常规 22 2 4 2" xfId="19994"/>
    <cellStyle name="常规 101 3 16" xfId="19995"/>
    <cellStyle name="常规 22 2 4 3" xfId="19996"/>
    <cellStyle name="常规 101 3 17" xfId="19997"/>
    <cellStyle name="常规 101 3 18" xfId="19998"/>
    <cellStyle name="输出 3 3 3 14" xfId="19999"/>
    <cellStyle name="常规 101 3 2" xfId="20000"/>
    <cellStyle name="输出 3 3 3 15" xfId="20001"/>
    <cellStyle name="常规 101 3 3" xfId="20002"/>
    <cellStyle name="常规 101 3 3 2 3" xfId="20003"/>
    <cellStyle name="输出 3 3 3 16" xfId="20004"/>
    <cellStyle name="常规 101 3 4" xfId="20005"/>
    <cellStyle name="输出 3 3 3 17" xfId="20006"/>
    <cellStyle name="常规 101 3 5" xfId="20007"/>
    <cellStyle name="常规 101 3 6" xfId="20008"/>
    <cellStyle name="常规 101 3 7" xfId="20009"/>
    <cellStyle name="常规 101 3 8" xfId="20010"/>
    <cellStyle name="常规 101 3 9" xfId="20011"/>
    <cellStyle name="常规 101 6" xfId="20012"/>
    <cellStyle name="常规 101 7" xfId="20013"/>
    <cellStyle name="常规 101 8" xfId="20014"/>
    <cellStyle name="常规 101 9" xfId="20015"/>
    <cellStyle name="汇总 3 2 8 13" xfId="20016"/>
    <cellStyle name="常规 102" xfId="20017"/>
    <cellStyle name="常规 4 7" xfId="20018"/>
    <cellStyle name="汇总 2 2 6 3 2 3" xfId="20019"/>
    <cellStyle name="常规 102 10" xfId="20020"/>
    <cellStyle name="常规 102 11" xfId="20021"/>
    <cellStyle name="常规 102 12" xfId="20022"/>
    <cellStyle name="常规 102 13" xfId="20023"/>
    <cellStyle name="常规 102 14" xfId="20024"/>
    <cellStyle name="常规 102 15" xfId="20025"/>
    <cellStyle name="常规 102 20" xfId="20026"/>
    <cellStyle name="常规 102 16" xfId="20027"/>
    <cellStyle name="常规 102 21" xfId="20028"/>
    <cellStyle name="常规 102 17" xfId="20029"/>
    <cellStyle name="常规 102 22" xfId="20030"/>
    <cellStyle name="常规 102 18" xfId="20031"/>
    <cellStyle name="常规 102 23" xfId="20032"/>
    <cellStyle name="常规 102 2" xfId="20033"/>
    <cellStyle name="汇总 2 2 3 15" xfId="20034"/>
    <cellStyle name="汇总 2 2 3 20" xfId="20035"/>
    <cellStyle name="常规 102 2 2" xfId="20036"/>
    <cellStyle name="常规 102 2 2 10" xfId="20037"/>
    <cellStyle name="常规 102 2 2 11" xfId="20038"/>
    <cellStyle name="常规 102 2 2 12" xfId="20039"/>
    <cellStyle name="常规 102 2 2 13" xfId="20040"/>
    <cellStyle name="常规 102 2 2 14" xfId="20041"/>
    <cellStyle name="常规 102 2 2 15" xfId="20042"/>
    <cellStyle name="常规 102 2 2 16" xfId="20043"/>
    <cellStyle name="常规 102 2 2 17" xfId="20044"/>
    <cellStyle name="常规 102 2 2 18" xfId="20045"/>
    <cellStyle name="常规 102 2 2 2" xfId="20046"/>
    <cellStyle name="常规 102 2 2 3" xfId="20047"/>
    <cellStyle name="常规 102 2 2 3 2" xfId="20048"/>
    <cellStyle name="常规 102 2 2 3 2 3" xfId="20049"/>
    <cellStyle name="汇总 2 2 10 2" xfId="20050"/>
    <cellStyle name="常规 102 2 2 3 3" xfId="20051"/>
    <cellStyle name="常规 102 2 2 4" xfId="20052"/>
    <cellStyle name="常规 106 3 4" xfId="20053"/>
    <cellStyle name="常规 111 3 4" xfId="20054"/>
    <cellStyle name="注释 2 2 4" xfId="20055"/>
    <cellStyle name="常规 102 2 2 7" xfId="20056"/>
    <cellStyle name="常规 106 3 5" xfId="20057"/>
    <cellStyle name="常规 111 3 5" xfId="20058"/>
    <cellStyle name="注释 2 2 5" xfId="20059"/>
    <cellStyle name="常规 102 2 2 8" xfId="20060"/>
    <cellStyle name="常规 106 3 6" xfId="20061"/>
    <cellStyle name="常规 111 3 6" xfId="20062"/>
    <cellStyle name="注释 2 2 6" xfId="20063"/>
    <cellStyle name="常规 102 2 2 9" xfId="20064"/>
    <cellStyle name="汇总 2 2 3 16" xfId="20065"/>
    <cellStyle name="汇总 2 2 3 21" xfId="20066"/>
    <cellStyle name="常规 102 2 3" xfId="20067"/>
    <cellStyle name="汇总 2 2 3 17" xfId="20068"/>
    <cellStyle name="常规 102 2 4" xfId="20069"/>
    <cellStyle name="汇总 2 2 3 18" xfId="20070"/>
    <cellStyle name="常规 102 2 5" xfId="20071"/>
    <cellStyle name="汇总 2 2 3 19" xfId="20072"/>
    <cellStyle name="常规 102 2 6" xfId="20073"/>
    <cellStyle name="常规 102 2 7" xfId="20074"/>
    <cellStyle name="常规 102 2 8" xfId="20075"/>
    <cellStyle name="常规 102 2 9" xfId="20076"/>
    <cellStyle name="常规 102 3" xfId="20077"/>
    <cellStyle name="常规 102 3 10" xfId="20078"/>
    <cellStyle name="常规 102 3 11" xfId="20079"/>
    <cellStyle name="常规 102 3 12" xfId="20080"/>
    <cellStyle name="常规 102 3 13" xfId="20081"/>
    <cellStyle name="常规 102 3 14" xfId="20082"/>
    <cellStyle name="常规 102 3 15" xfId="20083"/>
    <cellStyle name="常规 102 3 16" xfId="20084"/>
    <cellStyle name="常规 102 3 17" xfId="20085"/>
    <cellStyle name="常规 102 3 3 2 2" xfId="20086"/>
    <cellStyle name="常规 102 3 3 2 3" xfId="20087"/>
    <cellStyle name="常规 102 4" xfId="20088"/>
    <cellStyle name="常规 102 5" xfId="20089"/>
    <cellStyle name="输出 3 3 9" xfId="20090"/>
    <cellStyle name="常规 3 2 7" xfId="20091"/>
    <cellStyle name="常规 102 5 2 2" xfId="20092"/>
    <cellStyle name="常规 65 2 4 2 2" xfId="20093"/>
    <cellStyle name="常规 70 2 4 2 2" xfId="20094"/>
    <cellStyle name="常规 3 2 8" xfId="20095"/>
    <cellStyle name="注释 2 3 3 2 10" xfId="20096"/>
    <cellStyle name="常规 102 5 2 3" xfId="20097"/>
    <cellStyle name="常规 102 6" xfId="20098"/>
    <cellStyle name="常规 102 7" xfId="20099"/>
    <cellStyle name="常规 102 8" xfId="20100"/>
    <cellStyle name="常规 102 9" xfId="20101"/>
    <cellStyle name="汇总 3 2 8 14" xfId="20102"/>
    <cellStyle name="常规 103" xfId="20103"/>
    <cellStyle name="常规 4 8" xfId="20104"/>
    <cellStyle name="常规 103 10" xfId="20105"/>
    <cellStyle name="常规 103 11" xfId="20106"/>
    <cellStyle name="常规 103 12" xfId="20107"/>
    <cellStyle name="常规 103 13" xfId="20108"/>
    <cellStyle name="常规 103 14" xfId="20109"/>
    <cellStyle name="常规 103 15" xfId="20110"/>
    <cellStyle name="常规 103 20" xfId="20111"/>
    <cellStyle name="常规 103 16" xfId="20112"/>
    <cellStyle name="常规 103 21" xfId="20113"/>
    <cellStyle name="常规 103 17" xfId="20114"/>
    <cellStyle name="常规 103 22" xfId="20115"/>
    <cellStyle name="常规 103 18" xfId="20116"/>
    <cellStyle name="常规 103 23" xfId="20117"/>
    <cellStyle name="常规 103 2" xfId="20118"/>
    <cellStyle name="常规 103 2 17" xfId="20119"/>
    <cellStyle name="常规 103 2 18" xfId="20120"/>
    <cellStyle name="常规 103 2 19" xfId="20121"/>
    <cellStyle name="汇总 2 2 8 15" xfId="20122"/>
    <cellStyle name="常规 103 2 2" xfId="20123"/>
    <cellStyle name="常规 103 2 2 10" xfId="20124"/>
    <cellStyle name="常规 103 2 2 11" xfId="20125"/>
    <cellStyle name="常规 103 2 2 12" xfId="20126"/>
    <cellStyle name="常规 103 2 2 13" xfId="20127"/>
    <cellStyle name="常规 103 2 2 14" xfId="20128"/>
    <cellStyle name="常规 103 2 2 15" xfId="20129"/>
    <cellStyle name="常规 103 2 2 16" xfId="20130"/>
    <cellStyle name="常规 103 2 2 17" xfId="20131"/>
    <cellStyle name="常规 103 2 2 18" xfId="20132"/>
    <cellStyle name="常规 103 2 2 2" xfId="20133"/>
    <cellStyle name="常规 103 2 2 3" xfId="20134"/>
    <cellStyle name="常规 103 2 2 3 2" xfId="20135"/>
    <cellStyle name="适中 3 2 10" xfId="20136"/>
    <cellStyle name="常规 135 2 2 15" xfId="20137"/>
    <cellStyle name="常规 140 2 2 15" xfId="20138"/>
    <cellStyle name="常规 65 3 9" xfId="20139"/>
    <cellStyle name="常规 70 3 9" xfId="20140"/>
    <cellStyle name="常规 103 2 2 3 2 2" xfId="20141"/>
    <cellStyle name="常规 135 2 2 16" xfId="20142"/>
    <cellStyle name="常规 140 2 2 16" xfId="20143"/>
    <cellStyle name="常规 103 2 2 3 2 3" xfId="20144"/>
    <cellStyle name="常规 103 2 2 3 3" xfId="20145"/>
    <cellStyle name="适中 3 2 11" xfId="20146"/>
    <cellStyle name="常规 103 2 2 4" xfId="20147"/>
    <cellStyle name="常规 156 3 2" xfId="20148"/>
    <cellStyle name="常规 161 3 2" xfId="20149"/>
    <cellStyle name="常规 103 2 2 5" xfId="20150"/>
    <cellStyle name="常规 103 2 2 6" xfId="20151"/>
    <cellStyle name="常规 103 2 2 7" xfId="20152"/>
    <cellStyle name="常规 103 2 2 8" xfId="20153"/>
    <cellStyle name="常规 103 2 2 9" xfId="20154"/>
    <cellStyle name="汇总 2 2 8 16" xfId="20155"/>
    <cellStyle name="常规 103 2 3" xfId="20156"/>
    <cellStyle name="汇总 2 2 8 17" xfId="20157"/>
    <cellStyle name="常规 103 2 4" xfId="20158"/>
    <cellStyle name="汇总 2 2 8 18" xfId="20159"/>
    <cellStyle name="常规 103 2 5" xfId="20160"/>
    <cellStyle name="常规 103 2 6" xfId="20161"/>
    <cellStyle name="常规 103 2 7" xfId="20162"/>
    <cellStyle name="常规 103 2 8" xfId="20163"/>
    <cellStyle name="常规 103 2 9" xfId="20164"/>
    <cellStyle name="常规 103 3" xfId="20165"/>
    <cellStyle name="强调文字颜色 4 2 9" xfId="20166"/>
    <cellStyle name="常规 103 3 10" xfId="20167"/>
    <cellStyle name="常规 103 3 11" xfId="20168"/>
    <cellStyle name="常规 103 3 12" xfId="20169"/>
    <cellStyle name="常规 103 3 13" xfId="20170"/>
    <cellStyle name="常规 103 3 14" xfId="20171"/>
    <cellStyle name="常规 103 3 15" xfId="20172"/>
    <cellStyle name="常规 103 3 16" xfId="20173"/>
    <cellStyle name="常规 103 3 17" xfId="20174"/>
    <cellStyle name="常规 103 3 18" xfId="20175"/>
    <cellStyle name="常规 103 3 3 2 3" xfId="20176"/>
    <cellStyle name="常规 103 3 8" xfId="20177"/>
    <cellStyle name="常规 103 3 9" xfId="20178"/>
    <cellStyle name="常规 103 4" xfId="20179"/>
    <cellStyle name="常规 103 5" xfId="20180"/>
    <cellStyle name="常规 103 5 2 2" xfId="20181"/>
    <cellStyle name="常规 103 5 2 3" xfId="20182"/>
    <cellStyle name="常规 103 5 3" xfId="20183"/>
    <cellStyle name="常规 103 6" xfId="20184"/>
    <cellStyle name="常规 103 7" xfId="20185"/>
    <cellStyle name="常规 103 8" xfId="20186"/>
    <cellStyle name="常规 103 9" xfId="20187"/>
    <cellStyle name="常规 104" xfId="20188"/>
    <cellStyle name="常规 4 9" xfId="20189"/>
    <cellStyle name="常规 104 10" xfId="20190"/>
    <cellStyle name="常规 104 11" xfId="20191"/>
    <cellStyle name="常规 104 12" xfId="20192"/>
    <cellStyle name="常规 104 13" xfId="20193"/>
    <cellStyle name="常规 104 14" xfId="20194"/>
    <cellStyle name="常规 104 16" xfId="20195"/>
    <cellStyle name="常规 104 21" xfId="20196"/>
    <cellStyle name="常规 104 17" xfId="20197"/>
    <cellStyle name="常规 104 22" xfId="20198"/>
    <cellStyle name="常规 104 18" xfId="20199"/>
    <cellStyle name="常规 104 23" xfId="20200"/>
    <cellStyle name="常规 104 2" xfId="20201"/>
    <cellStyle name="常规 104 2 10" xfId="20202"/>
    <cellStyle name="常规 104 2 11" xfId="20203"/>
    <cellStyle name="常规 104 2 12" xfId="20204"/>
    <cellStyle name="常规 104 2 13" xfId="20205"/>
    <cellStyle name="常规 104 2 14" xfId="20206"/>
    <cellStyle name="常规 104 2 15" xfId="20207"/>
    <cellStyle name="常规 104 2 16" xfId="20208"/>
    <cellStyle name="常规 104 2 17" xfId="20209"/>
    <cellStyle name="常规 104 2 18" xfId="20210"/>
    <cellStyle name="常规 104 2 19" xfId="20211"/>
    <cellStyle name="常规 104 2 2" xfId="20212"/>
    <cellStyle name="常规 104 2 2 10" xfId="20213"/>
    <cellStyle name="常规 104 2 2 11" xfId="20214"/>
    <cellStyle name="常规 104 2 2 12" xfId="20215"/>
    <cellStyle name="常规 104 2 2 13" xfId="20216"/>
    <cellStyle name="常规 104 2 2 14" xfId="20217"/>
    <cellStyle name="常规 104 2 2 15" xfId="20218"/>
    <cellStyle name="常规 104 2 2 16" xfId="20219"/>
    <cellStyle name="常规 104 2 2 17" xfId="20220"/>
    <cellStyle name="汇总 2 2 3 10" xfId="20221"/>
    <cellStyle name="常规 104 2 2 18" xfId="20222"/>
    <cellStyle name="常规 104 2 2 2" xfId="20223"/>
    <cellStyle name="常规 104 2 2 3" xfId="20224"/>
    <cellStyle name="常规 104 2 2 3 2" xfId="20225"/>
    <cellStyle name="常规 129 5" xfId="20226"/>
    <cellStyle name="常规 134 5" xfId="20227"/>
    <cellStyle name="常规 104 2 2 3 2 3" xfId="20228"/>
    <cellStyle name="常规 104 2 2 3 3" xfId="20229"/>
    <cellStyle name="常规 104 2 2 4" xfId="20230"/>
    <cellStyle name="常规 104 2 2 5" xfId="20231"/>
    <cellStyle name="常规 104 2 2 6" xfId="20232"/>
    <cellStyle name="常规 104 2 2 7" xfId="20233"/>
    <cellStyle name="常规 104 2 2 8" xfId="20234"/>
    <cellStyle name="常规 104 2 3" xfId="20235"/>
    <cellStyle name="常规 104 2 4" xfId="20236"/>
    <cellStyle name="常规 49 3 5" xfId="20237"/>
    <cellStyle name="常规 54 3 5" xfId="20238"/>
    <cellStyle name="常规 79 3 3 3" xfId="20239"/>
    <cellStyle name="常规 84 3 3 3" xfId="20240"/>
    <cellStyle name="常规 104 2 4 2" xfId="20241"/>
    <cellStyle name="常规 104 2 4 2 2" xfId="20242"/>
    <cellStyle name="常规 104 2 4 2 3" xfId="20243"/>
    <cellStyle name="常规 49 3 6" xfId="20244"/>
    <cellStyle name="常规 54 3 6" xfId="20245"/>
    <cellStyle name="常规 104 2 4 3" xfId="20246"/>
    <cellStyle name="常规 104 2 5" xfId="20247"/>
    <cellStyle name="常规 104 2 6" xfId="20248"/>
    <cellStyle name="常规 104 2 7" xfId="20249"/>
    <cellStyle name="常规 104 2 8" xfId="20250"/>
    <cellStyle name="常规 104 2 9" xfId="20251"/>
    <cellStyle name="常规 104 3" xfId="20252"/>
    <cellStyle name="常规 104 3 15" xfId="20253"/>
    <cellStyle name="常规 104 3 16" xfId="20254"/>
    <cellStyle name="常规 104 3 17" xfId="20255"/>
    <cellStyle name="常规 104 3 18" xfId="20256"/>
    <cellStyle name="常规 104 3 3 2 3" xfId="20257"/>
    <cellStyle name="常规 104 4" xfId="20258"/>
    <cellStyle name="常规 104 5" xfId="20259"/>
    <cellStyle name="常规 104 5 2" xfId="20260"/>
    <cellStyle name="常规 104 5 2 2" xfId="20261"/>
    <cellStyle name="常规 104 5 3" xfId="20262"/>
    <cellStyle name="常规 104 6" xfId="20263"/>
    <cellStyle name="常规 104 7" xfId="20264"/>
    <cellStyle name="常规 104 8" xfId="20265"/>
    <cellStyle name="常规 104 9" xfId="20266"/>
    <cellStyle name="常规 105" xfId="20267"/>
    <cellStyle name="常规 110" xfId="20268"/>
    <cellStyle name="常规 105 10" xfId="20269"/>
    <cellStyle name="常规 110 10" xfId="20270"/>
    <cellStyle name="常规 105 11" xfId="20271"/>
    <cellStyle name="常规 110 11" xfId="20272"/>
    <cellStyle name="常规 105 12" xfId="20273"/>
    <cellStyle name="常规 110 12" xfId="20274"/>
    <cellStyle name="常规 105 13" xfId="20275"/>
    <cellStyle name="常规 110 13" xfId="20276"/>
    <cellStyle name="常规 105 14" xfId="20277"/>
    <cellStyle name="常规 110 14" xfId="20278"/>
    <cellStyle name="常规 105 15" xfId="20279"/>
    <cellStyle name="常规 105 20" xfId="20280"/>
    <cellStyle name="常规 110 15" xfId="20281"/>
    <cellStyle name="常规 110 20" xfId="20282"/>
    <cellStyle name="常规 105 16" xfId="20283"/>
    <cellStyle name="常规 105 21" xfId="20284"/>
    <cellStyle name="常规 110 16" xfId="20285"/>
    <cellStyle name="常规 110 21" xfId="20286"/>
    <cellStyle name="常规 105 17" xfId="20287"/>
    <cellStyle name="常规 105 22" xfId="20288"/>
    <cellStyle name="常规 110 17" xfId="20289"/>
    <cellStyle name="常规 110 22" xfId="20290"/>
    <cellStyle name="常规 105 18" xfId="20291"/>
    <cellStyle name="常规 105 23" xfId="20292"/>
    <cellStyle name="常规 110 18" xfId="20293"/>
    <cellStyle name="常规 110 23" xfId="20294"/>
    <cellStyle name="常规 105 2 10" xfId="20295"/>
    <cellStyle name="常规 110 2 10" xfId="20296"/>
    <cellStyle name="常规 105 2 11" xfId="20297"/>
    <cellStyle name="常规 110 2 11" xfId="20298"/>
    <cellStyle name="常规 105 2 12" xfId="20299"/>
    <cellStyle name="常规 110 2 12" xfId="20300"/>
    <cellStyle name="常规 105 2 13" xfId="20301"/>
    <cellStyle name="常规 110 2 13" xfId="20302"/>
    <cellStyle name="常规 105 2 14" xfId="20303"/>
    <cellStyle name="常规 110 2 14" xfId="20304"/>
    <cellStyle name="常规 105 2 15" xfId="20305"/>
    <cellStyle name="常规 110 2 15" xfId="20306"/>
    <cellStyle name="常规 105 2 16" xfId="20307"/>
    <cellStyle name="常规 110 2 16" xfId="20308"/>
    <cellStyle name="常规 105 2 17" xfId="20309"/>
    <cellStyle name="常规 110 2 17" xfId="20310"/>
    <cellStyle name="常规 105 2 18" xfId="20311"/>
    <cellStyle name="常规 110 2 18" xfId="20312"/>
    <cellStyle name="常规 105 2 19" xfId="20313"/>
    <cellStyle name="常规 110 2 19" xfId="20314"/>
    <cellStyle name="常规 105 2 2" xfId="20315"/>
    <cellStyle name="常规 110 2 2" xfId="20316"/>
    <cellStyle name="常规 105 2 2 13" xfId="20317"/>
    <cellStyle name="常规 110 2 2 13" xfId="20318"/>
    <cellStyle name="常规 105 2 2 14" xfId="20319"/>
    <cellStyle name="常规 110 2 2 14" xfId="20320"/>
    <cellStyle name="常规 105 2 2 15" xfId="20321"/>
    <cellStyle name="常规 110 2 2 15" xfId="20322"/>
    <cellStyle name="常规 105 2 2 16" xfId="20323"/>
    <cellStyle name="常规 110 2 2 16" xfId="20324"/>
    <cellStyle name="常规 105 2 2 17" xfId="20325"/>
    <cellStyle name="常规 110 2 2 17" xfId="20326"/>
    <cellStyle name="汇总 3 2 3 10" xfId="20327"/>
    <cellStyle name="常规 105 2 2 18" xfId="20328"/>
    <cellStyle name="常规 110 2 2 18" xfId="20329"/>
    <cellStyle name="常规 105 2 2 2" xfId="20330"/>
    <cellStyle name="常规 110 2 2 2" xfId="20331"/>
    <cellStyle name="常规 105 2 2 3" xfId="20332"/>
    <cellStyle name="常规 110 2 2 3" xfId="20333"/>
    <cellStyle name="常规 105 2 2 3 2 2" xfId="20334"/>
    <cellStyle name="常规 110 2 2 3 2 2" xfId="20335"/>
    <cellStyle name="常规 105 2 2 3 2 3" xfId="20336"/>
    <cellStyle name="常规 110 2 2 3 2 3" xfId="20337"/>
    <cellStyle name="常规 105 2 2 4" xfId="20338"/>
    <cellStyle name="常规 110 2 2 4" xfId="20339"/>
    <cellStyle name="常规 105 2 2 5" xfId="20340"/>
    <cellStyle name="常规 110 2 2 5" xfId="20341"/>
    <cellStyle name="常规 105 2 2 6" xfId="20342"/>
    <cellStyle name="常规 110 2 2 6" xfId="20343"/>
    <cellStyle name="常规 105 2 2 7" xfId="20344"/>
    <cellStyle name="常规 110 2 2 7" xfId="20345"/>
    <cellStyle name="常规 105 2 2 8" xfId="20346"/>
    <cellStyle name="常规 110 2 2 8" xfId="20347"/>
    <cellStyle name="常规 105 2 2 9" xfId="20348"/>
    <cellStyle name="常规 110 2 2 9" xfId="20349"/>
    <cellStyle name="常规 105 2 3" xfId="20350"/>
    <cellStyle name="常规 110 2 3" xfId="20351"/>
    <cellStyle name="常规 105 2 4" xfId="20352"/>
    <cellStyle name="常规 110 2 4" xfId="20353"/>
    <cellStyle name="常规 99 3 5" xfId="20354"/>
    <cellStyle name="常规 85 3 3 3" xfId="20355"/>
    <cellStyle name="常规 90 3 3 3" xfId="20356"/>
    <cellStyle name="常规 105 2 4 2" xfId="20357"/>
    <cellStyle name="常规 110 2 4 2" xfId="20358"/>
    <cellStyle name="常规 99 3 6" xfId="20359"/>
    <cellStyle name="常规 105 2 4 3" xfId="20360"/>
    <cellStyle name="常规 110 2 4 3" xfId="20361"/>
    <cellStyle name="常规 105 2 5" xfId="20362"/>
    <cellStyle name="常规 110 2 5" xfId="20363"/>
    <cellStyle name="常规 105 2 6" xfId="20364"/>
    <cellStyle name="常规 110 2 6" xfId="20365"/>
    <cellStyle name="常规 105 2 7" xfId="20366"/>
    <cellStyle name="常规 110 2 7" xfId="20367"/>
    <cellStyle name="常规 105 2 8" xfId="20368"/>
    <cellStyle name="常规 110 2 8" xfId="20369"/>
    <cellStyle name="常规 105 2 9" xfId="20370"/>
    <cellStyle name="常规 110 2 9" xfId="20371"/>
    <cellStyle name="常规 105 3 16" xfId="20372"/>
    <cellStyle name="常规 110 3 16" xfId="20373"/>
    <cellStyle name="常规 105 3 3 2" xfId="20374"/>
    <cellStyle name="常规 110 3 3 2" xfId="20375"/>
    <cellStyle name="常规 105 3 3 3" xfId="20376"/>
    <cellStyle name="常规 110 3 3 3" xfId="20377"/>
    <cellStyle name="常规 105 3 7" xfId="20378"/>
    <cellStyle name="常规 110 3 7" xfId="20379"/>
    <cellStyle name="常规 105 5 2" xfId="20380"/>
    <cellStyle name="常规 110 5 2" xfId="20381"/>
    <cellStyle name="常规 105 5 2 3" xfId="20382"/>
    <cellStyle name="常规 110 5 2 3" xfId="20383"/>
    <cellStyle name="常规 105 5 3" xfId="20384"/>
    <cellStyle name="常规 110 5 3" xfId="20385"/>
    <cellStyle name="常规 105 7" xfId="20386"/>
    <cellStyle name="常规 110 7" xfId="20387"/>
    <cellStyle name="常规 105 8" xfId="20388"/>
    <cellStyle name="常规 110 8" xfId="20389"/>
    <cellStyle name="常规 106" xfId="20390"/>
    <cellStyle name="常规 111" xfId="20391"/>
    <cellStyle name="常规 106 16" xfId="20392"/>
    <cellStyle name="常规 106 21" xfId="20393"/>
    <cellStyle name="常规 111 16" xfId="20394"/>
    <cellStyle name="常规 111 21" xfId="20395"/>
    <cellStyle name="常规 106 17" xfId="20396"/>
    <cellStyle name="常规 106 22" xfId="20397"/>
    <cellStyle name="常规 111 17" xfId="20398"/>
    <cellStyle name="常规 111 22" xfId="20399"/>
    <cellStyle name="常规 106 18" xfId="20400"/>
    <cellStyle name="常规 106 23" xfId="20401"/>
    <cellStyle name="常规 111 18" xfId="20402"/>
    <cellStyle name="常规 111 23" xfId="20403"/>
    <cellStyle name="常规 106 2" xfId="20404"/>
    <cellStyle name="常规 111 2" xfId="20405"/>
    <cellStyle name="常规 106 2 10" xfId="20406"/>
    <cellStyle name="常规 111 2 10" xfId="20407"/>
    <cellStyle name="常规 106 2 11" xfId="20408"/>
    <cellStyle name="常规 111 2 11" xfId="20409"/>
    <cellStyle name="常规 106 2 12" xfId="20410"/>
    <cellStyle name="常规 111 2 12" xfId="20411"/>
    <cellStyle name="常规 106 2 15" xfId="20412"/>
    <cellStyle name="常规 111 2 15" xfId="20413"/>
    <cellStyle name="常规 106 2 16" xfId="20414"/>
    <cellStyle name="常规 111 2 16" xfId="20415"/>
    <cellStyle name="常规 106 2 17" xfId="20416"/>
    <cellStyle name="常规 111 2 17" xfId="20417"/>
    <cellStyle name="常规 106 2 2" xfId="20418"/>
    <cellStyle name="常规 111 2 2" xfId="20419"/>
    <cellStyle name="常规 106 2 2 10" xfId="20420"/>
    <cellStyle name="常规 111 2 2 10" xfId="20421"/>
    <cellStyle name="常规 106 2 2 11" xfId="20422"/>
    <cellStyle name="常规 111 2 2 11" xfId="20423"/>
    <cellStyle name="常规 106 2 2 12" xfId="20424"/>
    <cellStyle name="常规 111 2 2 12" xfId="20425"/>
    <cellStyle name="常规 106 2 2 13" xfId="20426"/>
    <cellStyle name="常规 111 2 2 13" xfId="20427"/>
    <cellStyle name="常规 106 2 2 14" xfId="20428"/>
    <cellStyle name="常规 111 2 2 14" xfId="20429"/>
    <cellStyle name="常规 106 2 2 17" xfId="20430"/>
    <cellStyle name="常规 111 2 2 17" xfId="20431"/>
    <cellStyle name="常规 106 2 2 18" xfId="20432"/>
    <cellStyle name="常规 111 2 2 18" xfId="20433"/>
    <cellStyle name="常规 106 2 2 2" xfId="20434"/>
    <cellStyle name="常规 111 2 2 2" xfId="20435"/>
    <cellStyle name="常规 106 2 2 3" xfId="20436"/>
    <cellStyle name="常规 111 2 2 3" xfId="20437"/>
    <cellStyle name="常规 106 2 2 3 2" xfId="20438"/>
    <cellStyle name="常规 111 2 2 3 2" xfId="20439"/>
    <cellStyle name="常规 106 2 2 3 2 2" xfId="20440"/>
    <cellStyle name="常规 111 2 2 3 2 2" xfId="20441"/>
    <cellStyle name="常规 106 2 2 3 2 3" xfId="20442"/>
    <cellStyle name="常规 111 2 2 3 2 3" xfId="20443"/>
    <cellStyle name="常规 106 2 2 3 3" xfId="20444"/>
    <cellStyle name="常规 111 2 2 3 3" xfId="20445"/>
    <cellStyle name="常规 106 2 2 4" xfId="20446"/>
    <cellStyle name="常规 111 2 2 4" xfId="20447"/>
    <cellStyle name="常规 106 2 2 5" xfId="20448"/>
    <cellStyle name="常规 111 2 2 5" xfId="20449"/>
    <cellStyle name="常规 106 2 2 6" xfId="20450"/>
    <cellStyle name="常规 111 2 2 6" xfId="20451"/>
    <cellStyle name="常规 106 2 2 7" xfId="20452"/>
    <cellStyle name="常规 111 2 2 7" xfId="20453"/>
    <cellStyle name="常规 106 2 2 8" xfId="20454"/>
    <cellStyle name="常规 111 2 2 8" xfId="20455"/>
    <cellStyle name="常规 106 2 2 9" xfId="20456"/>
    <cellStyle name="常规 111 2 2 9" xfId="20457"/>
    <cellStyle name="常规 106 2 3" xfId="20458"/>
    <cellStyle name="常规 111 2 3" xfId="20459"/>
    <cellStyle name="常规 106 2 4" xfId="20460"/>
    <cellStyle name="常规 111 2 4" xfId="20461"/>
    <cellStyle name="常规 86 3 3 3" xfId="20462"/>
    <cellStyle name="常规 91 3 3 3" xfId="20463"/>
    <cellStyle name="常规 106 2 4 2" xfId="20464"/>
    <cellStyle name="常规 111 2 4 2" xfId="20465"/>
    <cellStyle name="常规 106 2 4 2 2" xfId="20466"/>
    <cellStyle name="常规 111 2 4 2 2" xfId="20467"/>
    <cellStyle name="常规 106 2 4 2 3" xfId="20468"/>
    <cellStyle name="常规 111 2 4 2 3" xfId="20469"/>
    <cellStyle name="常规 106 2 4 3" xfId="20470"/>
    <cellStyle name="常规 111 2 4 3" xfId="20471"/>
    <cellStyle name="常规 106 2 5" xfId="20472"/>
    <cellStyle name="常规 111 2 5" xfId="20473"/>
    <cellStyle name="常规 106 2 6" xfId="20474"/>
    <cellStyle name="常规 111 2 6" xfId="20475"/>
    <cellStyle name="常规 106 2 7" xfId="20476"/>
    <cellStyle name="常规 111 2 7" xfId="20477"/>
    <cellStyle name="常规 106 2 8" xfId="20478"/>
    <cellStyle name="常规 111 2 8" xfId="20479"/>
    <cellStyle name="常规 106 2 9" xfId="20480"/>
    <cellStyle name="常规 111 2 9" xfId="20481"/>
    <cellStyle name="常规 106 3 10" xfId="20482"/>
    <cellStyle name="常规 111 3 10" xfId="20483"/>
    <cellStyle name="常规 8 5 2" xfId="20484"/>
    <cellStyle name="常规 106 3 11" xfId="20485"/>
    <cellStyle name="常规 111 3 11" xfId="20486"/>
    <cellStyle name="常规 8 5 3" xfId="20487"/>
    <cellStyle name="常规 106 3 12" xfId="20488"/>
    <cellStyle name="常规 111 3 12" xfId="20489"/>
    <cellStyle name="常规 106 3 13" xfId="20490"/>
    <cellStyle name="常规 111 3 13" xfId="20491"/>
    <cellStyle name="常规 106 3 14" xfId="20492"/>
    <cellStyle name="常规 111 3 14" xfId="20493"/>
    <cellStyle name="常规 106 3 15" xfId="20494"/>
    <cellStyle name="常规 111 3 15" xfId="20495"/>
    <cellStyle name="注释 2 2 3 2" xfId="20496"/>
    <cellStyle name="常规 13 3 13" xfId="20497"/>
    <cellStyle name="常规 106 3 3 2" xfId="20498"/>
    <cellStyle name="常规 111 3 3 2" xfId="20499"/>
    <cellStyle name="注释 2 2 3 2 2" xfId="20500"/>
    <cellStyle name="常规 158 7" xfId="20501"/>
    <cellStyle name="常规 163 7" xfId="20502"/>
    <cellStyle name="常规 106 3 3 2 2" xfId="20503"/>
    <cellStyle name="常规 111 3 3 2 2" xfId="20504"/>
    <cellStyle name="注释 2 2 3 2 3" xfId="20505"/>
    <cellStyle name="常规 158 8" xfId="20506"/>
    <cellStyle name="常规 163 8" xfId="20507"/>
    <cellStyle name="常规 106 3 3 2 3" xfId="20508"/>
    <cellStyle name="常规 111 3 3 2 3" xfId="20509"/>
    <cellStyle name="注释 2 2 3 3" xfId="20510"/>
    <cellStyle name="常规 13 3 14" xfId="20511"/>
    <cellStyle name="汇总 2 2 13 2" xfId="20512"/>
    <cellStyle name="常规 106 3 3 3" xfId="20513"/>
    <cellStyle name="常规 111 3 3 3" xfId="20514"/>
    <cellStyle name="常规 106 3 7" xfId="20515"/>
    <cellStyle name="常规 111 3 7" xfId="20516"/>
    <cellStyle name="常规 106 3 8" xfId="20517"/>
    <cellStyle name="常规 111 3 8" xfId="20518"/>
    <cellStyle name="常规 106 3 9" xfId="20519"/>
    <cellStyle name="常规 111 3 9" xfId="20520"/>
    <cellStyle name="常规 106 5" xfId="20521"/>
    <cellStyle name="常规 111 5" xfId="20522"/>
    <cellStyle name="常规 106 6" xfId="20523"/>
    <cellStyle name="常规 111 6" xfId="20524"/>
    <cellStyle name="常规 106 7" xfId="20525"/>
    <cellStyle name="常规 111 7" xfId="20526"/>
    <cellStyle name="常规 106 8" xfId="20527"/>
    <cellStyle name="常规 111 8" xfId="20528"/>
    <cellStyle name="常规 106 9" xfId="20529"/>
    <cellStyle name="常规 111 9" xfId="20530"/>
    <cellStyle name="常规 107" xfId="20531"/>
    <cellStyle name="常规 112" xfId="20532"/>
    <cellStyle name="常规 107 10" xfId="20533"/>
    <cellStyle name="常规 112 10" xfId="20534"/>
    <cellStyle name="常规 107 11" xfId="20535"/>
    <cellStyle name="常规 112 11" xfId="20536"/>
    <cellStyle name="常规 107 12" xfId="20537"/>
    <cellStyle name="常规 112 12" xfId="20538"/>
    <cellStyle name="常规 107 15" xfId="20539"/>
    <cellStyle name="常规 107 20" xfId="20540"/>
    <cellStyle name="常规 112 15" xfId="20541"/>
    <cellStyle name="常规 112 20" xfId="20542"/>
    <cellStyle name="常规 107 16" xfId="20543"/>
    <cellStyle name="常规 107 21" xfId="20544"/>
    <cellStyle name="常规 112 16" xfId="20545"/>
    <cellStyle name="常规 112 21" xfId="20546"/>
    <cellStyle name="常规 107 17" xfId="20547"/>
    <cellStyle name="常规 107 22" xfId="20548"/>
    <cellStyle name="常规 112 17" xfId="20549"/>
    <cellStyle name="常规 112 22" xfId="20550"/>
    <cellStyle name="常规 48 2 2 3 2" xfId="20551"/>
    <cellStyle name="常规 53 2 2 3 2" xfId="20552"/>
    <cellStyle name="常规 107 18" xfId="20553"/>
    <cellStyle name="常规 107 23" xfId="20554"/>
    <cellStyle name="常规 112 18" xfId="20555"/>
    <cellStyle name="常规 112 23" xfId="20556"/>
    <cellStyle name="常规 107 2" xfId="20557"/>
    <cellStyle name="常规 112 2" xfId="20558"/>
    <cellStyle name="汇总 2 3 3 15" xfId="20559"/>
    <cellStyle name="汇总 2 3 3 20" xfId="20560"/>
    <cellStyle name="常规 107 2 2" xfId="20561"/>
    <cellStyle name="常规 112 2 2" xfId="20562"/>
    <cellStyle name="常规 107 2 2 10" xfId="20563"/>
    <cellStyle name="常规 112 2 2 10" xfId="20564"/>
    <cellStyle name="常规 107 2 2 11" xfId="20565"/>
    <cellStyle name="常规 112 2 2 11" xfId="20566"/>
    <cellStyle name="常规 107 2 2 12" xfId="20567"/>
    <cellStyle name="常规 112 2 2 12" xfId="20568"/>
    <cellStyle name="常规 107 2 2 13" xfId="20569"/>
    <cellStyle name="常规 112 2 2 13" xfId="20570"/>
    <cellStyle name="输出 4 2 2" xfId="20571"/>
    <cellStyle name="常规 107 2 2 14" xfId="20572"/>
    <cellStyle name="常规 112 2 2 14" xfId="20573"/>
    <cellStyle name="输出 4 2 3" xfId="20574"/>
    <cellStyle name="常规 107 2 2 15" xfId="20575"/>
    <cellStyle name="常规 112 2 2 15" xfId="20576"/>
    <cellStyle name="输出 4 2 4" xfId="20577"/>
    <cellStyle name="常规 107 2 2 16" xfId="20578"/>
    <cellStyle name="常规 112 2 2 16" xfId="20579"/>
    <cellStyle name="输出 4 2 5" xfId="20580"/>
    <cellStyle name="常规 107 2 2 17" xfId="20581"/>
    <cellStyle name="常规 112 2 2 17" xfId="20582"/>
    <cellStyle name="输出 4 2 6" xfId="20583"/>
    <cellStyle name="常规 107 2 2 18" xfId="20584"/>
    <cellStyle name="常规 112 2 2 18" xfId="20585"/>
    <cellStyle name="常规 107 2 2 2" xfId="20586"/>
    <cellStyle name="常规 112 2 2 2" xfId="20587"/>
    <cellStyle name="常规 107 2 2 3" xfId="20588"/>
    <cellStyle name="常规 112 2 2 3" xfId="20589"/>
    <cellStyle name="常规 107 2 2 3 2" xfId="20590"/>
    <cellStyle name="常规 112 2 2 3 2" xfId="20591"/>
    <cellStyle name="常规 107 2 2 3 2 2" xfId="20592"/>
    <cellStyle name="常规 112 2 2 3 2 2" xfId="20593"/>
    <cellStyle name="常规 107 2 2 3 2 3" xfId="20594"/>
    <cellStyle name="常规 112 2 2 3 2 3" xfId="20595"/>
    <cellStyle name="常规 107 2 2 3 3" xfId="20596"/>
    <cellStyle name="常规 112 2 2 3 3" xfId="20597"/>
    <cellStyle name="常规 107 2 2 4" xfId="20598"/>
    <cellStyle name="常规 112 2 2 4" xfId="20599"/>
    <cellStyle name="常规 107 2 2 5" xfId="20600"/>
    <cellStyle name="常规 112 2 2 5" xfId="20601"/>
    <cellStyle name="常规 107 2 2 6" xfId="20602"/>
    <cellStyle name="常规 112 2 2 6" xfId="20603"/>
    <cellStyle name="常规 107 2 2 7" xfId="20604"/>
    <cellStyle name="常规 112 2 2 7" xfId="20605"/>
    <cellStyle name="常规 107 2 2 8" xfId="20606"/>
    <cellStyle name="常规 112 2 2 8" xfId="20607"/>
    <cellStyle name="常规 107 2 2 9" xfId="20608"/>
    <cellStyle name="常规 112 2 2 9" xfId="20609"/>
    <cellStyle name="汇总 2 3 3 16" xfId="20610"/>
    <cellStyle name="汇总 2 3 3 21" xfId="20611"/>
    <cellStyle name="常规 107 2 3" xfId="20612"/>
    <cellStyle name="常规 112 2 3" xfId="20613"/>
    <cellStyle name="汇总 2 3 3 17" xfId="20614"/>
    <cellStyle name="常规 107 2 4" xfId="20615"/>
    <cellStyle name="常规 112 2 4" xfId="20616"/>
    <cellStyle name="汇总 2 3 3 18" xfId="20617"/>
    <cellStyle name="常规 107 2 5" xfId="20618"/>
    <cellStyle name="常规 112 2 5" xfId="20619"/>
    <cellStyle name="常规 107 3" xfId="20620"/>
    <cellStyle name="常规 112 3" xfId="20621"/>
    <cellStyle name="常规 107 3 10" xfId="20622"/>
    <cellStyle name="常规 112 3 10" xfId="20623"/>
    <cellStyle name="常规 107 3 11" xfId="20624"/>
    <cellStyle name="常规 112 3 11" xfId="20625"/>
    <cellStyle name="常规 107 3 12" xfId="20626"/>
    <cellStyle name="常规 112 3 12" xfId="20627"/>
    <cellStyle name="常规 107 3 13" xfId="20628"/>
    <cellStyle name="常规 112 3 13" xfId="20629"/>
    <cellStyle name="常规 107 3 14" xfId="20630"/>
    <cellStyle name="常规 112 3 14" xfId="20631"/>
    <cellStyle name="常规 107 3 15" xfId="20632"/>
    <cellStyle name="常规 112 3 15" xfId="20633"/>
    <cellStyle name="常规 107 3 3 2 2" xfId="20634"/>
    <cellStyle name="常规 112 3 3 2 2" xfId="20635"/>
    <cellStyle name="常规 107 3 3 2 3" xfId="20636"/>
    <cellStyle name="常规 112 3 3 2 3" xfId="20637"/>
    <cellStyle name="常规 107 4" xfId="20638"/>
    <cellStyle name="常规 112 4" xfId="20639"/>
    <cellStyle name="常规 107 5" xfId="20640"/>
    <cellStyle name="常规 112 5" xfId="20641"/>
    <cellStyle name="常规 107 6" xfId="20642"/>
    <cellStyle name="常规 112 6" xfId="20643"/>
    <cellStyle name="常规 107 7" xfId="20644"/>
    <cellStyle name="常规 112 7" xfId="20645"/>
    <cellStyle name="常规 107 8" xfId="20646"/>
    <cellStyle name="常规 112 8" xfId="20647"/>
    <cellStyle name="常规 107 9" xfId="20648"/>
    <cellStyle name="常规 112 9" xfId="20649"/>
    <cellStyle name="常规 108" xfId="20650"/>
    <cellStyle name="常规 113" xfId="20651"/>
    <cellStyle name="输出 2 12" xfId="20652"/>
    <cellStyle name="常规 108 10" xfId="20653"/>
    <cellStyle name="常规 113 10" xfId="20654"/>
    <cellStyle name="输出 2 13" xfId="20655"/>
    <cellStyle name="常规 108 11" xfId="20656"/>
    <cellStyle name="常规 113 11" xfId="20657"/>
    <cellStyle name="输出 2 14" xfId="20658"/>
    <cellStyle name="常规 108 12" xfId="20659"/>
    <cellStyle name="常规 113 12" xfId="20660"/>
    <cellStyle name="输出 2 15" xfId="20661"/>
    <cellStyle name="输出 2 20" xfId="20662"/>
    <cellStyle name="常规 108 13" xfId="20663"/>
    <cellStyle name="常规 113 13" xfId="20664"/>
    <cellStyle name="输出 2 16" xfId="20665"/>
    <cellStyle name="输出 2 21" xfId="20666"/>
    <cellStyle name="常规 108 14" xfId="20667"/>
    <cellStyle name="常规 113 14" xfId="20668"/>
    <cellStyle name="常规 108 2" xfId="20669"/>
    <cellStyle name="常规 113 2" xfId="20670"/>
    <cellStyle name="计算 3 2 4 2 9" xfId="20671"/>
    <cellStyle name="常规 108 2 10" xfId="20672"/>
    <cellStyle name="常规 113 2 10" xfId="20673"/>
    <cellStyle name="计算 3 2 12 10" xfId="20674"/>
    <cellStyle name="常规 108 2 11" xfId="20675"/>
    <cellStyle name="常规 113 2 11" xfId="20676"/>
    <cellStyle name="计算 3 2 12 11" xfId="20677"/>
    <cellStyle name="常规 108 2 12" xfId="20678"/>
    <cellStyle name="常规 113 2 12" xfId="20679"/>
    <cellStyle name="计算 3 2 12 12" xfId="20680"/>
    <cellStyle name="常规 108 2 13" xfId="20681"/>
    <cellStyle name="常规 113 2 13" xfId="20682"/>
    <cellStyle name="计算 3 2 12 13" xfId="20683"/>
    <cellStyle name="常规 108 2 14" xfId="20684"/>
    <cellStyle name="常规 113 2 14" xfId="20685"/>
    <cellStyle name="计算 3 2 12 14" xfId="20686"/>
    <cellStyle name="常规 108 2 15" xfId="20687"/>
    <cellStyle name="常规 113 2 15" xfId="20688"/>
    <cellStyle name="常规 108 2 16" xfId="20689"/>
    <cellStyle name="常规 113 2 16" xfId="20690"/>
    <cellStyle name="常规 108 2 17" xfId="20691"/>
    <cellStyle name="常规 113 2 17" xfId="20692"/>
    <cellStyle name="常规 108 2 18" xfId="20693"/>
    <cellStyle name="常规 113 2 18" xfId="20694"/>
    <cellStyle name="常规 108 2 19" xfId="20695"/>
    <cellStyle name="常规 113 2 19" xfId="20696"/>
    <cellStyle name="常规 108 2 2" xfId="20697"/>
    <cellStyle name="常规 113 2 2" xfId="20698"/>
    <cellStyle name="常规 108 2 2 2" xfId="20699"/>
    <cellStyle name="常规 113 2 2 2" xfId="20700"/>
    <cellStyle name="常规 108 2 2 3" xfId="20701"/>
    <cellStyle name="常规 113 2 2 3" xfId="20702"/>
    <cellStyle name="常规 108 2 2 3 2" xfId="20703"/>
    <cellStyle name="常规 113 2 2 3 2" xfId="20704"/>
    <cellStyle name="注释 3 2 6 13" xfId="20705"/>
    <cellStyle name="常规 108 2 2 3 2 3" xfId="20706"/>
    <cellStyle name="常规 113 2 2 3 2 3" xfId="20707"/>
    <cellStyle name="常规 108 2 2 3 3" xfId="20708"/>
    <cellStyle name="常规 113 2 2 3 3" xfId="20709"/>
    <cellStyle name="常规 108 2 2 4" xfId="20710"/>
    <cellStyle name="常规 113 2 2 4" xfId="20711"/>
    <cellStyle name="常规 108 2 2 6" xfId="20712"/>
    <cellStyle name="常规 113 2 2 6" xfId="20713"/>
    <cellStyle name="计算 3 2 12 2 2" xfId="20714"/>
    <cellStyle name="常规 108 2 2 7" xfId="20715"/>
    <cellStyle name="常规 113 2 2 7" xfId="20716"/>
    <cellStyle name="计算 3 2 12 2 3" xfId="20717"/>
    <cellStyle name="常规 108 2 2 8" xfId="20718"/>
    <cellStyle name="常规 113 2 2 8" xfId="20719"/>
    <cellStyle name="计算 3 2 12 2 4" xfId="20720"/>
    <cellStyle name="常规 108 2 2 9" xfId="20721"/>
    <cellStyle name="常规 113 2 2 9" xfId="20722"/>
    <cellStyle name="常规 108 2 3" xfId="20723"/>
    <cellStyle name="常规 113 2 3" xfId="20724"/>
    <cellStyle name="常规 108 2 4" xfId="20725"/>
    <cellStyle name="常规 113 2 4" xfId="20726"/>
    <cellStyle name="常规 108 2 4 2 2" xfId="20727"/>
    <cellStyle name="常规 113 2 4 2 2" xfId="20728"/>
    <cellStyle name="常规 108 2 4 2 3" xfId="20729"/>
    <cellStyle name="常规 113 2 4 2 3" xfId="20730"/>
    <cellStyle name="汇总 2 2 8 2 2" xfId="20731"/>
    <cellStyle name="常规 108 2 4 3" xfId="20732"/>
    <cellStyle name="常规 113 2 4 3" xfId="20733"/>
    <cellStyle name="常规 108 2 5" xfId="20734"/>
    <cellStyle name="常规 113 2 5" xfId="20735"/>
    <cellStyle name="常规 108 2 6" xfId="20736"/>
    <cellStyle name="常规 113 2 6" xfId="20737"/>
    <cellStyle name="常规 108 2 7" xfId="20738"/>
    <cellStyle name="常规 113 2 7" xfId="20739"/>
    <cellStyle name="常规 108 2 8" xfId="20740"/>
    <cellStyle name="常规 113 2 8" xfId="20741"/>
    <cellStyle name="常规 108 2 9" xfId="20742"/>
    <cellStyle name="常规 113 2 9" xfId="20743"/>
    <cellStyle name="常规 108 3" xfId="20744"/>
    <cellStyle name="常规 113 3" xfId="20745"/>
    <cellStyle name="常规 108 3 10" xfId="20746"/>
    <cellStyle name="常规 113 3 10" xfId="20747"/>
    <cellStyle name="注释 4 2 11" xfId="20748"/>
    <cellStyle name="计算 3 2 13 10" xfId="20749"/>
    <cellStyle name="常规 108 3 11" xfId="20750"/>
    <cellStyle name="常规 113 3 11" xfId="20751"/>
    <cellStyle name="注释 4 2 12" xfId="20752"/>
    <cellStyle name="计算 3 2 13 11" xfId="20753"/>
    <cellStyle name="常规 108 3 12" xfId="20754"/>
    <cellStyle name="常规 113 3 12" xfId="20755"/>
    <cellStyle name="注释 4 2 13" xfId="20756"/>
    <cellStyle name="计算 3 2 13 12" xfId="20757"/>
    <cellStyle name="常规 108 3 13" xfId="20758"/>
    <cellStyle name="常规 113 3 13" xfId="20759"/>
    <cellStyle name="常规 108 3 14" xfId="20760"/>
    <cellStyle name="常规 113 3 14" xfId="20761"/>
    <cellStyle name="常规 79 2 4 2 2" xfId="20762"/>
    <cellStyle name="常规 84 2 4 2 2" xfId="20763"/>
    <cellStyle name="常规 108 3 15" xfId="20764"/>
    <cellStyle name="常规 113 3 15" xfId="20765"/>
    <cellStyle name="常规 79 2 4 2 3" xfId="20766"/>
    <cellStyle name="常规 84 2 4 2 3" xfId="20767"/>
    <cellStyle name="常规 108 3 16" xfId="20768"/>
    <cellStyle name="常规 113 3 16" xfId="20769"/>
    <cellStyle name="常规 108 3 17" xfId="20770"/>
    <cellStyle name="常规 113 3 17" xfId="20771"/>
    <cellStyle name="常规 108 3 18" xfId="20772"/>
    <cellStyle name="常规 113 3 18" xfId="20773"/>
    <cellStyle name="注释 4 2 3 2" xfId="20774"/>
    <cellStyle name="常规 28 3 13" xfId="20775"/>
    <cellStyle name="常规 33 3 13" xfId="20776"/>
    <cellStyle name="常规 108 3 3 2" xfId="20777"/>
    <cellStyle name="常规 113 3 3 2" xfId="20778"/>
    <cellStyle name="注释 4 2 3 3" xfId="20779"/>
    <cellStyle name="常规 28 3 14" xfId="20780"/>
    <cellStyle name="常规 33 3 14" xfId="20781"/>
    <cellStyle name="常规 108 3 3 3" xfId="20782"/>
    <cellStyle name="常规 113 3 3 3" xfId="20783"/>
    <cellStyle name="常规 108 4" xfId="20784"/>
    <cellStyle name="常规 113 4" xfId="20785"/>
    <cellStyle name="常规 108 5" xfId="20786"/>
    <cellStyle name="常规 113 5" xfId="20787"/>
    <cellStyle name="常规 108 6" xfId="20788"/>
    <cellStyle name="常规 113 6" xfId="20789"/>
    <cellStyle name="注释 2 2 2 2 2" xfId="20790"/>
    <cellStyle name="常规 108 7" xfId="20791"/>
    <cellStyle name="常规 113 7" xfId="20792"/>
    <cellStyle name="注释 2 2 2 2 3" xfId="20793"/>
    <cellStyle name="常规 108 8" xfId="20794"/>
    <cellStyle name="常规 113 8" xfId="20795"/>
    <cellStyle name="注释 2 2 2 2 4" xfId="20796"/>
    <cellStyle name="常规 108 9" xfId="20797"/>
    <cellStyle name="常规 113 9" xfId="20798"/>
    <cellStyle name="常规 109" xfId="20799"/>
    <cellStyle name="常规 114" xfId="20800"/>
    <cellStyle name="注释 2 3 3 2 7" xfId="20801"/>
    <cellStyle name="输出 3 12" xfId="20802"/>
    <cellStyle name="常规 109 10" xfId="20803"/>
    <cellStyle name="常规 114 10" xfId="20804"/>
    <cellStyle name="注释 2 3 3 2 8" xfId="20805"/>
    <cellStyle name="输出 3 13" xfId="20806"/>
    <cellStyle name="常规 109 11" xfId="20807"/>
    <cellStyle name="常规 114 11" xfId="20808"/>
    <cellStyle name="注释 2 3 3 2 9" xfId="20809"/>
    <cellStyle name="输出 3 14" xfId="20810"/>
    <cellStyle name="常规 109 12" xfId="20811"/>
    <cellStyle name="常规 114 12" xfId="20812"/>
    <cellStyle name="输出 3 15" xfId="20813"/>
    <cellStyle name="输出 3 20" xfId="20814"/>
    <cellStyle name="常规 109 13" xfId="20815"/>
    <cellStyle name="常规 114 13" xfId="20816"/>
    <cellStyle name="输出 3 16" xfId="20817"/>
    <cellStyle name="输出 3 21" xfId="20818"/>
    <cellStyle name="常规 109 14" xfId="20819"/>
    <cellStyle name="常规 114 14" xfId="20820"/>
    <cellStyle name="输出 3 17" xfId="20821"/>
    <cellStyle name="输出 3 22" xfId="20822"/>
    <cellStyle name="常规 109 15" xfId="20823"/>
    <cellStyle name="常规 109 20" xfId="20824"/>
    <cellStyle name="常规 114 15" xfId="20825"/>
    <cellStyle name="常规 114 20" xfId="20826"/>
    <cellStyle name="输出 3 18" xfId="20827"/>
    <cellStyle name="输出 3 23" xfId="20828"/>
    <cellStyle name="常规 109 16" xfId="20829"/>
    <cellStyle name="常规 109 21" xfId="20830"/>
    <cellStyle name="常规 114 16" xfId="20831"/>
    <cellStyle name="常规 114 21" xfId="20832"/>
    <cellStyle name="输出 3 19" xfId="20833"/>
    <cellStyle name="输出 3 24" xfId="20834"/>
    <cellStyle name="常规 109 17" xfId="20835"/>
    <cellStyle name="常规 109 22" xfId="20836"/>
    <cellStyle name="常规 114 17" xfId="20837"/>
    <cellStyle name="常规 114 22" xfId="20838"/>
    <cellStyle name="输出 3 25" xfId="20839"/>
    <cellStyle name="常规 109 18" xfId="20840"/>
    <cellStyle name="常规 109 23" xfId="20841"/>
    <cellStyle name="常规 114 18" xfId="20842"/>
    <cellStyle name="常规 114 23" xfId="20843"/>
    <cellStyle name="输出 3 26" xfId="20844"/>
    <cellStyle name="常规 109 19" xfId="20845"/>
    <cellStyle name="常规 114 19" xfId="20846"/>
    <cellStyle name="常规 109 2 10" xfId="20847"/>
    <cellStyle name="常规 114 2 10" xfId="20848"/>
    <cellStyle name="千位分隔 3 2 2" xfId="20849"/>
    <cellStyle name="计算 3 2 9 2 9" xfId="20850"/>
    <cellStyle name="常规 109 2 11" xfId="20851"/>
    <cellStyle name="常规 114 2 11" xfId="20852"/>
    <cellStyle name="千位分隔 3 2 3" xfId="20853"/>
    <cellStyle name="常规 109 2 12" xfId="20854"/>
    <cellStyle name="常规 114 2 12" xfId="20855"/>
    <cellStyle name="千位分隔 3 2 4" xfId="20856"/>
    <cellStyle name="常规 109 2 13" xfId="20857"/>
    <cellStyle name="常规 114 2 13" xfId="20858"/>
    <cellStyle name="千位分隔 3 2 5" xfId="20859"/>
    <cellStyle name="常规 109 2 14" xfId="20860"/>
    <cellStyle name="常规 114 2 14" xfId="20861"/>
    <cellStyle name="千位分隔 3 2 6" xfId="20862"/>
    <cellStyle name="常规 109 2 15" xfId="20863"/>
    <cellStyle name="常规 114 2 15" xfId="20864"/>
    <cellStyle name="千位分隔 3 2 7" xfId="20865"/>
    <cellStyle name="常规 109 2 16" xfId="20866"/>
    <cellStyle name="常规 114 2 16" xfId="20867"/>
    <cellStyle name="千位分隔 3 2 8" xfId="20868"/>
    <cellStyle name="常规 109 2 17" xfId="20869"/>
    <cellStyle name="常规 114 2 17" xfId="20870"/>
    <cellStyle name="千位分隔 3 2 9" xfId="20871"/>
    <cellStyle name="常规 109 2 18" xfId="20872"/>
    <cellStyle name="常规 114 2 18" xfId="20873"/>
    <cellStyle name="常规 109 2 19" xfId="20874"/>
    <cellStyle name="常规 114 2 19" xfId="20875"/>
    <cellStyle name="常规 109 2 2" xfId="20876"/>
    <cellStyle name="常规 114 2 2" xfId="20877"/>
    <cellStyle name="汇总 2 2 7 2 4" xfId="20878"/>
    <cellStyle name="常规 109 2 2 10" xfId="20879"/>
    <cellStyle name="常规 114 2 2 10" xfId="20880"/>
    <cellStyle name="输入 2 2 12 2 3" xfId="20881"/>
    <cellStyle name="常规 109 2 2 2" xfId="20882"/>
    <cellStyle name="常规 114 2 2 2" xfId="20883"/>
    <cellStyle name="计算 3 2 11 10" xfId="20884"/>
    <cellStyle name="输入 2 2 12 2 4" xfId="20885"/>
    <cellStyle name="常规 109 2 2 3" xfId="20886"/>
    <cellStyle name="常规 114 2 2 3" xfId="20887"/>
    <cellStyle name="计算 3 2 11 11" xfId="20888"/>
    <cellStyle name="常规 109 2 2 3 2" xfId="20889"/>
    <cellStyle name="常规 114 2 2 3 2" xfId="20890"/>
    <cellStyle name="常规 109 2 2 3 2 2" xfId="20891"/>
    <cellStyle name="常规 114 2 2 3 2 2" xfId="20892"/>
    <cellStyle name="常规 127 2 2" xfId="20893"/>
    <cellStyle name="常规 132 2 2" xfId="20894"/>
    <cellStyle name="常规 109 2 2 3 2 3" xfId="20895"/>
    <cellStyle name="常规 114 2 2 3 2 3" xfId="20896"/>
    <cellStyle name="常规 109 2 2 3 3" xfId="20897"/>
    <cellStyle name="常规 114 2 2 3 3" xfId="20898"/>
    <cellStyle name="输入 2 2 12 2 5" xfId="20899"/>
    <cellStyle name="常规 109 2 2 4" xfId="20900"/>
    <cellStyle name="常规 114 2 2 4" xfId="20901"/>
    <cellStyle name="计算 3 2 11 12" xfId="20902"/>
    <cellStyle name="输入 2 2 12 2 6" xfId="20903"/>
    <cellStyle name="常规 109 2 2 5" xfId="20904"/>
    <cellStyle name="常规 114 2 2 5" xfId="20905"/>
    <cellStyle name="计算 3 2 11 13" xfId="20906"/>
    <cellStyle name="输入 2 2 12 2 7" xfId="20907"/>
    <cellStyle name="常规 109 2 2 6" xfId="20908"/>
    <cellStyle name="常规 114 2 2 6" xfId="20909"/>
    <cellStyle name="计算 3 2 11 14" xfId="20910"/>
    <cellStyle name="输入 2 2 12 2 8" xfId="20911"/>
    <cellStyle name="常规 109 2 2 7" xfId="20912"/>
    <cellStyle name="常规 114 2 2 7" xfId="20913"/>
    <cellStyle name="输入 2 2 12 2 9" xfId="20914"/>
    <cellStyle name="常规 109 2 2 8" xfId="20915"/>
    <cellStyle name="常规 114 2 2 8" xfId="20916"/>
    <cellStyle name="输入 2 2 4 2 10" xfId="20917"/>
    <cellStyle name="常规 109 2 2 9" xfId="20918"/>
    <cellStyle name="常规 114 2 2 9" xfId="20919"/>
    <cellStyle name="常规 109 2 3" xfId="20920"/>
    <cellStyle name="常规 114 2 3" xfId="20921"/>
    <cellStyle name="常规 109 2 4" xfId="20922"/>
    <cellStyle name="常规 114 2 4" xfId="20923"/>
    <cellStyle name="常规 109 2 4 2" xfId="20924"/>
    <cellStyle name="常规 114 2 4 2" xfId="20925"/>
    <cellStyle name="千位分隔 3 2 12" xfId="20926"/>
    <cellStyle name="常规 89 3 3 3" xfId="20927"/>
    <cellStyle name="常规 94 3 3 3" xfId="20928"/>
    <cellStyle name="常规 109 2 4 2 2" xfId="20929"/>
    <cellStyle name="常规 114 2 4 2 2" xfId="20930"/>
    <cellStyle name="常规 109 2 4 2 3" xfId="20931"/>
    <cellStyle name="常规 114 2 4 2 3" xfId="20932"/>
    <cellStyle name="常规 109 2 4 3" xfId="20933"/>
    <cellStyle name="常规 114 2 4 3" xfId="20934"/>
    <cellStyle name="千位分隔 3 2 13" xfId="20935"/>
    <cellStyle name="常规 109 2 5" xfId="20936"/>
    <cellStyle name="常规 114 2 5" xfId="20937"/>
    <cellStyle name="常规 109 2 6" xfId="20938"/>
    <cellStyle name="常规 114 2 6" xfId="20939"/>
    <cellStyle name="常规 109 2 7" xfId="20940"/>
    <cellStyle name="常规 114 2 7" xfId="20941"/>
    <cellStyle name="常规 109 2 8" xfId="20942"/>
    <cellStyle name="常规 114 2 8" xfId="20943"/>
    <cellStyle name="常规 109 2 9" xfId="20944"/>
    <cellStyle name="常规 114 2 9" xfId="20945"/>
    <cellStyle name="常规 109 3 10" xfId="20946"/>
    <cellStyle name="常规 114 3 10" xfId="20947"/>
    <cellStyle name="常规 109 3 12" xfId="20948"/>
    <cellStyle name="常规 114 3 12" xfId="20949"/>
    <cellStyle name="常规 109 3 13" xfId="20950"/>
    <cellStyle name="常规 114 3 13" xfId="20951"/>
    <cellStyle name="常规 109 3 14" xfId="20952"/>
    <cellStyle name="常规 114 3 14" xfId="20953"/>
    <cellStyle name="常规 109 3 15" xfId="20954"/>
    <cellStyle name="常规 114 3 15" xfId="20955"/>
    <cellStyle name="常规 109 3 16" xfId="20956"/>
    <cellStyle name="常规 114 3 16" xfId="20957"/>
    <cellStyle name="常规 109 3 17" xfId="20958"/>
    <cellStyle name="常规 114 3 17" xfId="20959"/>
    <cellStyle name="常规 109 3 18" xfId="20960"/>
    <cellStyle name="常规 114 3 18" xfId="20961"/>
    <cellStyle name="常规 109 3 2" xfId="20962"/>
    <cellStyle name="常规 114 3 2" xfId="20963"/>
    <cellStyle name="常规 109 3 3" xfId="20964"/>
    <cellStyle name="常规 114 3 3" xfId="20965"/>
    <cellStyle name="常规 109 3 3 2 2" xfId="20966"/>
    <cellStyle name="常规 114 3 3 2 2" xfId="20967"/>
    <cellStyle name="常规 109 3 3 2 3" xfId="20968"/>
    <cellStyle name="常规 114 3 3 2 3" xfId="20969"/>
    <cellStyle name="常规 109 3 4" xfId="20970"/>
    <cellStyle name="常规 114 3 4" xfId="20971"/>
    <cellStyle name="常规 109 3 5" xfId="20972"/>
    <cellStyle name="常规 114 3 5" xfId="20973"/>
    <cellStyle name="常规 109 5" xfId="20974"/>
    <cellStyle name="常规 114 5" xfId="20975"/>
    <cellStyle name="常规 109 5 2" xfId="20976"/>
    <cellStyle name="常规 114 5 2" xfId="20977"/>
    <cellStyle name="常规 109 5 3" xfId="20978"/>
    <cellStyle name="常规 114 5 3" xfId="20979"/>
    <cellStyle name="常规 109 6" xfId="20980"/>
    <cellStyle name="常规 114 6" xfId="20981"/>
    <cellStyle name="汇总 2 2 12 2 2" xfId="20982"/>
    <cellStyle name="常规 109 7" xfId="20983"/>
    <cellStyle name="常规 114 7" xfId="20984"/>
    <cellStyle name="汇总 2 2 12 2 3" xfId="20985"/>
    <cellStyle name="常规 109 8" xfId="20986"/>
    <cellStyle name="常规 114 8" xfId="20987"/>
    <cellStyle name="汇总 2 2 12 2 4" xfId="20988"/>
    <cellStyle name="常规 109 9" xfId="20989"/>
    <cellStyle name="常规 114 9" xfId="20990"/>
    <cellStyle name="常规 11" xfId="20991"/>
    <cellStyle name="常规 11 10" xfId="20992"/>
    <cellStyle name="常规 11 11" xfId="20993"/>
    <cellStyle name="常规 11 12" xfId="20994"/>
    <cellStyle name="常规 11 13" xfId="20995"/>
    <cellStyle name="常规 11 14" xfId="20996"/>
    <cellStyle name="常规 11 15" xfId="20997"/>
    <cellStyle name="常规 11 20" xfId="20998"/>
    <cellStyle name="常规 11 16" xfId="20999"/>
    <cellStyle name="常规 11 21" xfId="21000"/>
    <cellStyle name="常规 11 17" xfId="21001"/>
    <cellStyle name="常规 11 22" xfId="21002"/>
    <cellStyle name="常规 11 18" xfId="21003"/>
    <cellStyle name="常规 11 23" xfId="21004"/>
    <cellStyle name="常规 11 19" xfId="21005"/>
    <cellStyle name="汇总 3 2 8 2 7" xfId="21006"/>
    <cellStyle name="常规 35 3 9" xfId="21007"/>
    <cellStyle name="常规 40 3 9" xfId="21008"/>
    <cellStyle name="常规 11 2" xfId="21009"/>
    <cellStyle name="常规 11 2 10" xfId="21010"/>
    <cellStyle name="常规 11 2 11" xfId="21011"/>
    <cellStyle name="常规 11 2 12" xfId="21012"/>
    <cellStyle name="常规 11 2 3 2" xfId="21013"/>
    <cellStyle name="常规 11 2 3 2 3" xfId="21014"/>
    <cellStyle name="常规 11 2 3 3" xfId="21015"/>
    <cellStyle name="汇总 3 2 8 2 8" xfId="21016"/>
    <cellStyle name="常规 11 3" xfId="21017"/>
    <cellStyle name="常规 11 3 10" xfId="21018"/>
    <cellStyle name="计算 2 3 5 2 11" xfId="21019"/>
    <cellStyle name="常规 11 3 11" xfId="21020"/>
    <cellStyle name="计算 2 3 5 2 12" xfId="21021"/>
    <cellStyle name="汇总 2 6 9" xfId="21022"/>
    <cellStyle name="常规 11 3 2" xfId="21023"/>
    <cellStyle name="常规 11 3 3" xfId="21024"/>
    <cellStyle name="常规 68" xfId="21025"/>
    <cellStyle name="常规 73" xfId="21026"/>
    <cellStyle name="常规 11 3 3 2" xfId="21027"/>
    <cellStyle name="常规 68 2" xfId="21028"/>
    <cellStyle name="常规 73 2" xfId="21029"/>
    <cellStyle name="常规 11 3 3 2 2" xfId="21030"/>
    <cellStyle name="常规 68 3" xfId="21031"/>
    <cellStyle name="常规 73 3" xfId="21032"/>
    <cellStyle name="常规 11 3 3 2 3" xfId="21033"/>
    <cellStyle name="常规 69" xfId="21034"/>
    <cellStyle name="常规 74" xfId="21035"/>
    <cellStyle name="常规 11 3 3 3" xfId="21036"/>
    <cellStyle name="汇总 3 2 8 2 9" xfId="21037"/>
    <cellStyle name="汇总 2 10 10" xfId="21038"/>
    <cellStyle name="常规 11 4" xfId="21039"/>
    <cellStyle name="汇总 2 10 11" xfId="21040"/>
    <cellStyle name="常规 11 5" xfId="21041"/>
    <cellStyle name="汇总 2 8 9" xfId="21042"/>
    <cellStyle name="常规 11 5 2" xfId="21043"/>
    <cellStyle name="常规 11 5 2 2" xfId="21044"/>
    <cellStyle name="常规 11 5 2 3" xfId="21045"/>
    <cellStyle name="常规 11 5 3" xfId="21046"/>
    <cellStyle name="汇总 2 10 12" xfId="21047"/>
    <cellStyle name="常规 11 6" xfId="21048"/>
    <cellStyle name="常规 11 7" xfId="21049"/>
    <cellStyle name="常规 11 8" xfId="21050"/>
    <cellStyle name="常规 11 9" xfId="21051"/>
    <cellStyle name="常规 115" xfId="21052"/>
    <cellStyle name="常规 120" xfId="21053"/>
    <cellStyle name="输出 4 12" xfId="21054"/>
    <cellStyle name="常规 115 10" xfId="21055"/>
    <cellStyle name="常规 120 10" xfId="21056"/>
    <cellStyle name="输出 4 13" xfId="21057"/>
    <cellStyle name="常规 135 2 4 2" xfId="21058"/>
    <cellStyle name="常规 140 2 4 2" xfId="21059"/>
    <cellStyle name="常规 115 11" xfId="21060"/>
    <cellStyle name="常规 120 11" xfId="21061"/>
    <cellStyle name="输出 4 14" xfId="21062"/>
    <cellStyle name="常规 135 2 4 3" xfId="21063"/>
    <cellStyle name="常规 140 2 4 3" xfId="21064"/>
    <cellStyle name="常规 115 12" xfId="21065"/>
    <cellStyle name="常规 120 12" xfId="21066"/>
    <cellStyle name="常规 115 13" xfId="21067"/>
    <cellStyle name="常规 120 13" xfId="21068"/>
    <cellStyle name="常规 115 14" xfId="21069"/>
    <cellStyle name="常规 120 14" xfId="21070"/>
    <cellStyle name="常规 115 15" xfId="21071"/>
    <cellStyle name="常规 115 20" xfId="21072"/>
    <cellStyle name="常规 120 15" xfId="21073"/>
    <cellStyle name="常规 120 20" xfId="21074"/>
    <cellStyle name="常规 115 16" xfId="21075"/>
    <cellStyle name="常规 115 21" xfId="21076"/>
    <cellStyle name="常规 120 16" xfId="21077"/>
    <cellStyle name="常规 120 21" xfId="21078"/>
    <cellStyle name="常规 115 17" xfId="21079"/>
    <cellStyle name="常规 115 22" xfId="21080"/>
    <cellStyle name="常规 120 17" xfId="21081"/>
    <cellStyle name="常规 120 22" xfId="21082"/>
    <cellStyle name="常规 115 18" xfId="21083"/>
    <cellStyle name="常规 115 23" xfId="21084"/>
    <cellStyle name="常规 120 18" xfId="21085"/>
    <cellStyle name="常规 120 23" xfId="21086"/>
    <cellStyle name="常规 115 19" xfId="21087"/>
    <cellStyle name="常规 120 19" xfId="21088"/>
    <cellStyle name="常规 115 2" xfId="21089"/>
    <cellStyle name="常规 120 2" xfId="21090"/>
    <cellStyle name="汇总 3 2 7" xfId="21091"/>
    <cellStyle name="常规 115 2 10" xfId="21092"/>
    <cellStyle name="常规 120 2 10" xfId="21093"/>
    <cellStyle name="汇总 3 2 8" xfId="21094"/>
    <cellStyle name="常规 115 2 11" xfId="21095"/>
    <cellStyle name="常规 120 2 11" xfId="21096"/>
    <cellStyle name="汇总 3 2 9" xfId="21097"/>
    <cellStyle name="常规 115 2 12" xfId="21098"/>
    <cellStyle name="常规 120 2 12" xfId="21099"/>
    <cellStyle name="常规 115 2 13" xfId="21100"/>
    <cellStyle name="常规 120 2 13" xfId="21101"/>
    <cellStyle name="常规 115 2 14" xfId="21102"/>
    <cellStyle name="常规 120 2 14" xfId="21103"/>
    <cellStyle name="常规 115 2 15" xfId="21104"/>
    <cellStyle name="常规 120 2 15" xfId="21105"/>
    <cellStyle name="常规 115 2 16" xfId="21106"/>
    <cellStyle name="常规 120 2 16" xfId="21107"/>
    <cellStyle name="常规 115 2 17" xfId="21108"/>
    <cellStyle name="常规 120 2 17" xfId="21109"/>
    <cellStyle name="常规 115 2 18" xfId="21110"/>
    <cellStyle name="常规 120 2 18" xfId="21111"/>
    <cellStyle name="常规 115 2 19" xfId="21112"/>
    <cellStyle name="常规 120 2 19" xfId="21113"/>
    <cellStyle name="常规 115 2 2" xfId="21114"/>
    <cellStyle name="常规 120 2 2" xfId="21115"/>
    <cellStyle name="常规 115 2 2 10" xfId="21116"/>
    <cellStyle name="常规 120 2 2 10" xfId="21117"/>
    <cellStyle name="常规 115 2 2 11" xfId="21118"/>
    <cellStyle name="常规 120 2 2 11" xfId="21119"/>
    <cellStyle name="常规 115 2 2 12" xfId="21120"/>
    <cellStyle name="常规 120 2 2 12" xfId="21121"/>
    <cellStyle name="常规 115 2 2 13" xfId="21122"/>
    <cellStyle name="常规 120 2 2 13" xfId="21123"/>
    <cellStyle name="常规 115 2 2 14" xfId="21124"/>
    <cellStyle name="常规 120 2 2 14" xfId="21125"/>
    <cellStyle name="常规 115 2 2 15" xfId="21126"/>
    <cellStyle name="常规 120 2 2 15" xfId="21127"/>
    <cellStyle name="常规 115 2 2 16" xfId="21128"/>
    <cellStyle name="常规 120 2 2 16" xfId="21129"/>
    <cellStyle name="常规 115 2 2 17" xfId="21130"/>
    <cellStyle name="常规 120 2 2 17" xfId="21131"/>
    <cellStyle name="常规 115 2 2 18" xfId="21132"/>
    <cellStyle name="常规 120 2 2 18" xfId="21133"/>
    <cellStyle name="常规 115 2 2 2" xfId="21134"/>
    <cellStyle name="常规 120 2 2 2" xfId="21135"/>
    <cellStyle name="常规 115 2 2 3" xfId="21136"/>
    <cellStyle name="常规 120 2 2 3" xfId="21137"/>
    <cellStyle name="常规 115 2 2 3 2" xfId="21138"/>
    <cellStyle name="常规 120 2 2 3 2" xfId="21139"/>
    <cellStyle name="常规 115 2 2 3 2 2" xfId="21140"/>
    <cellStyle name="常规 120 2 2 3 2 2" xfId="21141"/>
    <cellStyle name="常规 115 2 2 3 2 3" xfId="21142"/>
    <cellStyle name="常规 120 2 2 3 2 3" xfId="21143"/>
    <cellStyle name="常规 115 2 2 3 3" xfId="21144"/>
    <cellStyle name="常规 120 2 2 3 3" xfId="21145"/>
    <cellStyle name="常规 115 2 2 4" xfId="21146"/>
    <cellStyle name="常规 120 2 2 4" xfId="21147"/>
    <cellStyle name="常规 115 2 2 5" xfId="21148"/>
    <cellStyle name="常规 120 2 2 5" xfId="21149"/>
    <cellStyle name="常规 115 2 2 6" xfId="21150"/>
    <cellStyle name="常规 120 2 2 6" xfId="21151"/>
    <cellStyle name="常规 115 2 2 7" xfId="21152"/>
    <cellStyle name="常规 120 2 2 7" xfId="21153"/>
    <cellStyle name="常规 115 2 2 8" xfId="21154"/>
    <cellStyle name="常规 120 2 2 8" xfId="21155"/>
    <cellStyle name="输入 3 2 7 2 2" xfId="21156"/>
    <cellStyle name="常规 115 2 2 9" xfId="21157"/>
    <cellStyle name="常规 120 2 2 9" xfId="21158"/>
    <cellStyle name="常规 115 2 3" xfId="21159"/>
    <cellStyle name="常规 120 2 3" xfId="21160"/>
    <cellStyle name="常规 115 2 4" xfId="21161"/>
    <cellStyle name="常规 120 2 4" xfId="21162"/>
    <cellStyle name="常规 95 3 3 3" xfId="21163"/>
    <cellStyle name="常规 115 2 4 2" xfId="21164"/>
    <cellStyle name="常规 120 2 4 2" xfId="21165"/>
    <cellStyle name="常规 115 2 4 2 2" xfId="21166"/>
    <cellStyle name="常规 120 2 4 2 2" xfId="21167"/>
    <cellStyle name="常规 115 2 4 2 3" xfId="21168"/>
    <cellStyle name="常规 120 2 4 2 3" xfId="21169"/>
    <cellStyle name="常规 115 2 4 3" xfId="21170"/>
    <cellStyle name="常规 120 2 4 3" xfId="21171"/>
    <cellStyle name="常规 115 2 5" xfId="21172"/>
    <cellStyle name="常规 120 2 5" xfId="21173"/>
    <cellStyle name="常规 115 2 6" xfId="21174"/>
    <cellStyle name="常规 120 2 6" xfId="21175"/>
    <cellStyle name="常规 115 2 7" xfId="21176"/>
    <cellStyle name="常规 120 2 7" xfId="21177"/>
    <cellStyle name="常规 115 2 8" xfId="21178"/>
    <cellStyle name="常规 120 2 8" xfId="21179"/>
    <cellStyle name="常规 68 2 4 2" xfId="21180"/>
    <cellStyle name="常规 73 2 4 2" xfId="21181"/>
    <cellStyle name="常规 129 3 3 2 2" xfId="21182"/>
    <cellStyle name="常规 134 3 3 2 2" xfId="21183"/>
    <cellStyle name="常规 115 2 9" xfId="21184"/>
    <cellStyle name="常规 120 2 9" xfId="21185"/>
    <cellStyle name="常规 115 3" xfId="21186"/>
    <cellStyle name="常规 120 3" xfId="21187"/>
    <cellStyle name="汇总 3 7 7" xfId="21188"/>
    <cellStyle name="常规 115 3 10" xfId="21189"/>
    <cellStyle name="常规 120 3 10" xfId="21190"/>
    <cellStyle name="汇总 3 7 8" xfId="21191"/>
    <cellStyle name="常规 115 3 11" xfId="21192"/>
    <cellStyle name="常规 120 3 11" xfId="21193"/>
    <cellStyle name="汇总 3 7 9" xfId="21194"/>
    <cellStyle name="常规 115 3 12" xfId="21195"/>
    <cellStyle name="常规 120 3 12" xfId="21196"/>
    <cellStyle name="常规 115 3 13" xfId="21197"/>
    <cellStyle name="常规 120 3 13" xfId="21198"/>
    <cellStyle name="常规 115 3 14" xfId="21199"/>
    <cellStyle name="常规 120 3 14" xfId="21200"/>
    <cellStyle name="常规 115 3 15" xfId="21201"/>
    <cellStyle name="常规 120 3 15" xfId="21202"/>
    <cellStyle name="常规 115 3 16" xfId="21203"/>
    <cellStyle name="常规 120 3 16" xfId="21204"/>
    <cellStyle name="常规 115 3 17" xfId="21205"/>
    <cellStyle name="常规 120 3 17" xfId="21206"/>
    <cellStyle name="常规 115 3 18" xfId="21207"/>
    <cellStyle name="常规 120 3 18" xfId="21208"/>
    <cellStyle name="常规 115 3 2" xfId="21209"/>
    <cellStyle name="常规 120 3 2" xfId="21210"/>
    <cellStyle name="常规 12 10" xfId="21211"/>
    <cellStyle name="常规 115 3 3" xfId="21212"/>
    <cellStyle name="常规 120 3 3" xfId="21213"/>
    <cellStyle name="常规 12 11" xfId="21214"/>
    <cellStyle name="常规 48 3 13" xfId="21215"/>
    <cellStyle name="常规 53 3 13" xfId="21216"/>
    <cellStyle name="常规 16" xfId="21217"/>
    <cellStyle name="常规 21" xfId="21218"/>
    <cellStyle name="汇总 3 7 12" xfId="21219"/>
    <cellStyle name="常规 115 3 3 2" xfId="21220"/>
    <cellStyle name="常规 120 3 3 2" xfId="21221"/>
    <cellStyle name="常规 48 3 14" xfId="21222"/>
    <cellStyle name="常规 53 3 14" xfId="21223"/>
    <cellStyle name="常规 17" xfId="21224"/>
    <cellStyle name="常规 22" xfId="21225"/>
    <cellStyle name="汇总 3 7 13" xfId="21226"/>
    <cellStyle name="常规 115 3 3 3" xfId="21227"/>
    <cellStyle name="常规 120 3 3 3" xfId="21228"/>
    <cellStyle name="常规 115 3 4" xfId="21229"/>
    <cellStyle name="常规 120 3 4" xfId="21230"/>
    <cellStyle name="常规 12 12" xfId="21231"/>
    <cellStyle name="常规 115 3 5" xfId="21232"/>
    <cellStyle name="常规 120 3 5" xfId="21233"/>
    <cellStyle name="常规 12 13" xfId="21234"/>
    <cellStyle name="常规 115 4" xfId="21235"/>
    <cellStyle name="常规 120 4" xfId="21236"/>
    <cellStyle name="常规 115 5" xfId="21237"/>
    <cellStyle name="常规 120 5" xfId="21238"/>
    <cellStyle name="常规 115 5 2 3" xfId="21239"/>
    <cellStyle name="常规 120 5 2 3" xfId="21240"/>
    <cellStyle name="常规 115 6" xfId="21241"/>
    <cellStyle name="常规 120 6" xfId="21242"/>
    <cellStyle name="汇总 2 2 12 3 2" xfId="21243"/>
    <cellStyle name="常规 115 7" xfId="21244"/>
    <cellStyle name="常规 120 7" xfId="21245"/>
    <cellStyle name="常规 116" xfId="21246"/>
    <cellStyle name="常规 121" xfId="21247"/>
    <cellStyle name="常规 116 10" xfId="21248"/>
    <cellStyle name="常规 121 10" xfId="21249"/>
    <cellStyle name="常规 116 11" xfId="21250"/>
    <cellStyle name="常规 121 11" xfId="21251"/>
    <cellStyle name="常规 116 12" xfId="21252"/>
    <cellStyle name="常规 121 12" xfId="21253"/>
    <cellStyle name="常规 116 13" xfId="21254"/>
    <cellStyle name="常规 121 13" xfId="21255"/>
    <cellStyle name="常规 116 14" xfId="21256"/>
    <cellStyle name="常规 121 14" xfId="21257"/>
    <cellStyle name="常规 116 15" xfId="21258"/>
    <cellStyle name="常规 116 20" xfId="21259"/>
    <cellStyle name="常规 121 15" xfId="21260"/>
    <cellStyle name="常规 121 20" xfId="21261"/>
    <cellStyle name="常规 116 16" xfId="21262"/>
    <cellStyle name="常规 116 21" xfId="21263"/>
    <cellStyle name="常规 121 16" xfId="21264"/>
    <cellStyle name="常规 121 21" xfId="21265"/>
    <cellStyle name="常规 116 17" xfId="21266"/>
    <cellStyle name="常规 116 22" xfId="21267"/>
    <cellStyle name="常规 121 17" xfId="21268"/>
    <cellStyle name="常规 121 22" xfId="21269"/>
    <cellStyle name="常规 116 18" xfId="21270"/>
    <cellStyle name="常规 116 23" xfId="21271"/>
    <cellStyle name="常规 121 18" xfId="21272"/>
    <cellStyle name="常规 121 23" xfId="21273"/>
    <cellStyle name="常规 116 19" xfId="21274"/>
    <cellStyle name="常规 121 19" xfId="21275"/>
    <cellStyle name="常规 116 2" xfId="21276"/>
    <cellStyle name="常规 121 2" xfId="21277"/>
    <cellStyle name="常规 116 2 10" xfId="21278"/>
    <cellStyle name="常规 121 2 10" xfId="21279"/>
    <cellStyle name="常规 116 2 11" xfId="21280"/>
    <cellStyle name="常规 121 2 11" xfId="21281"/>
    <cellStyle name="常规 116 2 12" xfId="21282"/>
    <cellStyle name="常规 121 2 12" xfId="21283"/>
    <cellStyle name="常规 116 2 13" xfId="21284"/>
    <cellStyle name="常规 121 2 13" xfId="21285"/>
    <cellStyle name="常规 116 2 14" xfId="21286"/>
    <cellStyle name="常规 121 2 14" xfId="21287"/>
    <cellStyle name="常规 116 2 15" xfId="21288"/>
    <cellStyle name="常规 121 2 15" xfId="21289"/>
    <cellStyle name="常规 116 2 16" xfId="21290"/>
    <cellStyle name="常规 121 2 16" xfId="21291"/>
    <cellStyle name="常规 116 2 17" xfId="21292"/>
    <cellStyle name="常规 121 2 17" xfId="21293"/>
    <cellStyle name="常规 116 2 18" xfId="21294"/>
    <cellStyle name="常规 121 2 18" xfId="21295"/>
    <cellStyle name="常规 116 2 19" xfId="21296"/>
    <cellStyle name="常规 121 2 19" xfId="21297"/>
    <cellStyle name="常规 116 2 2" xfId="21298"/>
    <cellStyle name="常规 121 2 2" xfId="21299"/>
    <cellStyle name="常规 16 3 7" xfId="21300"/>
    <cellStyle name="常规 21 3 7" xfId="21301"/>
    <cellStyle name="常规 116 2 2 10" xfId="21302"/>
    <cellStyle name="常规 121 2 2 10" xfId="21303"/>
    <cellStyle name="常规 16 3 8" xfId="21304"/>
    <cellStyle name="常规 21 3 8" xfId="21305"/>
    <cellStyle name="输出 2 4 2 10" xfId="21306"/>
    <cellStyle name="常规 116 2 2 11" xfId="21307"/>
    <cellStyle name="常规 121 2 2 11" xfId="21308"/>
    <cellStyle name="常规 116 2 2 14" xfId="21309"/>
    <cellStyle name="常规 121 2 2 14" xfId="21310"/>
    <cellStyle name="常规 116 2 2 17" xfId="21311"/>
    <cellStyle name="常规 121 2 2 17" xfId="21312"/>
    <cellStyle name="常规 116 2 2 18" xfId="21313"/>
    <cellStyle name="常规 121 2 2 18" xfId="21314"/>
    <cellStyle name="常规 16 3 12" xfId="21315"/>
    <cellStyle name="常规 21 3 12" xfId="21316"/>
    <cellStyle name="常规 166 2 3 3" xfId="21317"/>
    <cellStyle name="常规 116 2 2 3 2" xfId="21318"/>
    <cellStyle name="常规 121 2 2 3 2" xfId="21319"/>
    <cellStyle name="常规 116 2 2 3 2 2" xfId="21320"/>
    <cellStyle name="常规 121 2 2 3 2 2" xfId="21321"/>
    <cellStyle name="常规 116 2 2 3 2 3" xfId="21322"/>
    <cellStyle name="常规 121 2 2 3 2 3" xfId="21323"/>
    <cellStyle name="常规 57 2 2 2" xfId="21324"/>
    <cellStyle name="常规 62 2 2 2" xfId="21325"/>
    <cellStyle name="常规 16 3 13" xfId="21326"/>
    <cellStyle name="常规 21 3 13" xfId="21327"/>
    <cellStyle name="常规 116 2 2 3 3" xfId="21328"/>
    <cellStyle name="常规 121 2 2 3 3" xfId="21329"/>
    <cellStyle name="常规 116 2 3" xfId="21330"/>
    <cellStyle name="常规 121 2 3" xfId="21331"/>
    <cellStyle name="常规 116 2 4" xfId="21332"/>
    <cellStyle name="常规 121 2 4" xfId="21333"/>
    <cellStyle name="常规 96 3 3 3" xfId="21334"/>
    <cellStyle name="常规 116 2 4 2" xfId="21335"/>
    <cellStyle name="常规 121 2 4 2" xfId="21336"/>
    <cellStyle name="常规 166 4 2 3" xfId="21337"/>
    <cellStyle name="常规 116 2 4 2 2" xfId="21338"/>
    <cellStyle name="常规 121 2 4 2 2" xfId="21339"/>
    <cellStyle name="常规 116 2 4 2 3" xfId="21340"/>
    <cellStyle name="常规 121 2 4 2 3" xfId="21341"/>
    <cellStyle name="常规 116 2 4 3" xfId="21342"/>
    <cellStyle name="常规 121 2 4 3" xfId="21343"/>
    <cellStyle name="常规 116 2 5" xfId="21344"/>
    <cellStyle name="常规 121 2 5" xfId="21345"/>
    <cellStyle name="常规 116 2 6" xfId="21346"/>
    <cellStyle name="常规 121 2 6" xfId="21347"/>
    <cellStyle name="常规 116 2 7" xfId="21348"/>
    <cellStyle name="常规 121 2 7" xfId="21349"/>
    <cellStyle name="常规 116 2 8" xfId="21350"/>
    <cellStyle name="常规 121 2 8" xfId="21351"/>
    <cellStyle name="常规 116 2 9" xfId="21352"/>
    <cellStyle name="常规 121 2 9" xfId="21353"/>
    <cellStyle name="常规 116 3" xfId="21354"/>
    <cellStyle name="常规 121 3" xfId="21355"/>
    <cellStyle name="常规 116 3 11" xfId="21356"/>
    <cellStyle name="常规 121 3 11" xfId="21357"/>
    <cellStyle name="常规 116 3 12" xfId="21358"/>
    <cellStyle name="常规 121 3 12" xfId="21359"/>
    <cellStyle name="常规 116 3 13" xfId="21360"/>
    <cellStyle name="常规 121 3 13" xfId="21361"/>
    <cellStyle name="常规 116 3 14" xfId="21362"/>
    <cellStyle name="常规 121 3 14" xfId="21363"/>
    <cellStyle name="常规 116 3 15" xfId="21364"/>
    <cellStyle name="常规 121 3 15" xfId="21365"/>
    <cellStyle name="常规 24 2 4 2" xfId="21366"/>
    <cellStyle name="常规 116 3 16" xfId="21367"/>
    <cellStyle name="常规 121 3 16" xfId="21368"/>
    <cellStyle name="常规 24 2 4 3" xfId="21369"/>
    <cellStyle name="常规 116 3 17" xfId="21370"/>
    <cellStyle name="常规 121 3 17" xfId="21371"/>
    <cellStyle name="常规 116 3 18" xfId="21372"/>
    <cellStyle name="常规 121 3 18" xfId="21373"/>
    <cellStyle name="常规 17 10" xfId="21374"/>
    <cellStyle name="常规 22 10" xfId="21375"/>
    <cellStyle name="常规 116 3 2" xfId="21376"/>
    <cellStyle name="常规 121 3 2" xfId="21377"/>
    <cellStyle name="常规 17 11" xfId="21378"/>
    <cellStyle name="常规 22 11" xfId="21379"/>
    <cellStyle name="常规 116 3 3" xfId="21380"/>
    <cellStyle name="常规 121 3 3" xfId="21381"/>
    <cellStyle name="常规 58 3 13" xfId="21382"/>
    <cellStyle name="常规 63 3 13" xfId="21383"/>
    <cellStyle name="常规 116 3 3 2" xfId="21384"/>
    <cellStyle name="常规 121 3 3 2" xfId="21385"/>
    <cellStyle name="常规 167 3 2 3" xfId="21386"/>
    <cellStyle name="常规 172 3 2 3" xfId="21387"/>
    <cellStyle name="常规 116 3 3 2 2" xfId="21388"/>
    <cellStyle name="常规 121 3 3 2 2" xfId="21389"/>
    <cellStyle name="常规 116 3 3 2 3" xfId="21390"/>
    <cellStyle name="常规 121 3 3 2 3" xfId="21391"/>
    <cellStyle name="常规 58 3 14" xfId="21392"/>
    <cellStyle name="常规 63 3 14" xfId="21393"/>
    <cellStyle name="汇总 3 2 13 2" xfId="21394"/>
    <cellStyle name="常规 116 3 3 3" xfId="21395"/>
    <cellStyle name="常规 121 3 3 3" xfId="21396"/>
    <cellStyle name="常规 17 12" xfId="21397"/>
    <cellStyle name="常规 22 12" xfId="21398"/>
    <cellStyle name="常规 116 3 4" xfId="21399"/>
    <cellStyle name="常规 121 3 4" xfId="21400"/>
    <cellStyle name="常规 17 13" xfId="21401"/>
    <cellStyle name="常规 22 13" xfId="21402"/>
    <cellStyle name="常规 116 3 5" xfId="21403"/>
    <cellStyle name="常规 121 3 5" xfId="21404"/>
    <cellStyle name="常规 116 4" xfId="21405"/>
    <cellStyle name="常规 121 4" xfId="21406"/>
    <cellStyle name="常规 116 5" xfId="21407"/>
    <cellStyle name="常规 121 5" xfId="21408"/>
    <cellStyle name="常规 116 5 2" xfId="21409"/>
    <cellStyle name="常规 121 5 2" xfId="21410"/>
    <cellStyle name="常规 116 5 3" xfId="21411"/>
    <cellStyle name="常规 121 5 3" xfId="21412"/>
    <cellStyle name="常规 116 6" xfId="21413"/>
    <cellStyle name="常规 121 6" xfId="21414"/>
    <cellStyle name="常规 116 7" xfId="21415"/>
    <cellStyle name="常规 121 7" xfId="21416"/>
    <cellStyle name="常规 116 8" xfId="21417"/>
    <cellStyle name="常规 121 8" xfId="21418"/>
    <cellStyle name="常规 116 9" xfId="21419"/>
    <cellStyle name="常规 121 9" xfId="21420"/>
    <cellStyle name="常规 117" xfId="21421"/>
    <cellStyle name="常规 122" xfId="21422"/>
    <cellStyle name="常规 117 11" xfId="21423"/>
    <cellStyle name="常规 122 11" xfId="21424"/>
    <cellStyle name="常规 117 12" xfId="21425"/>
    <cellStyle name="常规 122 12" xfId="21426"/>
    <cellStyle name="常规 117 13" xfId="21427"/>
    <cellStyle name="常规 122 13" xfId="21428"/>
    <cellStyle name="常规 117 14" xfId="21429"/>
    <cellStyle name="常规 122 14" xfId="21430"/>
    <cellStyle name="常规 117 15" xfId="21431"/>
    <cellStyle name="常规 117 20" xfId="21432"/>
    <cellStyle name="常规 122 15" xfId="21433"/>
    <cellStyle name="常规 122 20" xfId="21434"/>
    <cellStyle name="常规 117 16" xfId="21435"/>
    <cellStyle name="常规 117 21" xfId="21436"/>
    <cellStyle name="常规 122 16" xfId="21437"/>
    <cellStyle name="常规 122 21" xfId="21438"/>
    <cellStyle name="常规 117 17" xfId="21439"/>
    <cellStyle name="常规 117 22" xfId="21440"/>
    <cellStyle name="常规 122 17" xfId="21441"/>
    <cellStyle name="常规 122 22" xfId="21442"/>
    <cellStyle name="常规 117 18" xfId="21443"/>
    <cellStyle name="常规 117 23" xfId="21444"/>
    <cellStyle name="常规 122 18" xfId="21445"/>
    <cellStyle name="常规 122 23" xfId="21446"/>
    <cellStyle name="常规 117 19" xfId="21447"/>
    <cellStyle name="常规 122 19" xfId="21448"/>
    <cellStyle name="常规 117 2 17" xfId="21449"/>
    <cellStyle name="常规 122 2 17" xfId="21450"/>
    <cellStyle name="强调文字颜色 5 2 3 3 2" xfId="21451"/>
    <cellStyle name="常规 117 2 18" xfId="21452"/>
    <cellStyle name="常规 122 2 18" xfId="21453"/>
    <cellStyle name="强调文字颜色 5 2 3 3 3" xfId="21454"/>
    <cellStyle name="常规 117 2 19" xfId="21455"/>
    <cellStyle name="常规 122 2 19" xfId="21456"/>
    <cellStyle name="常规 117 2 2" xfId="21457"/>
    <cellStyle name="常规 122 2 2" xfId="21458"/>
    <cellStyle name="常规 117 2 2 10" xfId="21459"/>
    <cellStyle name="常规 122 2 2 10" xfId="21460"/>
    <cellStyle name="输出 3 4 2 10" xfId="21461"/>
    <cellStyle name="常规 117 2 2 11" xfId="21462"/>
    <cellStyle name="常规 122 2 2 11" xfId="21463"/>
    <cellStyle name="常规 117 2 2 2" xfId="21464"/>
    <cellStyle name="常规 122 2 2 2" xfId="21465"/>
    <cellStyle name="常规 117 2 2 3" xfId="21466"/>
    <cellStyle name="常规 122 2 2 3" xfId="21467"/>
    <cellStyle name="常规 86 2 8" xfId="21468"/>
    <cellStyle name="常规 91 2 8" xfId="21469"/>
    <cellStyle name="常规 117 2 2 3 2 2" xfId="21470"/>
    <cellStyle name="常规 122 2 2 3 2 2" xfId="21471"/>
    <cellStyle name="常规 86 2 9" xfId="21472"/>
    <cellStyle name="常规 91 2 9" xfId="21473"/>
    <cellStyle name="常规 117 2 2 3 2 3" xfId="21474"/>
    <cellStyle name="常规 122 2 2 3 2 3" xfId="21475"/>
    <cellStyle name="常规 117 2 2 4" xfId="21476"/>
    <cellStyle name="常规 122 2 2 4" xfId="21477"/>
    <cellStyle name="常规 117 2 2 5" xfId="21478"/>
    <cellStyle name="常规 122 2 2 5" xfId="21479"/>
    <cellStyle name="常规 117 2 2 6" xfId="21480"/>
    <cellStyle name="常规 122 2 2 6" xfId="21481"/>
    <cellStyle name="常规 117 2 2 7" xfId="21482"/>
    <cellStyle name="常规 122 2 2 7" xfId="21483"/>
    <cellStyle name="常规 117 2 2 8" xfId="21484"/>
    <cellStyle name="常规 122 2 2 8" xfId="21485"/>
    <cellStyle name="常规 117 2 2 9" xfId="21486"/>
    <cellStyle name="常规 122 2 2 9" xfId="21487"/>
    <cellStyle name="常规 117 2 3" xfId="21488"/>
    <cellStyle name="常规 122 2 3" xfId="21489"/>
    <cellStyle name="常规 117 2 4" xfId="21490"/>
    <cellStyle name="常规 122 2 4" xfId="21491"/>
    <cellStyle name="常规 117 2 5" xfId="21492"/>
    <cellStyle name="常规 122 2 5" xfId="21493"/>
    <cellStyle name="常规 117 2 6" xfId="21494"/>
    <cellStyle name="常规 122 2 6" xfId="21495"/>
    <cellStyle name="常规 117 2 7" xfId="21496"/>
    <cellStyle name="常规 122 2 7" xfId="21497"/>
    <cellStyle name="常规 117 2 8" xfId="21498"/>
    <cellStyle name="常规 122 2 8" xfId="21499"/>
    <cellStyle name="常规 117 2 9" xfId="21500"/>
    <cellStyle name="常规 122 2 9" xfId="21501"/>
    <cellStyle name="常规 117 3 10" xfId="21502"/>
    <cellStyle name="常规 122 3 10" xfId="21503"/>
    <cellStyle name="常规 117 3 11" xfId="21504"/>
    <cellStyle name="常规 122 3 11" xfId="21505"/>
    <cellStyle name="常规 117 3 12" xfId="21506"/>
    <cellStyle name="常规 122 3 12" xfId="21507"/>
    <cellStyle name="常规 117 3 13" xfId="21508"/>
    <cellStyle name="常规 122 3 13" xfId="21509"/>
    <cellStyle name="汇总 3 2 5 3 2" xfId="21510"/>
    <cellStyle name="常规 117 3 14" xfId="21511"/>
    <cellStyle name="常规 122 3 14" xfId="21512"/>
    <cellStyle name="汇总 3 2 5 3 3" xfId="21513"/>
    <cellStyle name="常规 117 3 15" xfId="21514"/>
    <cellStyle name="常规 122 3 15" xfId="21515"/>
    <cellStyle name="常规 117 3 16" xfId="21516"/>
    <cellStyle name="常规 122 3 16" xfId="21517"/>
    <cellStyle name="常规 117 3 17" xfId="21518"/>
    <cellStyle name="常规 122 3 17" xfId="21519"/>
    <cellStyle name="常规 68 3 13" xfId="21520"/>
    <cellStyle name="常规 73 3 13" xfId="21521"/>
    <cellStyle name="常规 117 3 3 2" xfId="21522"/>
    <cellStyle name="常规 122 3 3 2" xfId="21523"/>
    <cellStyle name="常规 117 3 3 2 2" xfId="21524"/>
    <cellStyle name="常规 122 3 3 2 2" xfId="21525"/>
    <cellStyle name="常规 117 3 3 2 3" xfId="21526"/>
    <cellStyle name="常规 122 3 3 2 3" xfId="21527"/>
    <cellStyle name="常规 68 3 14" xfId="21528"/>
    <cellStyle name="常规 73 3 14" xfId="21529"/>
    <cellStyle name="常规 17 2" xfId="21530"/>
    <cellStyle name="常规 22 2" xfId="21531"/>
    <cellStyle name="常规 117 3 3 3" xfId="21532"/>
    <cellStyle name="常规 122 3 3 3" xfId="21533"/>
    <cellStyle name="常规 117 5 2" xfId="21534"/>
    <cellStyle name="常规 122 5 2" xfId="21535"/>
    <cellStyle name="常规 117 5 2 3" xfId="21536"/>
    <cellStyle name="常规 122 5 2 3" xfId="21537"/>
    <cellStyle name="常规 117 5 3" xfId="21538"/>
    <cellStyle name="常规 122 5 3" xfId="21539"/>
    <cellStyle name="常规 118" xfId="21540"/>
    <cellStyle name="常规 123" xfId="21541"/>
    <cellStyle name="常规 118 16" xfId="21542"/>
    <cellStyle name="常规 118 21" xfId="21543"/>
    <cellStyle name="常规 123 16" xfId="21544"/>
    <cellStyle name="常规 123 21" xfId="21545"/>
    <cellStyle name="常规 118 17" xfId="21546"/>
    <cellStyle name="常规 118 22" xfId="21547"/>
    <cellStyle name="常规 123 17" xfId="21548"/>
    <cellStyle name="常规 123 22" xfId="21549"/>
    <cellStyle name="常规 118 18" xfId="21550"/>
    <cellStyle name="常规 118 23" xfId="21551"/>
    <cellStyle name="常规 123 18" xfId="21552"/>
    <cellStyle name="常规 123 23" xfId="21553"/>
    <cellStyle name="常规 118 19" xfId="21554"/>
    <cellStyle name="常规 123 19" xfId="21555"/>
    <cellStyle name="常规 118 2" xfId="21556"/>
    <cellStyle name="常规 123 2" xfId="21557"/>
    <cellStyle name="计算 3 3 4 2 9" xfId="21558"/>
    <cellStyle name="计算 2 2 2 7" xfId="21559"/>
    <cellStyle name="常规 118 2 10" xfId="21560"/>
    <cellStyle name="常规 123 2 10" xfId="21561"/>
    <cellStyle name="计算 2 2 2 8" xfId="21562"/>
    <cellStyle name="常规 118 2 11" xfId="21563"/>
    <cellStyle name="常规 123 2 11" xfId="21564"/>
    <cellStyle name="计算 2 2 2 9" xfId="21565"/>
    <cellStyle name="常规 118 2 12" xfId="21566"/>
    <cellStyle name="常规 123 2 12" xfId="21567"/>
    <cellStyle name="常规 118 2 13" xfId="21568"/>
    <cellStyle name="常规 123 2 13" xfId="21569"/>
    <cellStyle name="常规 118 2 14" xfId="21570"/>
    <cellStyle name="常规 123 2 14" xfId="21571"/>
    <cellStyle name="常规 118 2 15" xfId="21572"/>
    <cellStyle name="常规 123 2 15" xfId="21573"/>
    <cellStyle name="常规 118 2 16" xfId="21574"/>
    <cellStyle name="常规 123 2 16" xfId="21575"/>
    <cellStyle name="好 2 10" xfId="21576"/>
    <cellStyle name="常规 118 2 17" xfId="21577"/>
    <cellStyle name="常规 123 2 17" xfId="21578"/>
    <cellStyle name="好 2 11" xfId="21579"/>
    <cellStyle name="常规 118 2 18" xfId="21580"/>
    <cellStyle name="常规 123 2 18" xfId="21581"/>
    <cellStyle name="常规 97 2" xfId="21582"/>
    <cellStyle name="好 2 12" xfId="21583"/>
    <cellStyle name="常规 118 2 19" xfId="21584"/>
    <cellStyle name="常规 123 2 19" xfId="21585"/>
    <cellStyle name="常规 118 2 2" xfId="21586"/>
    <cellStyle name="常规 123 2 2" xfId="21587"/>
    <cellStyle name="常规 118 2 2 10" xfId="21588"/>
    <cellStyle name="常规 123 2 2 10" xfId="21589"/>
    <cellStyle name="常规 118 2 2 11" xfId="21590"/>
    <cellStyle name="常规 123 2 2 11" xfId="21591"/>
    <cellStyle name="常规 118 2 2 12" xfId="21592"/>
    <cellStyle name="常规 123 2 2 12" xfId="21593"/>
    <cellStyle name="常规 118 2 2 13" xfId="21594"/>
    <cellStyle name="常规 123 2 2 13" xfId="21595"/>
    <cellStyle name="常规 118 2 2 14" xfId="21596"/>
    <cellStyle name="常规 123 2 2 14" xfId="21597"/>
    <cellStyle name="常规 118 2 2 15" xfId="21598"/>
    <cellStyle name="常规 123 2 2 15" xfId="21599"/>
    <cellStyle name="常规 118 2 2 16" xfId="21600"/>
    <cellStyle name="常规 123 2 2 16" xfId="21601"/>
    <cellStyle name="常规 118 2 2 17" xfId="21602"/>
    <cellStyle name="常规 123 2 2 17" xfId="21603"/>
    <cellStyle name="常规 118 2 2 18" xfId="21604"/>
    <cellStyle name="常规 123 2 2 18" xfId="21605"/>
    <cellStyle name="常规 118 2 2 2" xfId="21606"/>
    <cellStyle name="常规 123 2 2 2" xfId="21607"/>
    <cellStyle name="常规 118 2 2 3" xfId="21608"/>
    <cellStyle name="常规 123 2 2 3" xfId="21609"/>
    <cellStyle name="常规 118 2 2 3 2" xfId="21610"/>
    <cellStyle name="常规 123 2 2 3 2" xfId="21611"/>
    <cellStyle name="常规 118 2 2 3 2 2" xfId="21612"/>
    <cellStyle name="常规 123 2 2 3 2 2" xfId="21613"/>
    <cellStyle name="常规 118 2 2 3 2 3" xfId="21614"/>
    <cellStyle name="常规 123 2 2 3 2 3" xfId="21615"/>
    <cellStyle name="常规 118 2 2 3 3" xfId="21616"/>
    <cellStyle name="常规 123 2 2 3 3" xfId="21617"/>
    <cellStyle name="常规 118 2 2 4" xfId="21618"/>
    <cellStyle name="常规 123 2 2 4" xfId="21619"/>
    <cellStyle name="常规 118 2 2 5" xfId="21620"/>
    <cellStyle name="常规 123 2 2 5" xfId="21621"/>
    <cellStyle name="常规 118 2 2 6" xfId="21622"/>
    <cellStyle name="常规 123 2 2 6" xfId="21623"/>
    <cellStyle name="常规 118 2 2 7" xfId="21624"/>
    <cellStyle name="常规 123 2 2 7" xfId="21625"/>
    <cellStyle name="常规 118 2 3" xfId="21626"/>
    <cellStyle name="常规 123 2 3" xfId="21627"/>
    <cellStyle name="常规 118 2 4" xfId="21628"/>
    <cellStyle name="常规 123 2 4" xfId="21629"/>
    <cellStyle name="常规 98 3 3 3" xfId="21630"/>
    <cellStyle name="常规 118 2 4 2" xfId="21631"/>
    <cellStyle name="常规 123 2 4 2" xfId="21632"/>
    <cellStyle name="常规 118 2 4 2 3" xfId="21633"/>
    <cellStyle name="常规 123 2 4 2 3" xfId="21634"/>
    <cellStyle name="常规 118 2 4 3" xfId="21635"/>
    <cellStyle name="常规 123 2 4 3" xfId="21636"/>
    <cellStyle name="常规 118 2 5" xfId="21637"/>
    <cellStyle name="常规 123 2 5" xfId="21638"/>
    <cellStyle name="常规 118 2 6" xfId="21639"/>
    <cellStyle name="常规 123 2 6" xfId="21640"/>
    <cellStyle name="常规 118 2 7" xfId="21641"/>
    <cellStyle name="常规 123 2 7" xfId="21642"/>
    <cellStyle name="常规 118 2 8" xfId="21643"/>
    <cellStyle name="常规 123 2 8" xfId="21644"/>
    <cellStyle name="常规 118 2 9" xfId="21645"/>
    <cellStyle name="常规 123 2 9" xfId="21646"/>
    <cellStyle name="常规 118 3" xfId="21647"/>
    <cellStyle name="常规 123 3" xfId="21648"/>
    <cellStyle name="常规 118 3 15" xfId="21649"/>
    <cellStyle name="常规 123 3 15" xfId="21650"/>
    <cellStyle name="常规 118 3 16" xfId="21651"/>
    <cellStyle name="常规 123 3 16" xfId="21652"/>
    <cellStyle name="好 3 10" xfId="21653"/>
    <cellStyle name="常规 118 3 17" xfId="21654"/>
    <cellStyle name="常规 123 3 17" xfId="21655"/>
    <cellStyle name="好 3 11" xfId="21656"/>
    <cellStyle name="常规 118 3 18" xfId="21657"/>
    <cellStyle name="常规 123 3 18" xfId="21658"/>
    <cellStyle name="常规 118 4" xfId="21659"/>
    <cellStyle name="常规 123 4" xfId="21660"/>
    <cellStyle name="常规 118 5" xfId="21661"/>
    <cellStyle name="常规 123 5" xfId="21662"/>
    <cellStyle name="常规 118 5 2 3" xfId="21663"/>
    <cellStyle name="常规 123 5 2 3" xfId="21664"/>
    <cellStyle name="常规 118 5 3" xfId="21665"/>
    <cellStyle name="常规 123 5 3" xfId="21666"/>
    <cellStyle name="常规 118 6" xfId="21667"/>
    <cellStyle name="常规 123 6" xfId="21668"/>
    <cellStyle name="常规 118 7" xfId="21669"/>
    <cellStyle name="常规 123 7" xfId="21670"/>
    <cellStyle name="常规 118 8" xfId="21671"/>
    <cellStyle name="常规 123 8" xfId="21672"/>
    <cellStyle name="警告文本 2 2" xfId="21673"/>
    <cellStyle name="常规 118 9" xfId="21674"/>
    <cellStyle name="常规 123 9" xfId="21675"/>
    <cellStyle name="常规 119" xfId="21676"/>
    <cellStyle name="常规 124" xfId="21677"/>
    <cellStyle name="常规 119 10" xfId="21678"/>
    <cellStyle name="常规 124 10" xfId="21679"/>
    <cellStyle name="常规 119 11" xfId="21680"/>
    <cellStyle name="常规 124 11" xfId="21681"/>
    <cellStyle name="常规 119 2 18" xfId="21682"/>
    <cellStyle name="常规 124 2 18" xfId="21683"/>
    <cellStyle name="常规 119 2 19" xfId="21684"/>
    <cellStyle name="常规 124 2 19" xfId="21685"/>
    <cellStyle name="汇总 3 2 7 2 4" xfId="21686"/>
    <cellStyle name="常规 29 3 6" xfId="21687"/>
    <cellStyle name="常规 34 3 6" xfId="21688"/>
    <cellStyle name="常规 119 2 2 10" xfId="21689"/>
    <cellStyle name="常规 124 2 2 10" xfId="21690"/>
    <cellStyle name="汇总 3 2 7 2 5" xfId="21691"/>
    <cellStyle name="常规 29 3 7" xfId="21692"/>
    <cellStyle name="常规 34 3 7" xfId="21693"/>
    <cellStyle name="常规 119 2 2 11" xfId="21694"/>
    <cellStyle name="常规 124 2 2 11" xfId="21695"/>
    <cellStyle name="汇总 3 2 7 2 6" xfId="21696"/>
    <cellStyle name="常规 29 3 8" xfId="21697"/>
    <cellStyle name="常规 34 3 8" xfId="21698"/>
    <cellStyle name="常规 119 2 2 12" xfId="21699"/>
    <cellStyle name="常规 124 2 2 12" xfId="21700"/>
    <cellStyle name="汇总 3 2 7 2 7" xfId="21701"/>
    <cellStyle name="常规 29 3 9" xfId="21702"/>
    <cellStyle name="常规 34 3 9" xfId="21703"/>
    <cellStyle name="常规 119 2 2 13" xfId="21704"/>
    <cellStyle name="常规 124 2 2 13" xfId="21705"/>
    <cellStyle name="汇总 3 2 7 2 8" xfId="21706"/>
    <cellStyle name="常规 119 2 2 14" xfId="21707"/>
    <cellStyle name="常规 124 2 2 14" xfId="21708"/>
    <cellStyle name="汇总 3 2 7 2 9" xfId="21709"/>
    <cellStyle name="常规 119 2 2 15" xfId="21710"/>
    <cellStyle name="常规 124 2 2 15" xfId="21711"/>
    <cellStyle name="常规 119 2 2 16" xfId="21712"/>
    <cellStyle name="常规 124 2 2 16" xfId="21713"/>
    <cellStyle name="常规 119 2 2 17" xfId="21714"/>
    <cellStyle name="常规 124 2 2 17" xfId="21715"/>
    <cellStyle name="常规 119 2 2 18" xfId="21716"/>
    <cellStyle name="常规 124 2 2 18" xfId="21717"/>
    <cellStyle name="常规 119 2 2 3" xfId="21718"/>
    <cellStyle name="常规 124 2 2 3" xfId="21719"/>
    <cellStyle name="常规 119 2 2 4" xfId="21720"/>
    <cellStyle name="常规 124 2 2 4" xfId="21721"/>
    <cellStyle name="常规 119 2 2 5" xfId="21722"/>
    <cellStyle name="常规 124 2 2 5" xfId="21723"/>
    <cellStyle name="商品名称 8 10" xfId="21724"/>
    <cellStyle name="常规 119 2 2 6" xfId="21725"/>
    <cellStyle name="常规 124 2 2 6" xfId="21726"/>
    <cellStyle name="常规 99 3 3 3" xfId="21727"/>
    <cellStyle name="常规 119 2 4 2" xfId="21728"/>
    <cellStyle name="常规 124 2 4 2" xfId="21729"/>
    <cellStyle name="常规 119 2 4 3" xfId="21730"/>
    <cellStyle name="常规 124 2 4 3" xfId="21731"/>
    <cellStyle name="常规 119 3 10" xfId="21732"/>
    <cellStyle name="常规 124 3 10" xfId="21733"/>
    <cellStyle name="常规 136 3 3 2 2" xfId="21734"/>
    <cellStyle name="常规 141 3 3 2 2" xfId="21735"/>
    <cellStyle name="常规 119 3 11" xfId="21736"/>
    <cellStyle name="常规 124 3 11" xfId="21737"/>
    <cellStyle name="常规 136 3 3 2 3" xfId="21738"/>
    <cellStyle name="常规 141 3 3 2 3" xfId="21739"/>
    <cellStyle name="常规 119 3 12" xfId="21740"/>
    <cellStyle name="常规 124 3 12" xfId="21741"/>
    <cellStyle name="常规 119 3 13" xfId="21742"/>
    <cellStyle name="常规 124 3 13" xfId="21743"/>
    <cellStyle name="常规 119 3 14" xfId="21744"/>
    <cellStyle name="常规 124 3 14" xfId="21745"/>
    <cellStyle name="常规 119 3 15" xfId="21746"/>
    <cellStyle name="常规 124 3 15" xfId="21747"/>
    <cellStyle name="常规 119 3 16" xfId="21748"/>
    <cellStyle name="常规 124 3 16" xfId="21749"/>
    <cellStyle name="常规 119 3 18" xfId="21750"/>
    <cellStyle name="常规 124 3 18" xfId="21751"/>
    <cellStyle name="常规 119 3 3 2 2" xfId="21752"/>
    <cellStyle name="常规 124 3 3 2 2" xfId="21753"/>
    <cellStyle name="常规 119 3 3 2 3" xfId="21754"/>
    <cellStyle name="常规 124 3 3 2 3" xfId="21755"/>
    <cellStyle name="常规 47 17" xfId="21756"/>
    <cellStyle name="常规 47 22" xfId="21757"/>
    <cellStyle name="常规 52 17" xfId="21758"/>
    <cellStyle name="常规 52 22" xfId="21759"/>
    <cellStyle name="常规 119 3 9" xfId="21760"/>
    <cellStyle name="常规 124 3 9" xfId="21761"/>
    <cellStyle name="常规 119 5 2" xfId="21762"/>
    <cellStyle name="常规 124 5 2" xfId="21763"/>
    <cellStyle name="常规 119 5 3" xfId="21764"/>
    <cellStyle name="常规 124 5 3" xfId="21765"/>
    <cellStyle name="常规 12" xfId="21766"/>
    <cellStyle name="常规 12 2 10" xfId="21767"/>
    <cellStyle name="常规 12 2 13" xfId="21768"/>
    <cellStyle name="常规 12 2 14" xfId="21769"/>
    <cellStyle name="常规 12 2 15" xfId="21770"/>
    <cellStyle name="常规 12 2 16" xfId="21771"/>
    <cellStyle name="常规 12 2 17" xfId="21772"/>
    <cellStyle name="常规 12 2 18" xfId="21773"/>
    <cellStyle name="常规 12 2 3" xfId="21774"/>
    <cellStyle name="常规 12 2 3 2" xfId="21775"/>
    <cellStyle name="常规 12 2 3 3" xfId="21776"/>
    <cellStyle name="常规 12 2 4" xfId="21777"/>
    <cellStyle name="常规 12 2 5" xfId="21778"/>
    <cellStyle name="常规 12 2 6" xfId="21779"/>
    <cellStyle name="常规 12 2 7" xfId="21780"/>
    <cellStyle name="常规 159 4 2" xfId="21781"/>
    <cellStyle name="常规 12 2 8" xfId="21782"/>
    <cellStyle name="常规 159 4 3" xfId="21783"/>
    <cellStyle name="常规 12 2 9" xfId="21784"/>
    <cellStyle name="常规 12 3 10" xfId="21785"/>
    <cellStyle name="常规 12 3 11" xfId="21786"/>
    <cellStyle name="强调文字颜色 2 4 2" xfId="21787"/>
    <cellStyle name="常规 12 3 12" xfId="21788"/>
    <cellStyle name="强调文字颜色 2 4 3" xfId="21789"/>
    <cellStyle name="常规 12 3 13" xfId="21790"/>
    <cellStyle name="强调文字颜色 2 4 4" xfId="21791"/>
    <cellStyle name="常规 12 3 14" xfId="21792"/>
    <cellStyle name="常规 12 3 15" xfId="21793"/>
    <cellStyle name="汇总 3 6 9" xfId="21794"/>
    <cellStyle name="常规 12 3 2" xfId="21795"/>
    <cellStyle name="常规 12 3 3" xfId="21796"/>
    <cellStyle name="汇总 3 2 14 3" xfId="21797"/>
    <cellStyle name="常规 12 3 3 2" xfId="21798"/>
    <cellStyle name="常规 12 3 3 2 2" xfId="21799"/>
    <cellStyle name="常规 12 3 3 3" xfId="21800"/>
    <cellStyle name="常规 12 3 4" xfId="21801"/>
    <cellStyle name="常规 12 3 5" xfId="21802"/>
    <cellStyle name="常规 12 3 6" xfId="21803"/>
    <cellStyle name="常规 12 3 7" xfId="21804"/>
    <cellStyle name="常规 12 3 8" xfId="21805"/>
    <cellStyle name="常规 12 3 9" xfId="21806"/>
    <cellStyle name="常规 12 5 3" xfId="21807"/>
    <cellStyle name="常规 22 2 2 12" xfId="21808"/>
    <cellStyle name="常规 68 2 19" xfId="21809"/>
    <cellStyle name="常规 73 2 19" xfId="21810"/>
    <cellStyle name="常规 12 7" xfId="21811"/>
    <cellStyle name="常规 12 8" xfId="21812"/>
    <cellStyle name="常规 12 9" xfId="21813"/>
    <cellStyle name="常规 125" xfId="21814"/>
    <cellStyle name="常规 130" xfId="21815"/>
    <cellStyle name="常规 125 11" xfId="21816"/>
    <cellStyle name="常规 130 11" xfId="21817"/>
    <cellStyle name="常规 125 12" xfId="21818"/>
    <cellStyle name="常规 130 12" xfId="21819"/>
    <cellStyle name="常规 125 13" xfId="21820"/>
    <cellStyle name="常规 130 13" xfId="21821"/>
    <cellStyle name="常规 125 14" xfId="21822"/>
    <cellStyle name="常规 130 14" xfId="21823"/>
    <cellStyle name="常规 125 15" xfId="21824"/>
    <cellStyle name="常规 125 20" xfId="21825"/>
    <cellStyle name="常规 130 15" xfId="21826"/>
    <cellStyle name="常规 130 20" xfId="21827"/>
    <cellStyle name="常规 125 16" xfId="21828"/>
    <cellStyle name="常规 125 21" xfId="21829"/>
    <cellStyle name="常规 130 16" xfId="21830"/>
    <cellStyle name="常规 130 21" xfId="21831"/>
    <cellStyle name="常规 125 17" xfId="21832"/>
    <cellStyle name="常规 125 22" xfId="21833"/>
    <cellStyle name="常规 130 17" xfId="21834"/>
    <cellStyle name="常规 130 22" xfId="21835"/>
    <cellStyle name="常规 125 18" xfId="21836"/>
    <cellStyle name="常规 125 23" xfId="21837"/>
    <cellStyle name="常规 130 18" xfId="21838"/>
    <cellStyle name="常规 130 23" xfId="21839"/>
    <cellStyle name="常规 146 2 2 3 2 2" xfId="21840"/>
    <cellStyle name="常规 151 2 2 3 2 2" xfId="21841"/>
    <cellStyle name="常规 125 19" xfId="21842"/>
    <cellStyle name="常规 130 19" xfId="21843"/>
    <cellStyle name="常规 125 2" xfId="21844"/>
    <cellStyle name="常规 130 2" xfId="21845"/>
    <cellStyle name="输入 3 4 8" xfId="21846"/>
    <cellStyle name="常规 125 2 10" xfId="21847"/>
    <cellStyle name="常规 130 2 10" xfId="21848"/>
    <cellStyle name="输入 3 4 9" xfId="21849"/>
    <cellStyle name="常规 125 2 11" xfId="21850"/>
    <cellStyle name="常规 130 2 11" xfId="21851"/>
    <cellStyle name="常规 125 2 12" xfId="21852"/>
    <cellStyle name="常规 130 2 12" xfId="21853"/>
    <cellStyle name="常规 125 2 13" xfId="21854"/>
    <cellStyle name="常规 130 2 13" xfId="21855"/>
    <cellStyle name="常规 125 2 14" xfId="21856"/>
    <cellStyle name="常规 130 2 14" xfId="21857"/>
    <cellStyle name="常规 125 2 15" xfId="21858"/>
    <cellStyle name="常规 130 2 15" xfId="21859"/>
    <cellStyle name="常规 125 2 16" xfId="21860"/>
    <cellStyle name="常规 130 2 16" xfId="21861"/>
    <cellStyle name="常规 125 2 17" xfId="21862"/>
    <cellStyle name="常规 130 2 17" xfId="21863"/>
    <cellStyle name="常规 125 2 18" xfId="21864"/>
    <cellStyle name="常规 130 2 18" xfId="21865"/>
    <cellStyle name="常规 125 2 19" xfId="21866"/>
    <cellStyle name="常规 130 2 19" xfId="21867"/>
    <cellStyle name="常规 125 2 2" xfId="21868"/>
    <cellStyle name="常规 130 2 2" xfId="21869"/>
    <cellStyle name="常规 125 2 2 10" xfId="21870"/>
    <cellStyle name="常规 130 2 2 10" xfId="21871"/>
    <cellStyle name="常规 125 2 2 11" xfId="21872"/>
    <cellStyle name="常规 130 2 2 11" xfId="21873"/>
    <cellStyle name="常规 125 2 2 12" xfId="21874"/>
    <cellStyle name="常规 130 2 2 12" xfId="21875"/>
    <cellStyle name="常规 125 2 2 13" xfId="21876"/>
    <cellStyle name="常规 130 2 2 13" xfId="21877"/>
    <cellStyle name="常规 125 2 2 14" xfId="21878"/>
    <cellStyle name="常规 130 2 2 14" xfId="21879"/>
    <cellStyle name="常规 125 2 2 15" xfId="21880"/>
    <cellStyle name="常规 130 2 2 15" xfId="21881"/>
    <cellStyle name="常规 125 2 2 2" xfId="21882"/>
    <cellStyle name="常规 130 2 2 2" xfId="21883"/>
    <cellStyle name="常规 125 2 2 3" xfId="21884"/>
    <cellStyle name="常规 130 2 2 3" xfId="21885"/>
    <cellStyle name="常规 125 2 2 3 2 2" xfId="21886"/>
    <cellStyle name="常规 130 2 2 3 2 2" xfId="21887"/>
    <cellStyle name="常规 125 2 2 3 2 3" xfId="21888"/>
    <cellStyle name="常规 130 2 2 3 2 3" xfId="21889"/>
    <cellStyle name="常规 125 2 2 4" xfId="21890"/>
    <cellStyle name="常规 130 2 2 4" xfId="21891"/>
    <cellStyle name="输出 3 2 3 2 2" xfId="21892"/>
    <cellStyle name="常规 125 2 2 5" xfId="21893"/>
    <cellStyle name="常规 130 2 2 5" xfId="21894"/>
    <cellStyle name="输出 3 2 3 2 3" xfId="21895"/>
    <cellStyle name="常规 125 2 2 6" xfId="21896"/>
    <cellStyle name="常规 130 2 2 6" xfId="21897"/>
    <cellStyle name="输出 3 2 3 2 4" xfId="21898"/>
    <cellStyle name="常规 125 2 2 7" xfId="21899"/>
    <cellStyle name="常规 130 2 2 7" xfId="21900"/>
    <cellStyle name="常规 125 2 3" xfId="21901"/>
    <cellStyle name="常规 130 2 3" xfId="21902"/>
    <cellStyle name="常规 125 2 4" xfId="21903"/>
    <cellStyle name="常规 130 2 4" xfId="21904"/>
    <cellStyle name="常规 125 2 4 2" xfId="21905"/>
    <cellStyle name="常规 130 2 4 2" xfId="21906"/>
    <cellStyle name="常规 125 2 4 2 2" xfId="21907"/>
    <cellStyle name="常规 130 2 4 2 2" xfId="21908"/>
    <cellStyle name="汇总 2 2 6 11" xfId="21909"/>
    <cellStyle name="常规 125 2 4 2 3" xfId="21910"/>
    <cellStyle name="常规 130 2 4 2 3" xfId="21911"/>
    <cellStyle name="汇总 2 2 6 12" xfId="21912"/>
    <cellStyle name="常规 125 2 4 3" xfId="21913"/>
    <cellStyle name="常规 130 2 4 3" xfId="21914"/>
    <cellStyle name="常规 125 2 5" xfId="21915"/>
    <cellStyle name="常规 130 2 5" xfId="21916"/>
    <cellStyle name="常规 125 2 6" xfId="21917"/>
    <cellStyle name="常规 130 2 6" xfId="21918"/>
    <cellStyle name="常规 125 2 7" xfId="21919"/>
    <cellStyle name="常规 130 2 7" xfId="21920"/>
    <cellStyle name="常规 125 2 8" xfId="21921"/>
    <cellStyle name="常规 130 2 8" xfId="21922"/>
    <cellStyle name="常规 125 2 9" xfId="21923"/>
    <cellStyle name="常规 130 2 9" xfId="21924"/>
    <cellStyle name="常规 125 3" xfId="21925"/>
    <cellStyle name="常规 130 3" xfId="21926"/>
    <cellStyle name="输入 3 9 8" xfId="21927"/>
    <cellStyle name="常规 125 3 10" xfId="21928"/>
    <cellStyle name="常规 130 3 10" xfId="21929"/>
    <cellStyle name="输入 3 9 9" xfId="21930"/>
    <cellStyle name="常规 125 3 11" xfId="21931"/>
    <cellStyle name="常规 130 3 11" xfId="21932"/>
    <cellStyle name="常规 125 3 12" xfId="21933"/>
    <cellStyle name="常规 130 3 12" xfId="21934"/>
    <cellStyle name="常规 125 3 13" xfId="21935"/>
    <cellStyle name="常规 130 3 13" xfId="21936"/>
    <cellStyle name="常规 125 3 14" xfId="21937"/>
    <cellStyle name="常规 130 3 14" xfId="21938"/>
    <cellStyle name="常规 125 3 15" xfId="21939"/>
    <cellStyle name="常规 130 3 15" xfId="21940"/>
    <cellStyle name="常规 125 3 16" xfId="21941"/>
    <cellStyle name="常规 130 3 16" xfId="21942"/>
    <cellStyle name="常规 125 3 17" xfId="21943"/>
    <cellStyle name="常规 130 3 17" xfId="21944"/>
    <cellStyle name="常规 125 3 18" xfId="21945"/>
    <cellStyle name="常规 130 3 18" xfId="21946"/>
    <cellStyle name="常规 98 3 13" xfId="21947"/>
    <cellStyle name="常规 125 3 3 2" xfId="21948"/>
    <cellStyle name="常规 130 3 3 2" xfId="21949"/>
    <cellStyle name="常规 125 3 3 2 2" xfId="21950"/>
    <cellStyle name="常规 130 3 3 2 2" xfId="21951"/>
    <cellStyle name="常规 125 3 3 2 3" xfId="21952"/>
    <cellStyle name="常规 130 3 3 2 3" xfId="21953"/>
    <cellStyle name="常规 98 3 14" xfId="21954"/>
    <cellStyle name="常规 125 3 3 3" xfId="21955"/>
    <cellStyle name="常规 130 3 3 3" xfId="21956"/>
    <cellStyle name="常规 57 17" xfId="21957"/>
    <cellStyle name="常规 57 22" xfId="21958"/>
    <cellStyle name="常规 62 17" xfId="21959"/>
    <cellStyle name="常规 62 22" xfId="21960"/>
    <cellStyle name="常规 125 3 9" xfId="21961"/>
    <cellStyle name="常规 130 3 9" xfId="21962"/>
    <cellStyle name="常规 125 4" xfId="21963"/>
    <cellStyle name="常规 130 4" xfId="21964"/>
    <cellStyle name="常规 125 5" xfId="21965"/>
    <cellStyle name="常规 130 5" xfId="21966"/>
    <cellStyle name="常规 125 5 2" xfId="21967"/>
    <cellStyle name="常规 130 5 2" xfId="21968"/>
    <cellStyle name="常规 125 5 2 2" xfId="21969"/>
    <cellStyle name="常规 130 5 2 2" xfId="21970"/>
    <cellStyle name="常规 125 5 2 3" xfId="21971"/>
    <cellStyle name="常规 130 5 2 3" xfId="21972"/>
    <cellStyle name="常规 125 5 3" xfId="21973"/>
    <cellStyle name="常规 130 5 3" xfId="21974"/>
    <cellStyle name="常规 125 6" xfId="21975"/>
    <cellStyle name="常规 130 6" xfId="21976"/>
    <cellStyle name="常规 125 7" xfId="21977"/>
    <cellStyle name="常规 130 7" xfId="21978"/>
    <cellStyle name="常规 125 8" xfId="21979"/>
    <cellStyle name="常规 130 8" xfId="21980"/>
    <cellStyle name="警告文本 4 2" xfId="21981"/>
    <cellStyle name="常规 125 9" xfId="21982"/>
    <cellStyle name="常规 130 9" xfId="21983"/>
    <cellStyle name="常规 126" xfId="21984"/>
    <cellStyle name="常规 131" xfId="21985"/>
    <cellStyle name="常规 126 10" xfId="21986"/>
    <cellStyle name="常规 131 10" xfId="21987"/>
    <cellStyle name="常规 126 11" xfId="21988"/>
    <cellStyle name="常规 131 11" xfId="21989"/>
    <cellStyle name="常规 126 12" xfId="21990"/>
    <cellStyle name="常规 131 12" xfId="21991"/>
    <cellStyle name="常规 126 13" xfId="21992"/>
    <cellStyle name="常规 131 13" xfId="21993"/>
    <cellStyle name="常规 126 14" xfId="21994"/>
    <cellStyle name="常规 131 14" xfId="21995"/>
    <cellStyle name="常规 126 15" xfId="21996"/>
    <cellStyle name="常规 126 20" xfId="21997"/>
    <cellStyle name="常规 131 15" xfId="21998"/>
    <cellStyle name="常规 131 20" xfId="21999"/>
    <cellStyle name="常规 126 16" xfId="22000"/>
    <cellStyle name="常规 126 21" xfId="22001"/>
    <cellStyle name="常规 131 16" xfId="22002"/>
    <cellStyle name="常规 131 21" xfId="22003"/>
    <cellStyle name="常规 126 17" xfId="22004"/>
    <cellStyle name="常规 126 22" xfId="22005"/>
    <cellStyle name="常规 131 17" xfId="22006"/>
    <cellStyle name="常规 131 22" xfId="22007"/>
    <cellStyle name="常规 126 18" xfId="22008"/>
    <cellStyle name="常规 126 23" xfId="22009"/>
    <cellStyle name="常规 131 18" xfId="22010"/>
    <cellStyle name="常规 131 23" xfId="22011"/>
    <cellStyle name="常规 126 19" xfId="22012"/>
    <cellStyle name="常规 131 19" xfId="22013"/>
    <cellStyle name="常规 126 2" xfId="22014"/>
    <cellStyle name="常规 131 2" xfId="22015"/>
    <cellStyle name="常规 159 9" xfId="22016"/>
    <cellStyle name="常规 164 9" xfId="22017"/>
    <cellStyle name="常规 126 2 10" xfId="22018"/>
    <cellStyle name="常规 131 2 10" xfId="22019"/>
    <cellStyle name="常规 126 2 11" xfId="22020"/>
    <cellStyle name="常规 131 2 11" xfId="22021"/>
    <cellStyle name="常规 126 2 12" xfId="22022"/>
    <cellStyle name="常规 131 2 12" xfId="22023"/>
    <cellStyle name="常规 126 2 13" xfId="22024"/>
    <cellStyle name="常规 131 2 13" xfId="22025"/>
    <cellStyle name="常规 126 2 14" xfId="22026"/>
    <cellStyle name="常规 131 2 14" xfId="22027"/>
    <cellStyle name="常规 126 2 15" xfId="22028"/>
    <cellStyle name="常规 131 2 15" xfId="22029"/>
    <cellStyle name="常规 126 2 16" xfId="22030"/>
    <cellStyle name="常规 131 2 16" xfId="22031"/>
    <cellStyle name="常规 126 2 17" xfId="22032"/>
    <cellStyle name="常规 131 2 17" xfId="22033"/>
    <cellStyle name="常规 126 2 18" xfId="22034"/>
    <cellStyle name="常规 131 2 18" xfId="22035"/>
    <cellStyle name="常规 126 2 19" xfId="22036"/>
    <cellStyle name="常规 131 2 19" xfId="22037"/>
    <cellStyle name="常规 126 2 2" xfId="22038"/>
    <cellStyle name="常规 131 2 2" xfId="22039"/>
    <cellStyle name="常规 126 2 2 2" xfId="22040"/>
    <cellStyle name="常规 131 2 2 2" xfId="22041"/>
    <cellStyle name="常规 126 2 2 3" xfId="22042"/>
    <cellStyle name="常规 131 2 2 3" xfId="22043"/>
    <cellStyle name="常规 126 2 2 3 2 3" xfId="22044"/>
    <cellStyle name="常规 131 2 2 3 2 3" xfId="22045"/>
    <cellStyle name="常规 126 2 2 4" xfId="22046"/>
    <cellStyle name="常规 131 2 2 4" xfId="22047"/>
    <cellStyle name="输出 3 3 3 2 2" xfId="22048"/>
    <cellStyle name="常规 126 2 2 5" xfId="22049"/>
    <cellStyle name="常规 131 2 2 5" xfId="22050"/>
    <cellStyle name="输出 3 3 3 2 3" xfId="22051"/>
    <cellStyle name="常规 126 2 2 6" xfId="22052"/>
    <cellStyle name="常规 131 2 2 6" xfId="22053"/>
    <cellStyle name="输出 3 3 3 2 4" xfId="22054"/>
    <cellStyle name="常规 126 2 2 7" xfId="22055"/>
    <cellStyle name="常规 131 2 2 7" xfId="22056"/>
    <cellStyle name="常规 126 2 3" xfId="22057"/>
    <cellStyle name="常规 131 2 3" xfId="22058"/>
    <cellStyle name="常规 126 2 4" xfId="22059"/>
    <cellStyle name="常规 131 2 4" xfId="22060"/>
    <cellStyle name="常规 126 2 4 2" xfId="22061"/>
    <cellStyle name="常规 131 2 4 2" xfId="22062"/>
    <cellStyle name="常规 126 2 4 2 2" xfId="22063"/>
    <cellStyle name="常规 131 2 4 2 2" xfId="22064"/>
    <cellStyle name="常规 126 2 4 2 3" xfId="22065"/>
    <cellStyle name="常规 131 2 4 2 3" xfId="22066"/>
    <cellStyle name="常规 126 2 4 3" xfId="22067"/>
    <cellStyle name="常规 131 2 4 3" xfId="22068"/>
    <cellStyle name="常规 126 2 5" xfId="22069"/>
    <cellStyle name="常规 131 2 5" xfId="22070"/>
    <cellStyle name="常规 126 2 6" xfId="22071"/>
    <cellStyle name="常规 131 2 6" xfId="22072"/>
    <cellStyle name="常规 126 2 7" xfId="22073"/>
    <cellStyle name="常规 131 2 7" xfId="22074"/>
    <cellStyle name="常规 126 2 8" xfId="22075"/>
    <cellStyle name="常规 131 2 8" xfId="22076"/>
    <cellStyle name="常规 126 2 9" xfId="22077"/>
    <cellStyle name="常规 131 2 9" xfId="22078"/>
    <cellStyle name="常规 126 3" xfId="22079"/>
    <cellStyle name="常规 131 3" xfId="22080"/>
    <cellStyle name="常规 87 2 4 2 2" xfId="22081"/>
    <cellStyle name="常规 92 2 4 2 2" xfId="22082"/>
    <cellStyle name="常规 169 9" xfId="22083"/>
    <cellStyle name="常规 174 9" xfId="22084"/>
    <cellStyle name="常规 126 3 10" xfId="22085"/>
    <cellStyle name="常规 131 3 10" xfId="22086"/>
    <cellStyle name="常规 87 2 4 2 3" xfId="22087"/>
    <cellStyle name="常规 92 2 4 2 3" xfId="22088"/>
    <cellStyle name="常规 126 3 11" xfId="22089"/>
    <cellStyle name="常规 131 3 11" xfId="22090"/>
    <cellStyle name="常规 126 3 12" xfId="22091"/>
    <cellStyle name="常规 131 3 12" xfId="22092"/>
    <cellStyle name="常规 126 3 13" xfId="22093"/>
    <cellStyle name="常规 131 3 13" xfId="22094"/>
    <cellStyle name="常规 126 3 14" xfId="22095"/>
    <cellStyle name="常规 131 3 14" xfId="22096"/>
    <cellStyle name="常规 126 3 15" xfId="22097"/>
    <cellStyle name="常规 131 3 15" xfId="22098"/>
    <cellStyle name="常规 25 2 4 2" xfId="22099"/>
    <cellStyle name="常规 30 2 4 2" xfId="22100"/>
    <cellStyle name="常规 126 3 16" xfId="22101"/>
    <cellStyle name="常规 131 3 16" xfId="22102"/>
    <cellStyle name="常规 25 2 4 3" xfId="22103"/>
    <cellStyle name="常规 30 2 4 3" xfId="22104"/>
    <cellStyle name="常规 126 3 17" xfId="22105"/>
    <cellStyle name="常规 131 3 17" xfId="22106"/>
    <cellStyle name="常规 126 3 18" xfId="22107"/>
    <cellStyle name="常规 131 3 18" xfId="22108"/>
    <cellStyle name="常规 3 3 3 2 3" xfId="22109"/>
    <cellStyle name="常规 67 10" xfId="22110"/>
    <cellStyle name="常规 72 10" xfId="22111"/>
    <cellStyle name="常规 126 3 2" xfId="22112"/>
    <cellStyle name="常规 131 3 2" xfId="22113"/>
    <cellStyle name="常规 67 11" xfId="22114"/>
    <cellStyle name="常规 72 11" xfId="22115"/>
    <cellStyle name="常规 126 3 3" xfId="22116"/>
    <cellStyle name="常规 131 3 3" xfId="22117"/>
    <cellStyle name="常规 126 3 3 2" xfId="22118"/>
    <cellStyle name="常规 131 3 3 2" xfId="22119"/>
    <cellStyle name="常规 126 3 3 2 2" xfId="22120"/>
    <cellStyle name="常规 131 3 3 2 2" xfId="22121"/>
    <cellStyle name="常规 126 3 3 2 3" xfId="22122"/>
    <cellStyle name="常规 131 3 3 2 3" xfId="22123"/>
    <cellStyle name="常规 126 3 3 3" xfId="22124"/>
    <cellStyle name="常规 131 3 3 3" xfId="22125"/>
    <cellStyle name="常规 67 12" xfId="22126"/>
    <cellStyle name="常规 72 12" xfId="22127"/>
    <cellStyle name="常规 126 3 4" xfId="22128"/>
    <cellStyle name="常规 131 3 4" xfId="22129"/>
    <cellStyle name="常规 67 13" xfId="22130"/>
    <cellStyle name="常规 72 13" xfId="22131"/>
    <cellStyle name="常规 126 3 5" xfId="22132"/>
    <cellStyle name="常规 131 3 5" xfId="22133"/>
    <cellStyle name="常规 67 14" xfId="22134"/>
    <cellStyle name="常规 72 14" xfId="22135"/>
    <cellStyle name="常规 126 3 6" xfId="22136"/>
    <cellStyle name="常规 131 3 6" xfId="22137"/>
    <cellStyle name="常规 67 15" xfId="22138"/>
    <cellStyle name="常规 67 20" xfId="22139"/>
    <cellStyle name="常规 72 15" xfId="22140"/>
    <cellStyle name="常规 72 20" xfId="22141"/>
    <cellStyle name="常规 126 3 7" xfId="22142"/>
    <cellStyle name="常规 131 3 7" xfId="22143"/>
    <cellStyle name="常规 67 16" xfId="22144"/>
    <cellStyle name="常规 67 21" xfId="22145"/>
    <cellStyle name="常规 72 16" xfId="22146"/>
    <cellStyle name="常规 72 21" xfId="22147"/>
    <cellStyle name="常规 126 3 8" xfId="22148"/>
    <cellStyle name="常规 131 3 8" xfId="22149"/>
    <cellStyle name="常规 67 17" xfId="22150"/>
    <cellStyle name="常规 67 22" xfId="22151"/>
    <cellStyle name="常规 72 17" xfId="22152"/>
    <cellStyle name="常规 72 22" xfId="22153"/>
    <cellStyle name="常规 126 3 9" xfId="22154"/>
    <cellStyle name="常规 131 3 9" xfId="22155"/>
    <cellStyle name="常规 126 4" xfId="22156"/>
    <cellStyle name="常规 131 4" xfId="22157"/>
    <cellStyle name="常规 126 5" xfId="22158"/>
    <cellStyle name="常规 131 5" xfId="22159"/>
    <cellStyle name="常规 126 6" xfId="22160"/>
    <cellStyle name="常规 131 6" xfId="22161"/>
    <cellStyle name="常规 126 7" xfId="22162"/>
    <cellStyle name="常规 131 7" xfId="22163"/>
    <cellStyle name="常规 126 8" xfId="22164"/>
    <cellStyle name="常规 131 8" xfId="22165"/>
    <cellStyle name="常规 126 9" xfId="22166"/>
    <cellStyle name="常规 131 9" xfId="22167"/>
    <cellStyle name="常规 127" xfId="22168"/>
    <cellStyle name="常规 132" xfId="22169"/>
    <cellStyle name="常规 127 10" xfId="22170"/>
    <cellStyle name="常规 132 10" xfId="22171"/>
    <cellStyle name="常规 127 11" xfId="22172"/>
    <cellStyle name="常规 132 11" xfId="22173"/>
    <cellStyle name="常规 127 12" xfId="22174"/>
    <cellStyle name="常规 132 12" xfId="22175"/>
    <cellStyle name="常规 127 13" xfId="22176"/>
    <cellStyle name="常规 132 13" xfId="22177"/>
    <cellStyle name="常规 127 14" xfId="22178"/>
    <cellStyle name="常规 132 14" xfId="22179"/>
    <cellStyle name="常规 127 17" xfId="22180"/>
    <cellStyle name="常规 127 22" xfId="22181"/>
    <cellStyle name="常规 132 17" xfId="22182"/>
    <cellStyle name="常规 132 22" xfId="22183"/>
    <cellStyle name="常规 127 18" xfId="22184"/>
    <cellStyle name="常规 127 23" xfId="22185"/>
    <cellStyle name="常规 132 18" xfId="22186"/>
    <cellStyle name="常规 132 23" xfId="22187"/>
    <cellStyle name="常规 127 19" xfId="22188"/>
    <cellStyle name="常规 132 19" xfId="22189"/>
    <cellStyle name="常规 127 2" xfId="22190"/>
    <cellStyle name="常规 132 2" xfId="22191"/>
    <cellStyle name="常规 127 2 10" xfId="22192"/>
    <cellStyle name="常规 132 2 10" xfId="22193"/>
    <cellStyle name="常规 127 2 11" xfId="22194"/>
    <cellStyle name="常规 132 2 11" xfId="22195"/>
    <cellStyle name="常规 127 2 12" xfId="22196"/>
    <cellStyle name="常规 132 2 12" xfId="22197"/>
    <cellStyle name="常规 127 2 13" xfId="22198"/>
    <cellStyle name="常规 132 2 13" xfId="22199"/>
    <cellStyle name="常规 127 2 14" xfId="22200"/>
    <cellStyle name="常规 132 2 14" xfId="22201"/>
    <cellStyle name="常规 127 2 15" xfId="22202"/>
    <cellStyle name="常规 132 2 15" xfId="22203"/>
    <cellStyle name="常规 127 2 16" xfId="22204"/>
    <cellStyle name="常规 132 2 16" xfId="22205"/>
    <cellStyle name="常规 127 2 17" xfId="22206"/>
    <cellStyle name="常规 132 2 17" xfId="22207"/>
    <cellStyle name="常规 127 2 18" xfId="22208"/>
    <cellStyle name="常规 132 2 18" xfId="22209"/>
    <cellStyle name="常规 127 2 19" xfId="22210"/>
    <cellStyle name="常规 132 2 19" xfId="22211"/>
    <cellStyle name="常规 47 3 5" xfId="22212"/>
    <cellStyle name="常规 52 3 5" xfId="22213"/>
    <cellStyle name="常规 127 2 2 10" xfId="22214"/>
    <cellStyle name="常规 132 2 2 10" xfId="22215"/>
    <cellStyle name="常规 47 3 6" xfId="22216"/>
    <cellStyle name="常规 52 3 6" xfId="22217"/>
    <cellStyle name="常规 127 2 2 11" xfId="22218"/>
    <cellStyle name="常规 132 2 2 11" xfId="22219"/>
    <cellStyle name="常规 47 3 7" xfId="22220"/>
    <cellStyle name="常规 52 3 7" xfId="22221"/>
    <cellStyle name="常规 127 2 2 12" xfId="22222"/>
    <cellStyle name="常规 132 2 2 12" xfId="22223"/>
    <cellStyle name="常规 47 3 8" xfId="22224"/>
    <cellStyle name="常规 52 3 8" xfId="22225"/>
    <cellStyle name="常规 127 2 2 13" xfId="22226"/>
    <cellStyle name="常规 132 2 2 13" xfId="22227"/>
    <cellStyle name="常规 47 3 9" xfId="22228"/>
    <cellStyle name="常规 52 3 9" xfId="22229"/>
    <cellStyle name="常规 127 2 2 14" xfId="22230"/>
    <cellStyle name="常规 132 2 2 14" xfId="22231"/>
    <cellStyle name="常规 127 2 2 15" xfId="22232"/>
    <cellStyle name="常规 132 2 2 15" xfId="22233"/>
    <cellStyle name="常规 127 2 2 16" xfId="22234"/>
    <cellStyle name="常规 132 2 2 16" xfId="22235"/>
    <cellStyle name="常规 127 2 3" xfId="22236"/>
    <cellStyle name="常规 132 2 3" xfId="22237"/>
    <cellStyle name="常规 127 2 4" xfId="22238"/>
    <cellStyle name="常规 132 2 4" xfId="22239"/>
    <cellStyle name="常规 127 2 4 2" xfId="22240"/>
    <cellStyle name="常规 132 2 4 2" xfId="22241"/>
    <cellStyle name="常规 138 3 18" xfId="22242"/>
    <cellStyle name="常规 143 3 18" xfId="22243"/>
    <cellStyle name="常规 127 2 4 2 2" xfId="22244"/>
    <cellStyle name="常规 132 2 4 2 2" xfId="22245"/>
    <cellStyle name="常规 127 2 4 2 3" xfId="22246"/>
    <cellStyle name="常规 132 2 4 2 3" xfId="22247"/>
    <cellStyle name="常规 127 2 4 3" xfId="22248"/>
    <cellStyle name="常规 132 2 4 3" xfId="22249"/>
    <cellStyle name="常规 127 2 5" xfId="22250"/>
    <cellStyle name="常规 132 2 5" xfId="22251"/>
    <cellStyle name="常规 127 2 6" xfId="22252"/>
    <cellStyle name="常规 132 2 6" xfId="22253"/>
    <cellStyle name="常规 127 2 7" xfId="22254"/>
    <cellStyle name="常规 132 2 7" xfId="22255"/>
    <cellStyle name="常规 127 2 8" xfId="22256"/>
    <cellStyle name="常规 132 2 8" xfId="22257"/>
    <cellStyle name="常规 127 2 9" xfId="22258"/>
    <cellStyle name="常规 132 2 9" xfId="22259"/>
    <cellStyle name="常规 127 3" xfId="22260"/>
    <cellStyle name="常规 132 3" xfId="22261"/>
    <cellStyle name="常规 127 3 10" xfId="22262"/>
    <cellStyle name="常规 132 3 10" xfId="22263"/>
    <cellStyle name="常规 127 3 11" xfId="22264"/>
    <cellStyle name="常规 132 3 11" xfId="22265"/>
    <cellStyle name="强调文字颜色 1 2 2 2" xfId="22266"/>
    <cellStyle name="常规 127 3 12" xfId="22267"/>
    <cellStyle name="常规 132 3 12" xfId="22268"/>
    <cellStyle name="强调文字颜色 1 2 2 3" xfId="22269"/>
    <cellStyle name="常规 127 3 13" xfId="22270"/>
    <cellStyle name="常规 132 3 13" xfId="22271"/>
    <cellStyle name="强调文字颜色 1 2 2 4" xfId="22272"/>
    <cellStyle name="常规 127 3 14" xfId="22273"/>
    <cellStyle name="常规 132 3 14" xfId="22274"/>
    <cellStyle name="常规 127 3 15" xfId="22275"/>
    <cellStyle name="常规 132 3 15" xfId="22276"/>
    <cellStyle name="常规 127 3 16" xfId="22277"/>
    <cellStyle name="常规 132 3 16" xfId="22278"/>
    <cellStyle name="常规 127 3 17" xfId="22279"/>
    <cellStyle name="常规 132 3 17" xfId="22280"/>
    <cellStyle name="常规 9 3 6" xfId="22281"/>
    <cellStyle name="常规 127 3 3 2" xfId="22282"/>
    <cellStyle name="常规 132 3 3 2" xfId="22283"/>
    <cellStyle name="常规 127 3 3 2 2" xfId="22284"/>
    <cellStyle name="常规 132 3 3 2 2" xfId="22285"/>
    <cellStyle name="常规 127 3 3 2 3" xfId="22286"/>
    <cellStyle name="常规 132 3 3 2 3" xfId="22287"/>
    <cellStyle name="常规 9 3 7" xfId="22288"/>
    <cellStyle name="常规 127 3 3 3" xfId="22289"/>
    <cellStyle name="常规 132 3 3 3" xfId="22290"/>
    <cellStyle name="常规 77 17" xfId="22291"/>
    <cellStyle name="常规 77 22" xfId="22292"/>
    <cellStyle name="常规 82 17" xfId="22293"/>
    <cellStyle name="常规 82 22" xfId="22294"/>
    <cellStyle name="常规 127 3 9" xfId="22295"/>
    <cellStyle name="常规 132 3 9" xfId="22296"/>
    <cellStyle name="常规 127 4" xfId="22297"/>
    <cellStyle name="常规 132 4" xfId="22298"/>
    <cellStyle name="常规 127 5" xfId="22299"/>
    <cellStyle name="常规 132 5" xfId="22300"/>
    <cellStyle name="常规 127 5 2" xfId="22301"/>
    <cellStyle name="常规 132 5 2" xfId="22302"/>
    <cellStyle name="常规 127 5 2 2" xfId="22303"/>
    <cellStyle name="常规 132 5 2 2" xfId="22304"/>
    <cellStyle name="常规 127 5 3" xfId="22305"/>
    <cellStyle name="常规 132 5 3" xfId="22306"/>
    <cellStyle name="输出 3 5 2 10" xfId="22307"/>
    <cellStyle name="常规 127 6" xfId="22308"/>
    <cellStyle name="常规 132 6" xfId="22309"/>
    <cellStyle name="输出 3 5 2 11" xfId="22310"/>
    <cellStyle name="常规 127 7" xfId="22311"/>
    <cellStyle name="常规 132 7" xfId="22312"/>
    <cellStyle name="输出 3 5 2 12" xfId="22313"/>
    <cellStyle name="常规 127 8" xfId="22314"/>
    <cellStyle name="常规 132 8" xfId="22315"/>
    <cellStyle name="常规 127 9" xfId="22316"/>
    <cellStyle name="常规 132 9" xfId="22317"/>
    <cellStyle name="常规 128" xfId="22318"/>
    <cellStyle name="常规 133" xfId="22319"/>
    <cellStyle name="常规 128 10" xfId="22320"/>
    <cellStyle name="常规 133 10" xfId="22321"/>
    <cellStyle name="常规 128 11" xfId="22322"/>
    <cellStyle name="常规 133 11" xfId="22323"/>
    <cellStyle name="常规 128 12" xfId="22324"/>
    <cellStyle name="常规 133 12" xfId="22325"/>
    <cellStyle name="常规 128 13" xfId="22326"/>
    <cellStyle name="常规 133 13" xfId="22327"/>
    <cellStyle name="常规 128 14" xfId="22328"/>
    <cellStyle name="常规 133 14" xfId="22329"/>
    <cellStyle name="常规 128 15" xfId="22330"/>
    <cellStyle name="常规 128 20" xfId="22331"/>
    <cellStyle name="常规 133 15" xfId="22332"/>
    <cellStyle name="常规 133 20" xfId="22333"/>
    <cellStyle name="输入 2 5 2 10" xfId="22334"/>
    <cellStyle name="常规 128 16" xfId="22335"/>
    <cellStyle name="常规 128 21" xfId="22336"/>
    <cellStyle name="常规 133 16" xfId="22337"/>
    <cellStyle name="常规 133 21" xfId="22338"/>
    <cellStyle name="输入 2 5 2 11" xfId="22339"/>
    <cellStyle name="常规 128 17" xfId="22340"/>
    <cellStyle name="常规 128 22" xfId="22341"/>
    <cellStyle name="常规 133 17" xfId="22342"/>
    <cellStyle name="常规 133 22" xfId="22343"/>
    <cellStyle name="输入 2 5 2 12" xfId="22344"/>
    <cellStyle name="常规 128 18" xfId="22345"/>
    <cellStyle name="常规 128 23" xfId="22346"/>
    <cellStyle name="常规 133 18" xfId="22347"/>
    <cellStyle name="常规 133 23" xfId="22348"/>
    <cellStyle name="常规 128 19" xfId="22349"/>
    <cellStyle name="常规 133 19" xfId="22350"/>
    <cellStyle name="常规 128 2" xfId="22351"/>
    <cellStyle name="常规 133 2" xfId="22352"/>
    <cellStyle name="计算 3 2 2 7" xfId="22353"/>
    <cellStyle name="常规 128 2 10" xfId="22354"/>
    <cellStyle name="常规 133 2 10" xfId="22355"/>
    <cellStyle name="计算 3 2 2 8" xfId="22356"/>
    <cellStyle name="常规 128 2 11" xfId="22357"/>
    <cellStyle name="常规 133 2 11" xfId="22358"/>
    <cellStyle name="计算 3 2 2 9" xfId="22359"/>
    <cellStyle name="常规 128 2 12" xfId="22360"/>
    <cellStyle name="常规 133 2 12" xfId="22361"/>
    <cellStyle name="常规 128 2 13" xfId="22362"/>
    <cellStyle name="常规 133 2 13" xfId="22363"/>
    <cellStyle name="常规 128 2 14" xfId="22364"/>
    <cellStyle name="常规 133 2 14" xfId="22365"/>
    <cellStyle name="常规 128 2 15" xfId="22366"/>
    <cellStyle name="常规 133 2 15" xfId="22367"/>
    <cellStyle name="常规 128 2 16" xfId="22368"/>
    <cellStyle name="常规 133 2 16" xfId="22369"/>
    <cellStyle name="常规 128 2 17" xfId="22370"/>
    <cellStyle name="常规 133 2 17" xfId="22371"/>
    <cellStyle name="常规 128 2 18" xfId="22372"/>
    <cellStyle name="常规 133 2 18" xfId="22373"/>
    <cellStyle name="常规 128 2 19" xfId="22374"/>
    <cellStyle name="常规 133 2 19" xfId="22375"/>
    <cellStyle name="常规 128 2 2" xfId="22376"/>
    <cellStyle name="常规 133 2 2" xfId="22377"/>
    <cellStyle name="输出 2 2 13 12" xfId="22378"/>
    <cellStyle name="常规 128 2 2 10" xfId="22379"/>
    <cellStyle name="常规 133 2 2 10" xfId="22380"/>
    <cellStyle name="常规 128 2 2 11" xfId="22381"/>
    <cellStyle name="常规 133 2 2 11" xfId="22382"/>
    <cellStyle name="常规 128 2 2 12" xfId="22383"/>
    <cellStyle name="常规 133 2 2 12" xfId="22384"/>
    <cellStyle name="常规 128 2 2 13" xfId="22385"/>
    <cellStyle name="常规 133 2 2 13" xfId="22386"/>
    <cellStyle name="常规 128 2 2 14" xfId="22387"/>
    <cellStyle name="常规 133 2 2 14" xfId="22388"/>
    <cellStyle name="常规 128 2 2 15" xfId="22389"/>
    <cellStyle name="常规 133 2 2 15" xfId="22390"/>
    <cellStyle name="常规 128 2 2 16" xfId="22391"/>
    <cellStyle name="常规 133 2 2 16" xfId="22392"/>
    <cellStyle name="常规 128 2 2 17" xfId="22393"/>
    <cellStyle name="常规 133 2 2 17" xfId="22394"/>
    <cellStyle name="常规 128 2 2 18" xfId="22395"/>
    <cellStyle name="常规 133 2 2 18" xfId="22396"/>
    <cellStyle name="常规 128 2 2 2" xfId="22397"/>
    <cellStyle name="常规 133 2 2 2" xfId="22398"/>
    <cellStyle name="常规 128 2 2 3" xfId="22399"/>
    <cellStyle name="常规 133 2 2 3" xfId="22400"/>
    <cellStyle name="千位分隔 2 2 8" xfId="22401"/>
    <cellStyle name="常规 128 2 2 3 2 2" xfId="22402"/>
    <cellStyle name="常规 133 2 2 3 2 2" xfId="22403"/>
    <cellStyle name="千位分隔 2 2 9" xfId="22404"/>
    <cellStyle name="常规 128 2 2 3 2 3" xfId="22405"/>
    <cellStyle name="常规 133 2 2 3 2 3" xfId="22406"/>
    <cellStyle name="常规 128 2 2 3 3" xfId="22407"/>
    <cellStyle name="常规 133 2 2 3 3" xfId="22408"/>
    <cellStyle name="常规 128 2 2 4" xfId="22409"/>
    <cellStyle name="常规 133 2 2 4" xfId="22410"/>
    <cellStyle name="常规 128 2 2 5" xfId="22411"/>
    <cellStyle name="常规 133 2 2 5" xfId="22412"/>
    <cellStyle name="常规 128 2 2 6" xfId="22413"/>
    <cellStyle name="常规 133 2 2 6" xfId="22414"/>
    <cellStyle name="常规 169 3 2" xfId="22415"/>
    <cellStyle name="常规 174 3 2" xfId="22416"/>
    <cellStyle name="常规 128 2 2 7" xfId="22417"/>
    <cellStyle name="常规 133 2 2 7" xfId="22418"/>
    <cellStyle name="常规 169 3 3" xfId="22419"/>
    <cellStyle name="常规 174 3 3" xfId="22420"/>
    <cellStyle name="常规 128 2 2 8" xfId="22421"/>
    <cellStyle name="常规 133 2 2 8" xfId="22422"/>
    <cellStyle name="常规 128 2 2 9" xfId="22423"/>
    <cellStyle name="常规 133 2 2 9" xfId="22424"/>
    <cellStyle name="常规 128 2 3" xfId="22425"/>
    <cellStyle name="常规 133 2 3" xfId="22426"/>
    <cellStyle name="常规 128 2 4" xfId="22427"/>
    <cellStyle name="常规 133 2 4" xfId="22428"/>
    <cellStyle name="常规 17 3 4" xfId="22429"/>
    <cellStyle name="常规 22 3 4" xfId="22430"/>
    <cellStyle name="常规 128 2 4 2" xfId="22431"/>
    <cellStyle name="常规 133 2 4 2" xfId="22432"/>
    <cellStyle name="常规 128 2 4 2 3" xfId="22433"/>
    <cellStyle name="常规 133 2 4 2 3" xfId="22434"/>
    <cellStyle name="常规 17 3 5" xfId="22435"/>
    <cellStyle name="常规 22 3 5" xfId="22436"/>
    <cellStyle name="常规 128 2 4 3" xfId="22437"/>
    <cellStyle name="常规 133 2 4 3" xfId="22438"/>
    <cellStyle name="常规 128 2 5" xfId="22439"/>
    <cellStyle name="常规 133 2 5" xfId="22440"/>
    <cellStyle name="常规 128 2 6" xfId="22441"/>
    <cellStyle name="常规 133 2 6" xfId="22442"/>
    <cellStyle name="常规 128 2 7" xfId="22443"/>
    <cellStyle name="常规 133 2 7" xfId="22444"/>
    <cellStyle name="常规 128 2 8" xfId="22445"/>
    <cellStyle name="常规 133 2 8" xfId="22446"/>
    <cellStyle name="常规 98 2 4 2" xfId="22447"/>
    <cellStyle name="常规 128 2 9" xfId="22448"/>
    <cellStyle name="常规 133 2 9" xfId="22449"/>
    <cellStyle name="常规 98 2 4 3" xfId="22450"/>
    <cellStyle name="常规 128 3" xfId="22451"/>
    <cellStyle name="常规 133 3" xfId="22452"/>
    <cellStyle name="计算 3 2 7 7" xfId="22453"/>
    <cellStyle name="常规 128 3 10" xfId="22454"/>
    <cellStyle name="常规 133 3 10" xfId="22455"/>
    <cellStyle name="计算 3 2 7 8" xfId="22456"/>
    <cellStyle name="常规 128 3 11" xfId="22457"/>
    <cellStyle name="常规 133 3 11" xfId="22458"/>
    <cellStyle name="计算 3 2 7 9" xfId="22459"/>
    <cellStyle name="常规 128 3 12" xfId="22460"/>
    <cellStyle name="常规 133 3 12" xfId="22461"/>
    <cellStyle name="常规 128 3 13" xfId="22462"/>
    <cellStyle name="常规 133 3 13" xfId="22463"/>
    <cellStyle name="常规 128 3 14" xfId="22464"/>
    <cellStyle name="常规 133 3 14" xfId="22465"/>
    <cellStyle name="常规 128 3 15" xfId="22466"/>
    <cellStyle name="常规 133 3 15" xfId="22467"/>
    <cellStyle name="常规 128 3 16" xfId="22468"/>
    <cellStyle name="常规 133 3 16" xfId="22469"/>
    <cellStyle name="常规 128 3 17" xfId="22470"/>
    <cellStyle name="常规 133 3 17" xfId="22471"/>
    <cellStyle name="常规 128 3 18" xfId="22472"/>
    <cellStyle name="常规 133 3 18" xfId="22473"/>
    <cellStyle name="计算 3 2 7 12" xfId="22474"/>
    <cellStyle name="常规 18 2 4" xfId="22475"/>
    <cellStyle name="常规 23 2 4" xfId="22476"/>
    <cellStyle name="常规 128 3 3 2" xfId="22477"/>
    <cellStyle name="常规 133 3 3 2" xfId="22478"/>
    <cellStyle name="计算 3 2 7 13" xfId="22479"/>
    <cellStyle name="常规 18 2 5" xfId="22480"/>
    <cellStyle name="常规 23 2 5" xfId="22481"/>
    <cellStyle name="常规 128 3 3 3" xfId="22482"/>
    <cellStyle name="常规 133 3 3 3" xfId="22483"/>
    <cellStyle name="常规 87 17" xfId="22484"/>
    <cellStyle name="常规 87 22" xfId="22485"/>
    <cellStyle name="常规 92 17" xfId="22486"/>
    <cellStyle name="常规 92 22" xfId="22487"/>
    <cellStyle name="常规 85 2 2 3 3" xfId="22488"/>
    <cellStyle name="常规 90 2 2 3 3" xfId="22489"/>
    <cellStyle name="常规 128 3 9" xfId="22490"/>
    <cellStyle name="常规 133 3 9" xfId="22491"/>
    <cellStyle name="常规 128 4" xfId="22492"/>
    <cellStyle name="常规 133 4" xfId="22493"/>
    <cellStyle name="常规 128 5" xfId="22494"/>
    <cellStyle name="常规 133 5" xfId="22495"/>
    <cellStyle name="常规 128 5 2" xfId="22496"/>
    <cellStyle name="常规 133 5 2" xfId="22497"/>
    <cellStyle name="常规 128 5 2 2" xfId="22498"/>
    <cellStyle name="常规 133 5 2 2" xfId="22499"/>
    <cellStyle name="常规 128 5 2 3" xfId="22500"/>
    <cellStyle name="常规 133 5 2 3" xfId="22501"/>
    <cellStyle name="常规 128 5 3" xfId="22502"/>
    <cellStyle name="常规 133 5 3" xfId="22503"/>
    <cellStyle name="常规 128 6" xfId="22504"/>
    <cellStyle name="常规 133 6" xfId="22505"/>
    <cellStyle name="常规 128 7" xfId="22506"/>
    <cellStyle name="常规 133 7" xfId="22507"/>
    <cellStyle name="常规 128 8" xfId="22508"/>
    <cellStyle name="常规 133 8" xfId="22509"/>
    <cellStyle name="常规 128 9" xfId="22510"/>
    <cellStyle name="常规 133 9" xfId="22511"/>
    <cellStyle name="常规 129" xfId="22512"/>
    <cellStyle name="常规 134" xfId="22513"/>
    <cellStyle name="常规 129 10" xfId="22514"/>
    <cellStyle name="常规 134 10" xfId="22515"/>
    <cellStyle name="常规 129 11" xfId="22516"/>
    <cellStyle name="常规 134 11" xfId="22517"/>
    <cellStyle name="常规 129 12" xfId="22518"/>
    <cellStyle name="常规 134 12" xfId="22519"/>
    <cellStyle name="常规 129 13" xfId="22520"/>
    <cellStyle name="常规 134 13" xfId="22521"/>
    <cellStyle name="常规 129 14" xfId="22522"/>
    <cellStyle name="常规 134 14" xfId="22523"/>
    <cellStyle name="常规 129 15" xfId="22524"/>
    <cellStyle name="常规 129 20" xfId="22525"/>
    <cellStyle name="常规 134 15" xfId="22526"/>
    <cellStyle name="常规 134 20" xfId="22527"/>
    <cellStyle name="常规 129 16" xfId="22528"/>
    <cellStyle name="常规 129 21" xfId="22529"/>
    <cellStyle name="常规 134 16" xfId="22530"/>
    <cellStyle name="常规 134 21" xfId="22531"/>
    <cellStyle name="常规 129 17" xfId="22532"/>
    <cellStyle name="常规 129 22" xfId="22533"/>
    <cellStyle name="常规 134 17" xfId="22534"/>
    <cellStyle name="常规 134 22" xfId="22535"/>
    <cellStyle name="常规 129 18" xfId="22536"/>
    <cellStyle name="常规 129 23" xfId="22537"/>
    <cellStyle name="常规 134 18" xfId="22538"/>
    <cellStyle name="常规 134 23" xfId="22539"/>
    <cellStyle name="常规 129 19" xfId="22540"/>
    <cellStyle name="常规 134 19" xfId="22541"/>
    <cellStyle name="计算 3 7 2 7" xfId="22542"/>
    <cellStyle name="常规 129 2 10" xfId="22543"/>
    <cellStyle name="常规 134 2 10" xfId="22544"/>
    <cellStyle name="计算 3 7 2 8" xfId="22545"/>
    <cellStyle name="常规 129 2 11" xfId="22546"/>
    <cellStyle name="常规 134 2 11" xfId="22547"/>
    <cellStyle name="计算 3 7 2 9" xfId="22548"/>
    <cellStyle name="常规 129 2 12" xfId="22549"/>
    <cellStyle name="常规 134 2 12" xfId="22550"/>
    <cellStyle name="汇总 2 2 10 2 10" xfId="22551"/>
    <cellStyle name="常规 129 2 13" xfId="22552"/>
    <cellStyle name="常规 134 2 13" xfId="22553"/>
    <cellStyle name="汇总 2 2 10 2 11" xfId="22554"/>
    <cellStyle name="常规 129 2 14" xfId="22555"/>
    <cellStyle name="常规 134 2 14" xfId="22556"/>
    <cellStyle name="汇总 2 2 10 2 12" xfId="22557"/>
    <cellStyle name="常规 129 2 15" xfId="22558"/>
    <cellStyle name="常规 134 2 15" xfId="22559"/>
    <cellStyle name="常规 129 2 16" xfId="22560"/>
    <cellStyle name="常规 134 2 16" xfId="22561"/>
    <cellStyle name="常规 129 2 18" xfId="22562"/>
    <cellStyle name="常规 134 2 18" xfId="22563"/>
    <cellStyle name="常规 129 2 19" xfId="22564"/>
    <cellStyle name="常规 134 2 19" xfId="22565"/>
    <cellStyle name="常规 129 2 2" xfId="22566"/>
    <cellStyle name="常规 134 2 2" xfId="22567"/>
    <cellStyle name="常规 129 2 2 16" xfId="22568"/>
    <cellStyle name="常规 134 2 2 16" xfId="22569"/>
    <cellStyle name="常规 129 2 2 17" xfId="22570"/>
    <cellStyle name="常规 134 2 2 17" xfId="22571"/>
    <cellStyle name="常规 129 2 2 18" xfId="22572"/>
    <cellStyle name="常规 134 2 2 18" xfId="22573"/>
    <cellStyle name="常规 129 2 2 2" xfId="22574"/>
    <cellStyle name="常规 134 2 2 2" xfId="22575"/>
    <cellStyle name="常规 145 2 2 3 2" xfId="22576"/>
    <cellStyle name="常规 150 2 2 3 2" xfId="22577"/>
    <cellStyle name="常规 129 2 2 3" xfId="22578"/>
    <cellStyle name="常规 134 2 2 3" xfId="22579"/>
    <cellStyle name="注释 2 3 3 2 5" xfId="22580"/>
    <cellStyle name="常规 145 2 2 3 2 2" xfId="22581"/>
    <cellStyle name="常规 150 2 2 3 2 2" xfId="22582"/>
    <cellStyle name="输出 3 10" xfId="22583"/>
    <cellStyle name="常规 129 2 2 3 2" xfId="22584"/>
    <cellStyle name="常规 134 2 2 3 2" xfId="22585"/>
    <cellStyle name="注释 2 3 3 2 6" xfId="22586"/>
    <cellStyle name="常规 145 2 2 3 2 3" xfId="22587"/>
    <cellStyle name="常规 150 2 2 3 2 3" xfId="22588"/>
    <cellStyle name="输出 3 11" xfId="22589"/>
    <cellStyle name="常规 129 2 2 3 3" xfId="22590"/>
    <cellStyle name="常规 134 2 2 3 3" xfId="22591"/>
    <cellStyle name="常规 145 2 2 3 3" xfId="22592"/>
    <cellStyle name="常规 150 2 2 3 3" xfId="22593"/>
    <cellStyle name="常规 129 2 2 4" xfId="22594"/>
    <cellStyle name="常规 134 2 2 4" xfId="22595"/>
    <cellStyle name="常规 129 2 2 7" xfId="22596"/>
    <cellStyle name="常规 134 2 2 7" xfId="22597"/>
    <cellStyle name="常规 129 2 2 8" xfId="22598"/>
    <cellStyle name="常规 134 2 2 8" xfId="22599"/>
    <cellStyle name="常规 129 2 2 9" xfId="22600"/>
    <cellStyle name="常规 134 2 2 9" xfId="22601"/>
    <cellStyle name="常规 129 2 3" xfId="22602"/>
    <cellStyle name="常规 134 2 3" xfId="22603"/>
    <cellStyle name="常规 129 2 4" xfId="22604"/>
    <cellStyle name="常规 134 2 4" xfId="22605"/>
    <cellStyle name="常规 67 3 4" xfId="22606"/>
    <cellStyle name="常规 72 3 4" xfId="22607"/>
    <cellStyle name="常规 129 2 4 2" xfId="22608"/>
    <cellStyle name="常规 134 2 4 2" xfId="22609"/>
    <cellStyle name="常规 67 3 5" xfId="22610"/>
    <cellStyle name="常规 72 3 5" xfId="22611"/>
    <cellStyle name="常规 129 2 4 3" xfId="22612"/>
    <cellStyle name="常规 134 2 4 3" xfId="22613"/>
    <cellStyle name="常规 129 2 5" xfId="22614"/>
    <cellStyle name="常规 134 2 5" xfId="22615"/>
    <cellStyle name="常规 129 2 6" xfId="22616"/>
    <cellStyle name="常规 134 2 6" xfId="22617"/>
    <cellStyle name="常规 129 2 7" xfId="22618"/>
    <cellStyle name="常规 134 2 7" xfId="22619"/>
    <cellStyle name="常规 129 2 8" xfId="22620"/>
    <cellStyle name="常规 134 2 8" xfId="22621"/>
    <cellStyle name="常规 129 2 9" xfId="22622"/>
    <cellStyle name="常规 134 2 9" xfId="22623"/>
    <cellStyle name="常规 129 3 10" xfId="22624"/>
    <cellStyle name="常规 134 3 10" xfId="22625"/>
    <cellStyle name="常规 129 3 11" xfId="22626"/>
    <cellStyle name="常规 134 3 11" xfId="22627"/>
    <cellStyle name="常规 129 3 12" xfId="22628"/>
    <cellStyle name="常规 134 3 12" xfId="22629"/>
    <cellStyle name="常规 129 3 13" xfId="22630"/>
    <cellStyle name="常规 134 3 13" xfId="22631"/>
    <cellStyle name="常规 129 3 14" xfId="22632"/>
    <cellStyle name="常规 134 3 14" xfId="22633"/>
    <cellStyle name="常规 129 3 15" xfId="22634"/>
    <cellStyle name="常规 134 3 15" xfId="22635"/>
    <cellStyle name="常规 129 3 16" xfId="22636"/>
    <cellStyle name="常规 134 3 16" xfId="22637"/>
    <cellStyle name="常规 129 3 17" xfId="22638"/>
    <cellStyle name="常规 134 3 17" xfId="22639"/>
    <cellStyle name="常规 97 10" xfId="22640"/>
    <cellStyle name="常规 129 3 2" xfId="22641"/>
    <cellStyle name="常规 134 3 2" xfId="22642"/>
    <cellStyle name="常规 97 11" xfId="22643"/>
    <cellStyle name="常规 129 3 3" xfId="22644"/>
    <cellStyle name="常规 134 3 3" xfId="22645"/>
    <cellStyle name="常规 68 2 4 3" xfId="22646"/>
    <cellStyle name="常规 73 2 4 3" xfId="22647"/>
    <cellStyle name="常规 129 3 3 2 3" xfId="22648"/>
    <cellStyle name="常规 134 3 3 2 3" xfId="22649"/>
    <cellStyle name="常规 129 5 2" xfId="22650"/>
    <cellStyle name="常规 134 5 2" xfId="22651"/>
    <cellStyle name="常规 129 5 2 2" xfId="22652"/>
    <cellStyle name="常规 134 5 2 2" xfId="22653"/>
    <cellStyle name="常规 129 5 3" xfId="22654"/>
    <cellStyle name="常规 134 5 3" xfId="22655"/>
    <cellStyle name="常规 129 6" xfId="22656"/>
    <cellStyle name="常规 134 6" xfId="22657"/>
    <cellStyle name="常规 129 7" xfId="22658"/>
    <cellStyle name="常规 134 7" xfId="22659"/>
    <cellStyle name="常规 129 8" xfId="22660"/>
    <cellStyle name="常规 134 8" xfId="22661"/>
    <cellStyle name="常规 129 9" xfId="22662"/>
    <cellStyle name="常规 134 9" xfId="22663"/>
    <cellStyle name="常规 48 3 10" xfId="22664"/>
    <cellStyle name="常规 53 3 10" xfId="22665"/>
    <cellStyle name="常规 13" xfId="22666"/>
    <cellStyle name="常规 13 12" xfId="22667"/>
    <cellStyle name="常规 13 13" xfId="22668"/>
    <cellStyle name="常规 13 14" xfId="22669"/>
    <cellStyle name="常规 13 15" xfId="22670"/>
    <cellStyle name="常规 13 20" xfId="22671"/>
    <cellStyle name="常规 13 16" xfId="22672"/>
    <cellStyle name="常规 13 21" xfId="22673"/>
    <cellStyle name="常规 13 17" xfId="22674"/>
    <cellStyle name="常规 13 22" xfId="22675"/>
    <cellStyle name="常规 13 18" xfId="22676"/>
    <cellStyle name="常规 13 23" xfId="22677"/>
    <cellStyle name="常规 13 19" xfId="22678"/>
    <cellStyle name="常规 13 2" xfId="22679"/>
    <cellStyle name="常规 38 2 4 2" xfId="22680"/>
    <cellStyle name="常规 43 2 4 2" xfId="22681"/>
    <cellStyle name="常规 13 2 10" xfId="22682"/>
    <cellStyle name="常规 38 2 4 3" xfId="22683"/>
    <cellStyle name="常规 43 2 4 3" xfId="22684"/>
    <cellStyle name="常规 13 2 11" xfId="22685"/>
    <cellStyle name="常规 13 2 12" xfId="22686"/>
    <cellStyle name="常规 13 2 13" xfId="22687"/>
    <cellStyle name="常规 13 2 14" xfId="22688"/>
    <cellStyle name="常规 13 2 15" xfId="22689"/>
    <cellStyle name="常规 13 2 16" xfId="22690"/>
    <cellStyle name="常规 13 2 17" xfId="22691"/>
    <cellStyle name="常规 13 2 18" xfId="22692"/>
    <cellStyle name="常规 13 2 2" xfId="22693"/>
    <cellStyle name="常规 13 2 3" xfId="22694"/>
    <cellStyle name="常规 13 2 3 2 2" xfId="22695"/>
    <cellStyle name="常规 13 2 3 2 3" xfId="22696"/>
    <cellStyle name="常规 13 2 3 3" xfId="22697"/>
    <cellStyle name="常规 13 2 4" xfId="22698"/>
    <cellStyle name="常规 13 2 5" xfId="22699"/>
    <cellStyle name="常规 13 2 6" xfId="22700"/>
    <cellStyle name="常规 13 2 7" xfId="22701"/>
    <cellStyle name="常规 13 2 8" xfId="22702"/>
    <cellStyle name="汇总 2 2 6 3 2 2" xfId="22703"/>
    <cellStyle name="常规 13 2 9" xfId="22704"/>
    <cellStyle name="常规 13 3" xfId="22705"/>
    <cellStyle name="常规 13 3 10" xfId="22706"/>
    <cellStyle name="常规 13 3 11" xfId="22707"/>
    <cellStyle name="常规 13 3 12" xfId="22708"/>
    <cellStyle name="汇总 2 2 13 3" xfId="22709"/>
    <cellStyle name="注释 2 2 3 4" xfId="22710"/>
    <cellStyle name="常规 13 3 15" xfId="22711"/>
    <cellStyle name="常规 13 3 2" xfId="22712"/>
    <cellStyle name="常规 13 3 3" xfId="22713"/>
    <cellStyle name="常规 18 3" xfId="22714"/>
    <cellStyle name="常规 23 3" xfId="22715"/>
    <cellStyle name="常规 13 3 3 2" xfId="22716"/>
    <cellStyle name="常规 18 3 2" xfId="22717"/>
    <cellStyle name="常规 23 3 2" xfId="22718"/>
    <cellStyle name="常规 13 3 3 2 2" xfId="22719"/>
    <cellStyle name="常规 18 3 3" xfId="22720"/>
    <cellStyle name="常规 23 3 3" xfId="22721"/>
    <cellStyle name="常规 13 3 3 2 3" xfId="22722"/>
    <cellStyle name="常规 18 4" xfId="22723"/>
    <cellStyle name="常规 23 4" xfId="22724"/>
    <cellStyle name="常规 13 3 3 3" xfId="22725"/>
    <cellStyle name="常规 13 3 4" xfId="22726"/>
    <cellStyle name="常规 13 3 5" xfId="22727"/>
    <cellStyle name="常规 13 3 6" xfId="22728"/>
    <cellStyle name="常规 13 3 9" xfId="22729"/>
    <cellStyle name="常规 13 4" xfId="22730"/>
    <cellStyle name="常规 13 5" xfId="22731"/>
    <cellStyle name="常规 13 5 2" xfId="22732"/>
    <cellStyle name="好 4 13" xfId="22733"/>
    <cellStyle name="常规 13 5 2 2" xfId="22734"/>
    <cellStyle name="好 4 14" xfId="22735"/>
    <cellStyle name="常规 13 5 2 3" xfId="22736"/>
    <cellStyle name="常规 13 5 3" xfId="22737"/>
    <cellStyle name="常规 13 6" xfId="22738"/>
    <cellStyle name="常规 13 7" xfId="22739"/>
    <cellStyle name="常规 13 8" xfId="22740"/>
    <cellStyle name="常规 27 3 10" xfId="22741"/>
    <cellStyle name="常规 32 3 10" xfId="22742"/>
    <cellStyle name="常规 13 9" xfId="22743"/>
    <cellStyle name="常规 135" xfId="22744"/>
    <cellStyle name="常规 140" xfId="22745"/>
    <cellStyle name="常规 135 10" xfId="22746"/>
    <cellStyle name="常规 140 10" xfId="22747"/>
    <cellStyle name="常规 135 11" xfId="22748"/>
    <cellStyle name="常规 140 11" xfId="22749"/>
    <cellStyle name="常规 135 12" xfId="22750"/>
    <cellStyle name="常规 140 12" xfId="22751"/>
    <cellStyle name="常规 135 13" xfId="22752"/>
    <cellStyle name="常规 140 13" xfId="22753"/>
    <cellStyle name="常规 135 14" xfId="22754"/>
    <cellStyle name="常规 140 14" xfId="22755"/>
    <cellStyle name="常规 135 15" xfId="22756"/>
    <cellStyle name="常规 135 20" xfId="22757"/>
    <cellStyle name="常规 140 15" xfId="22758"/>
    <cellStyle name="常规 140 20" xfId="22759"/>
    <cellStyle name="常规 135 16" xfId="22760"/>
    <cellStyle name="常规 135 21" xfId="22761"/>
    <cellStyle name="常规 140 16" xfId="22762"/>
    <cellStyle name="常规 140 21" xfId="22763"/>
    <cellStyle name="常规 135 17" xfId="22764"/>
    <cellStyle name="常规 135 22" xfId="22765"/>
    <cellStyle name="常规 140 17" xfId="22766"/>
    <cellStyle name="常规 140 22" xfId="22767"/>
    <cellStyle name="常规 135 18" xfId="22768"/>
    <cellStyle name="常规 135 23" xfId="22769"/>
    <cellStyle name="常规 140 18" xfId="22770"/>
    <cellStyle name="常规 140 23" xfId="22771"/>
    <cellStyle name="常规 135 19" xfId="22772"/>
    <cellStyle name="常规 140 19" xfId="22773"/>
    <cellStyle name="常规 135 2" xfId="22774"/>
    <cellStyle name="常规 140 2" xfId="22775"/>
    <cellStyle name="常规 135 2 11" xfId="22776"/>
    <cellStyle name="常规 140 2 11" xfId="22777"/>
    <cellStyle name="常规 135 2 12" xfId="22778"/>
    <cellStyle name="常规 140 2 12" xfId="22779"/>
    <cellStyle name="汇总 2 2 11 2 10" xfId="22780"/>
    <cellStyle name="常规 135 2 13" xfId="22781"/>
    <cellStyle name="常规 140 2 13" xfId="22782"/>
    <cellStyle name="汇总 2 2 11 2 11" xfId="22783"/>
    <cellStyle name="常规 135 2 14" xfId="22784"/>
    <cellStyle name="常规 140 2 14" xfId="22785"/>
    <cellStyle name="汇总 2 2 11 2 12" xfId="22786"/>
    <cellStyle name="常规 135 2 15" xfId="22787"/>
    <cellStyle name="常规 140 2 15" xfId="22788"/>
    <cellStyle name="常规 135 2 16" xfId="22789"/>
    <cellStyle name="常规 140 2 16" xfId="22790"/>
    <cellStyle name="常规 135 2 17" xfId="22791"/>
    <cellStyle name="常规 140 2 17" xfId="22792"/>
    <cellStyle name="常规 135 2 18" xfId="22793"/>
    <cellStyle name="常规 140 2 18" xfId="22794"/>
    <cellStyle name="常规 135 2 19" xfId="22795"/>
    <cellStyle name="常规 140 2 19" xfId="22796"/>
    <cellStyle name="常规 135 2 2" xfId="22797"/>
    <cellStyle name="常规 140 2 2" xfId="22798"/>
    <cellStyle name="常规 135 2 2 10" xfId="22799"/>
    <cellStyle name="常规 140 2 2 10" xfId="22800"/>
    <cellStyle name="常规 65 3 4" xfId="22801"/>
    <cellStyle name="常规 70 3 4" xfId="22802"/>
    <cellStyle name="常规 135 2 2 11" xfId="22803"/>
    <cellStyle name="常规 140 2 2 11" xfId="22804"/>
    <cellStyle name="常规 65 3 5" xfId="22805"/>
    <cellStyle name="常规 70 3 5" xfId="22806"/>
    <cellStyle name="常规 135 2 2 12" xfId="22807"/>
    <cellStyle name="常规 140 2 2 12" xfId="22808"/>
    <cellStyle name="常规 65 3 6" xfId="22809"/>
    <cellStyle name="常规 70 3 6" xfId="22810"/>
    <cellStyle name="常规 135 2 2 13" xfId="22811"/>
    <cellStyle name="常规 140 2 2 13" xfId="22812"/>
    <cellStyle name="常规 65 3 7" xfId="22813"/>
    <cellStyle name="常规 70 3 7" xfId="22814"/>
    <cellStyle name="常规 135 2 2 14" xfId="22815"/>
    <cellStyle name="常规 140 2 2 14" xfId="22816"/>
    <cellStyle name="常规 65 3 8" xfId="22817"/>
    <cellStyle name="常规 70 3 8" xfId="22818"/>
    <cellStyle name="常规 135 2 2 17" xfId="22819"/>
    <cellStyle name="常规 140 2 2 17" xfId="22820"/>
    <cellStyle name="常规 135 2 2 18" xfId="22821"/>
    <cellStyle name="常规 140 2 2 18" xfId="22822"/>
    <cellStyle name="常规 135 2 2 3 2 2" xfId="22823"/>
    <cellStyle name="常规 140 2 2 3 2 2" xfId="22824"/>
    <cellStyle name="常规 135 2 2 3 2 3" xfId="22825"/>
    <cellStyle name="常规 140 2 2 3 2 3" xfId="22826"/>
    <cellStyle name="常规 135 2 2 4" xfId="22827"/>
    <cellStyle name="常规 140 2 2 4" xfId="22828"/>
    <cellStyle name="常规 135 2 2 5" xfId="22829"/>
    <cellStyle name="常规 140 2 2 5" xfId="22830"/>
    <cellStyle name="常规 135 2 2 6" xfId="22831"/>
    <cellStyle name="常规 140 2 2 6" xfId="22832"/>
    <cellStyle name="常规 135 2 2 7" xfId="22833"/>
    <cellStyle name="常规 140 2 2 7" xfId="22834"/>
    <cellStyle name="常规 135 2 2 8" xfId="22835"/>
    <cellStyle name="常规 140 2 2 8" xfId="22836"/>
    <cellStyle name="常规 135 2 2 9" xfId="22837"/>
    <cellStyle name="常规 140 2 2 9" xfId="22838"/>
    <cellStyle name="常规 135 2 3" xfId="22839"/>
    <cellStyle name="常规 140 2 3" xfId="22840"/>
    <cellStyle name="常规 135 2 4" xfId="22841"/>
    <cellStyle name="常规 140 2 4" xfId="22842"/>
    <cellStyle name="常规 135 2 4 2 3" xfId="22843"/>
    <cellStyle name="常规 140 2 4 2 3" xfId="22844"/>
    <cellStyle name="常规 4 3 18" xfId="22845"/>
    <cellStyle name="常规 135 2 5" xfId="22846"/>
    <cellStyle name="常规 140 2 5" xfId="22847"/>
    <cellStyle name="常规 135 2 6" xfId="22848"/>
    <cellStyle name="常规 140 2 6" xfId="22849"/>
    <cellStyle name="常规 135 2 7" xfId="22850"/>
    <cellStyle name="常规 140 2 7" xfId="22851"/>
    <cellStyle name="常规 85 2 4 2 2" xfId="22852"/>
    <cellStyle name="常规 90 2 4 2 2" xfId="22853"/>
    <cellStyle name="常规 135 2 8" xfId="22854"/>
    <cellStyle name="常规 140 2 8" xfId="22855"/>
    <cellStyle name="常规 85 2 4 2 3" xfId="22856"/>
    <cellStyle name="常规 90 2 4 2 3" xfId="22857"/>
    <cellStyle name="常规 135 2 9" xfId="22858"/>
    <cellStyle name="常规 140 2 9" xfId="22859"/>
    <cellStyle name="常规 135 3" xfId="22860"/>
    <cellStyle name="常规 140 3" xfId="22861"/>
    <cellStyle name="常规 135 3 11" xfId="22862"/>
    <cellStyle name="常规 140 3 11" xfId="22863"/>
    <cellStyle name="常规 135 3 12" xfId="22864"/>
    <cellStyle name="常规 140 3 12" xfId="22865"/>
    <cellStyle name="常规 135 3 13" xfId="22866"/>
    <cellStyle name="常规 140 3 13" xfId="22867"/>
    <cellStyle name="常规 135 3 14" xfId="22868"/>
    <cellStyle name="常规 140 3 14" xfId="22869"/>
    <cellStyle name="常规 135 3 15" xfId="22870"/>
    <cellStyle name="常规 140 3 15" xfId="22871"/>
    <cellStyle name="常规 135 3 16" xfId="22872"/>
    <cellStyle name="常规 140 3 16" xfId="22873"/>
    <cellStyle name="常规 135 3 17" xfId="22874"/>
    <cellStyle name="常规 140 3 17" xfId="22875"/>
    <cellStyle name="常规 135 3 18" xfId="22876"/>
    <cellStyle name="常规 140 3 18" xfId="22877"/>
    <cellStyle name="常规 135 3 2" xfId="22878"/>
    <cellStyle name="常规 140 3 2" xfId="22879"/>
    <cellStyle name="常规 135 3 3" xfId="22880"/>
    <cellStyle name="常规 140 3 3" xfId="22881"/>
    <cellStyle name="样式 1 2 13" xfId="22882"/>
    <cellStyle name="常规 135 3 3 2" xfId="22883"/>
    <cellStyle name="常规 140 3 3 2" xfId="22884"/>
    <cellStyle name="常规 135 3 6" xfId="22885"/>
    <cellStyle name="常规 140 3 6" xfId="22886"/>
    <cellStyle name="常规 135 3 7" xfId="22887"/>
    <cellStyle name="常规 140 3 7" xfId="22888"/>
    <cellStyle name="常规 135 3 8" xfId="22889"/>
    <cellStyle name="常规 140 3 8" xfId="22890"/>
    <cellStyle name="常规 135 4" xfId="22891"/>
    <cellStyle name="常规 140 4" xfId="22892"/>
    <cellStyle name="常规 135 5" xfId="22893"/>
    <cellStyle name="常规 140 5" xfId="22894"/>
    <cellStyle name="常规 135 5 2" xfId="22895"/>
    <cellStyle name="常规 140 5 2" xfId="22896"/>
    <cellStyle name="常规 135 5 2 2" xfId="22897"/>
    <cellStyle name="常规 140 5 2 2" xfId="22898"/>
    <cellStyle name="常规 135 5 2 3" xfId="22899"/>
    <cellStyle name="常规 140 5 2 3" xfId="22900"/>
    <cellStyle name="常规 135 5 3" xfId="22901"/>
    <cellStyle name="常规 140 5 3" xfId="22902"/>
    <cellStyle name="常规 135 6" xfId="22903"/>
    <cellStyle name="常规 140 6" xfId="22904"/>
    <cellStyle name="常规 135 7" xfId="22905"/>
    <cellStyle name="常规 140 7" xfId="22906"/>
    <cellStyle name="常规 135 8" xfId="22907"/>
    <cellStyle name="常规 140 8" xfId="22908"/>
    <cellStyle name="常规 135 9" xfId="22909"/>
    <cellStyle name="常规 140 9" xfId="22910"/>
    <cellStyle name="常规 136" xfId="22911"/>
    <cellStyle name="常规 141" xfId="22912"/>
    <cellStyle name="常规 136 10" xfId="22913"/>
    <cellStyle name="常规 141 10" xfId="22914"/>
    <cellStyle name="常规 136 11" xfId="22915"/>
    <cellStyle name="常规 141 11" xfId="22916"/>
    <cellStyle name="常规 136 12" xfId="22917"/>
    <cellStyle name="常规 141 12" xfId="22918"/>
    <cellStyle name="常规 136 13" xfId="22919"/>
    <cellStyle name="常规 141 13" xfId="22920"/>
    <cellStyle name="常规 136 14" xfId="22921"/>
    <cellStyle name="常规 141 14" xfId="22922"/>
    <cellStyle name="常规 136 2" xfId="22923"/>
    <cellStyle name="常规 141 2" xfId="22924"/>
    <cellStyle name="常规 136 2 2" xfId="22925"/>
    <cellStyle name="常规 141 2 2" xfId="22926"/>
    <cellStyle name="常规 136 2 2 10" xfId="22927"/>
    <cellStyle name="常规 141 2 2 10" xfId="22928"/>
    <cellStyle name="常规 136 2 2 11" xfId="22929"/>
    <cellStyle name="常规 141 2 2 11" xfId="22930"/>
    <cellStyle name="常规 136 2 2 12" xfId="22931"/>
    <cellStyle name="常规 141 2 2 12" xfId="22932"/>
    <cellStyle name="注释 3 3 2 9" xfId="22933"/>
    <cellStyle name="常规 136 2 2 3 2" xfId="22934"/>
    <cellStyle name="常规 141 2 2 3 2" xfId="22935"/>
    <cellStyle name="常规 136 2 2 3 2 2" xfId="22936"/>
    <cellStyle name="常规 141 2 2 3 2 2" xfId="22937"/>
    <cellStyle name="常规 136 2 2 3 2 3" xfId="22938"/>
    <cellStyle name="常规 141 2 2 3 2 3" xfId="22939"/>
    <cellStyle name="常规 136 2 2 3 3" xfId="22940"/>
    <cellStyle name="常规 141 2 2 3 3" xfId="22941"/>
    <cellStyle name="常规 136 2 2 4" xfId="22942"/>
    <cellStyle name="常规 141 2 2 4" xfId="22943"/>
    <cellStyle name="常规 136 2 2 5" xfId="22944"/>
    <cellStyle name="常规 141 2 2 5" xfId="22945"/>
    <cellStyle name="常规 136 2 2 6" xfId="22946"/>
    <cellStyle name="常规 141 2 2 6" xfId="22947"/>
    <cellStyle name="输出 3 7 2" xfId="22948"/>
    <cellStyle name="常规 136 2 2 7" xfId="22949"/>
    <cellStyle name="常规 141 2 2 7" xfId="22950"/>
    <cellStyle name="输出 3 7 3" xfId="22951"/>
    <cellStyle name="常规 136 2 2 8" xfId="22952"/>
    <cellStyle name="常规 141 2 2 8" xfId="22953"/>
    <cellStyle name="输出 3 7 4" xfId="22954"/>
    <cellStyle name="常规 136 2 2 9" xfId="22955"/>
    <cellStyle name="常规 141 2 2 9" xfId="22956"/>
    <cellStyle name="常规 136 2 4 2 3" xfId="22957"/>
    <cellStyle name="常规 141 2 4 2 3" xfId="22958"/>
    <cellStyle name="常规 136 2 4 3" xfId="22959"/>
    <cellStyle name="常规 141 2 4 3" xfId="22960"/>
    <cellStyle name="常规 136 3" xfId="22961"/>
    <cellStyle name="常规 141 3" xfId="22962"/>
    <cellStyle name="常规 136 3 15" xfId="22963"/>
    <cellStyle name="常规 141 3 15" xfId="22964"/>
    <cellStyle name="常规 136 3 16" xfId="22965"/>
    <cellStyle name="常规 141 3 16" xfId="22966"/>
    <cellStyle name="常规 136 3 17" xfId="22967"/>
    <cellStyle name="常规 141 3 17" xfId="22968"/>
    <cellStyle name="常规 136 3 18" xfId="22969"/>
    <cellStyle name="常规 141 3 18" xfId="22970"/>
    <cellStyle name="常规 136 3 3" xfId="22971"/>
    <cellStyle name="常规 141 3 3" xfId="22972"/>
    <cellStyle name="常规 136 3 3 2" xfId="22973"/>
    <cellStyle name="常规 141 3 3 2" xfId="22974"/>
    <cellStyle name="常规 136 3 3 3" xfId="22975"/>
    <cellStyle name="常规 141 3 3 3" xfId="22976"/>
    <cellStyle name="常规 136 3 6" xfId="22977"/>
    <cellStyle name="常规 141 3 6" xfId="22978"/>
    <cellStyle name="常规 136 3 7" xfId="22979"/>
    <cellStyle name="常规 141 3 7" xfId="22980"/>
    <cellStyle name="常规 136 3 8" xfId="22981"/>
    <cellStyle name="常规 141 3 8" xfId="22982"/>
    <cellStyle name="常规 136 3 9" xfId="22983"/>
    <cellStyle name="常规 141 3 9" xfId="22984"/>
    <cellStyle name="常规 136 4" xfId="22985"/>
    <cellStyle name="常规 141 4" xfId="22986"/>
    <cellStyle name="常规 136 5" xfId="22987"/>
    <cellStyle name="常规 141 5" xfId="22988"/>
    <cellStyle name="常规 136 6" xfId="22989"/>
    <cellStyle name="常规 141 6" xfId="22990"/>
    <cellStyle name="常规 136 7" xfId="22991"/>
    <cellStyle name="常规 141 7" xfId="22992"/>
    <cellStyle name="常规 136 8" xfId="22993"/>
    <cellStyle name="常规 141 8" xfId="22994"/>
    <cellStyle name="常规 136 9" xfId="22995"/>
    <cellStyle name="常规 141 9" xfId="22996"/>
    <cellStyle name="常规 137" xfId="22997"/>
    <cellStyle name="常规 142" xfId="22998"/>
    <cellStyle name="常规 5 2" xfId="22999"/>
    <cellStyle name="常规 137 10" xfId="23000"/>
    <cellStyle name="常规 142 10" xfId="23001"/>
    <cellStyle name="常规 5 2 10" xfId="23002"/>
    <cellStyle name="常规 24 2 2 6" xfId="23003"/>
    <cellStyle name="常规 137 11" xfId="23004"/>
    <cellStyle name="常规 142 11" xfId="23005"/>
    <cellStyle name="常规 5 2 11" xfId="23006"/>
    <cellStyle name="常规 24 2 2 7" xfId="23007"/>
    <cellStyle name="常规 137 12" xfId="23008"/>
    <cellStyle name="常规 142 12" xfId="23009"/>
    <cellStyle name="常规 5 2 12" xfId="23010"/>
    <cellStyle name="常规 24 2 2 8" xfId="23011"/>
    <cellStyle name="常规 137 13" xfId="23012"/>
    <cellStyle name="常规 142 13" xfId="23013"/>
    <cellStyle name="常规 5 2 13" xfId="23014"/>
    <cellStyle name="常规 24 2 2 9" xfId="23015"/>
    <cellStyle name="常规 137 14" xfId="23016"/>
    <cellStyle name="常规 142 14" xfId="23017"/>
    <cellStyle name="常规 5 2 14" xfId="23018"/>
    <cellStyle name="常规 157 2 10" xfId="23019"/>
    <cellStyle name="常规 162 2 10" xfId="23020"/>
    <cellStyle name="常规 137 15" xfId="23021"/>
    <cellStyle name="常规 137 20" xfId="23022"/>
    <cellStyle name="常规 142 15" xfId="23023"/>
    <cellStyle name="常规 142 20" xfId="23024"/>
    <cellStyle name="常规 5 2 15" xfId="23025"/>
    <cellStyle name="常规 157 2 11" xfId="23026"/>
    <cellStyle name="常规 162 2 11" xfId="23027"/>
    <cellStyle name="常规 137 16" xfId="23028"/>
    <cellStyle name="常规 137 21" xfId="23029"/>
    <cellStyle name="常规 142 16" xfId="23030"/>
    <cellStyle name="常规 142 21" xfId="23031"/>
    <cellStyle name="常规 5 2 16" xfId="23032"/>
    <cellStyle name="常规 157 2 12" xfId="23033"/>
    <cellStyle name="常规 162 2 12" xfId="23034"/>
    <cellStyle name="常规 137 17" xfId="23035"/>
    <cellStyle name="常规 137 22" xfId="23036"/>
    <cellStyle name="常规 142 17" xfId="23037"/>
    <cellStyle name="常规 142 22" xfId="23038"/>
    <cellStyle name="常规 5 2 17" xfId="23039"/>
    <cellStyle name="常规 157 2 13" xfId="23040"/>
    <cellStyle name="常规 162 2 13" xfId="23041"/>
    <cellStyle name="常规 137 18" xfId="23042"/>
    <cellStyle name="常规 137 23" xfId="23043"/>
    <cellStyle name="常规 142 18" xfId="23044"/>
    <cellStyle name="常规 142 23" xfId="23045"/>
    <cellStyle name="常规 5 2 18" xfId="23046"/>
    <cellStyle name="常规 157 2 14" xfId="23047"/>
    <cellStyle name="常规 162 2 14" xfId="23048"/>
    <cellStyle name="常规 137 19" xfId="23049"/>
    <cellStyle name="常规 142 19" xfId="23050"/>
    <cellStyle name="常规 5 2 19" xfId="23051"/>
    <cellStyle name="常规 157 2 15" xfId="23052"/>
    <cellStyle name="常规 162 2 15" xfId="23053"/>
    <cellStyle name="常规 137 2" xfId="23054"/>
    <cellStyle name="常规 142 2" xfId="23055"/>
    <cellStyle name="常规 5 2 2" xfId="23056"/>
    <cellStyle name="常规 137 2 10" xfId="23057"/>
    <cellStyle name="常规 142 2 10" xfId="23058"/>
    <cellStyle name="常规 5 2 2 10" xfId="23059"/>
    <cellStyle name="常规 137 2 11" xfId="23060"/>
    <cellStyle name="常规 142 2 11" xfId="23061"/>
    <cellStyle name="常规 5 2 2 11" xfId="23062"/>
    <cellStyle name="常规 137 2 12" xfId="23063"/>
    <cellStyle name="常规 142 2 12" xfId="23064"/>
    <cellStyle name="常规 5 2 2 12" xfId="23065"/>
    <cellStyle name="常规 137 2 13" xfId="23066"/>
    <cellStyle name="常规 142 2 13" xfId="23067"/>
    <cellStyle name="常规 5 2 2 13" xfId="23068"/>
    <cellStyle name="常规 137 2 14" xfId="23069"/>
    <cellStyle name="常规 142 2 14" xfId="23070"/>
    <cellStyle name="常规 5 2 2 14" xfId="23071"/>
    <cellStyle name="常规 137 2 15" xfId="23072"/>
    <cellStyle name="常规 142 2 15" xfId="23073"/>
    <cellStyle name="常规 5 2 2 15" xfId="23074"/>
    <cellStyle name="常规 137 2 16" xfId="23075"/>
    <cellStyle name="常规 142 2 16" xfId="23076"/>
    <cellStyle name="常规 5 2 2 16" xfId="23077"/>
    <cellStyle name="常规 137 2 17" xfId="23078"/>
    <cellStyle name="常规 142 2 17" xfId="23079"/>
    <cellStyle name="常规 5 2 2 17" xfId="23080"/>
    <cellStyle name="常规 137 2 18" xfId="23081"/>
    <cellStyle name="常规 142 2 18" xfId="23082"/>
    <cellStyle name="常规 5 2 2 18" xfId="23083"/>
    <cellStyle name="常规 137 2 19" xfId="23084"/>
    <cellStyle name="常规 142 2 19" xfId="23085"/>
    <cellStyle name="常规 137 2 2" xfId="23086"/>
    <cellStyle name="常规 142 2 2" xfId="23087"/>
    <cellStyle name="常规 5 2 2 2" xfId="23088"/>
    <cellStyle name="常规 137 2 2 10" xfId="23089"/>
    <cellStyle name="常规 142 2 2 10" xfId="23090"/>
    <cellStyle name="常规 137 2 2 11" xfId="23091"/>
    <cellStyle name="常规 142 2 2 11" xfId="23092"/>
    <cellStyle name="常规 137 2 2 12" xfId="23093"/>
    <cellStyle name="常规 142 2 2 12" xfId="23094"/>
    <cellStyle name="常规 137 2 2 13" xfId="23095"/>
    <cellStyle name="常规 142 2 2 13" xfId="23096"/>
    <cellStyle name="常规 137 2 2 14" xfId="23097"/>
    <cellStyle name="常规 142 2 2 14" xfId="23098"/>
    <cellStyle name="常规 137 2 2 15" xfId="23099"/>
    <cellStyle name="常规 142 2 2 15" xfId="23100"/>
    <cellStyle name="计算 2 3 3 2" xfId="23101"/>
    <cellStyle name="常规 137 2 2 16" xfId="23102"/>
    <cellStyle name="常规 142 2 2 16" xfId="23103"/>
    <cellStyle name="计算 2 3 3 3" xfId="23104"/>
    <cellStyle name="常规 137 2 2 17" xfId="23105"/>
    <cellStyle name="常规 142 2 2 17" xfId="23106"/>
    <cellStyle name="计算 2 3 3 4" xfId="23107"/>
    <cellStyle name="常规 137 2 2 18" xfId="23108"/>
    <cellStyle name="常规 142 2 2 18" xfId="23109"/>
    <cellStyle name="常规 137 2 2 2" xfId="23110"/>
    <cellStyle name="常规 142 2 2 2" xfId="23111"/>
    <cellStyle name="常规 137 2 2 3" xfId="23112"/>
    <cellStyle name="常规 142 2 2 3" xfId="23113"/>
    <cellStyle name="常规 137 2 2 3 2 2" xfId="23114"/>
    <cellStyle name="常规 142 2 2 3 2 2" xfId="23115"/>
    <cellStyle name="常规 137 2 2 3 2 3" xfId="23116"/>
    <cellStyle name="常规 142 2 2 3 2 3" xfId="23117"/>
    <cellStyle name="常规 139 3 5" xfId="23118"/>
    <cellStyle name="常规 144 3 5" xfId="23119"/>
    <cellStyle name="常规 137 2 2 3 3" xfId="23120"/>
    <cellStyle name="常规 142 2 2 3 3" xfId="23121"/>
    <cellStyle name="常规 137 2 3" xfId="23122"/>
    <cellStyle name="常规 142 2 3" xfId="23123"/>
    <cellStyle name="常规 5 2 2 3" xfId="23124"/>
    <cellStyle name="常规 137 2 4" xfId="23125"/>
    <cellStyle name="常规 142 2 4" xfId="23126"/>
    <cellStyle name="常规 5 2 2 4" xfId="23127"/>
    <cellStyle name="常规 137 2 4 2" xfId="23128"/>
    <cellStyle name="常规 142 2 4 2" xfId="23129"/>
    <cellStyle name="常规 146 2 5" xfId="23130"/>
    <cellStyle name="常规 151 2 5" xfId="23131"/>
    <cellStyle name="常规 137 2 4 2 3" xfId="23132"/>
    <cellStyle name="常规 142 2 4 2 3" xfId="23133"/>
    <cellStyle name="常规 137 2 4 3" xfId="23134"/>
    <cellStyle name="常规 142 2 4 3" xfId="23135"/>
    <cellStyle name="常规 137 2 5" xfId="23136"/>
    <cellStyle name="常规 142 2 5" xfId="23137"/>
    <cellStyle name="常规 5 2 2 5" xfId="23138"/>
    <cellStyle name="常规 137 2 6" xfId="23139"/>
    <cellStyle name="常规 142 2 6" xfId="23140"/>
    <cellStyle name="常规 5 2 2 6" xfId="23141"/>
    <cellStyle name="常规 137 2 7" xfId="23142"/>
    <cellStyle name="常规 142 2 7" xfId="23143"/>
    <cellStyle name="常规 5 2 2 7" xfId="23144"/>
    <cellStyle name="常规 55 2 2 3 2 2" xfId="23145"/>
    <cellStyle name="常规 60 2 2 3 2 2" xfId="23146"/>
    <cellStyle name="常规 137 2 8" xfId="23147"/>
    <cellStyle name="常规 142 2 8" xfId="23148"/>
    <cellStyle name="常规 5 2 2 8" xfId="23149"/>
    <cellStyle name="常规 55 2 2 3 2 3" xfId="23150"/>
    <cellStyle name="常规 60 2 2 3 2 3" xfId="23151"/>
    <cellStyle name="常规 137 2 9" xfId="23152"/>
    <cellStyle name="常规 142 2 9" xfId="23153"/>
    <cellStyle name="常规 5 2 2 9" xfId="23154"/>
    <cellStyle name="常规 137 3" xfId="23155"/>
    <cellStyle name="常规 142 3" xfId="23156"/>
    <cellStyle name="常规 5 2 3" xfId="23157"/>
    <cellStyle name="常规 137 3 10" xfId="23158"/>
    <cellStyle name="常规 142 3 10" xfId="23159"/>
    <cellStyle name="强调文字颜色 2 2 2 4" xfId="23160"/>
    <cellStyle name="常规 137 3 14" xfId="23161"/>
    <cellStyle name="常规 142 3 14" xfId="23162"/>
    <cellStyle name="强调文字颜色 2 2 2 6" xfId="23163"/>
    <cellStyle name="常规 137 3 16" xfId="23164"/>
    <cellStyle name="常规 142 3 16" xfId="23165"/>
    <cellStyle name="强调文字颜色 2 2 2 7" xfId="23166"/>
    <cellStyle name="常规 137 3 17" xfId="23167"/>
    <cellStyle name="常规 142 3 17" xfId="23168"/>
    <cellStyle name="强调文字颜色 2 2 2 8" xfId="23169"/>
    <cellStyle name="常规 137 3 18" xfId="23170"/>
    <cellStyle name="常规 142 3 18" xfId="23171"/>
    <cellStyle name="常规 137 3 2" xfId="23172"/>
    <cellStyle name="常规 142 3 2" xfId="23173"/>
    <cellStyle name="常规 137 3 3" xfId="23174"/>
    <cellStyle name="常规 142 3 3" xfId="23175"/>
    <cellStyle name="常规 137 3 3 2 2" xfId="23176"/>
    <cellStyle name="常规 142 3 3 2 2" xfId="23177"/>
    <cellStyle name="常规 137 3 3 2 3" xfId="23178"/>
    <cellStyle name="常规 142 3 3 2 3" xfId="23179"/>
    <cellStyle name="常规 137 3 3 3" xfId="23180"/>
    <cellStyle name="常规 142 3 3 3" xfId="23181"/>
    <cellStyle name="常规 137 3 4" xfId="23182"/>
    <cellStyle name="常规 142 3 4" xfId="23183"/>
    <cellStyle name="常规 24 2 2 10" xfId="23184"/>
    <cellStyle name="常规 137 3 5" xfId="23185"/>
    <cellStyle name="常规 142 3 5" xfId="23186"/>
    <cellStyle name="常规 24 2 2 11" xfId="23187"/>
    <cellStyle name="常规 137 3 6" xfId="23188"/>
    <cellStyle name="常规 142 3 6" xfId="23189"/>
    <cellStyle name="常规 24 2 2 12" xfId="23190"/>
    <cellStyle name="常规 137 3 7" xfId="23191"/>
    <cellStyle name="常规 142 3 7" xfId="23192"/>
    <cellStyle name="常规 24 2 2 13" xfId="23193"/>
    <cellStyle name="常规 137 3 8" xfId="23194"/>
    <cellStyle name="常规 142 3 8" xfId="23195"/>
    <cellStyle name="常规 24 2 2 14" xfId="23196"/>
    <cellStyle name="常规 137 3 9" xfId="23197"/>
    <cellStyle name="常规 142 3 9" xfId="23198"/>
    <cellStyle name="常规 137 4" xfId="23199"/>
    <cellStyle name="常规 142 4" xfId="23200"/>
    <cellStyle name="常规 5 2 4" xfId="23201"/>
    <cellStyle name="常规 137 6" xfId="23202"/>
    <cellStyle name="常规 142 6" xfId="23203"/>
    <cellStyle name="常规 5 2 6" xfId="23204"/>
    <cellStyle name="常规 137 7" xfId="23205"/>
    <cellStyle name="常规 142 7" xfId="23206"/>
    <cellStyle name="常规 5 2 7" xfId="23207"/>
    <cellStyle name="常规 137 8" xfId="23208"/>
    <cellStyle name="常规 142 8" xfId="23209"/>
    <cellStyle name="常规 5 2 8" xfId="23210"/>
    <cellStyle name="常规 137 9" xfId="23211"/>
    <cellStyle name="常规 142 9" xfId="23212"/>
    <cellStyle name="常规 5 2 9" xfId="23213"/>
    <cellStyle name="计算 3 2 3 18" xfId="23214"/>
    <cellStyle name="常规 138 10" xfId="23215"/>
    <cellStyle name="常规 143 10" xfId="23216"/>
    <cellStyle name="常规 5 3 10" xfId="23217"/>
    <cellStyle name="计算 3 2 3 19" xfId="23218"/>
    <cellStyle name="常规 138 11" xfId="23219"/>
    <cellStyle name="常规 143 11" xfId="23220"/>
    <cellStyle name="常规 5 3 11" xfId="23221"/>
    <cellStyle name="常规 138 12" xfId="23222"/>
    <cellStyle name="常规 143 12" xfId="23223"/>
    <cellStyle name="常规 5 3 12" xfId="23224"/>
    <cellStyle name="常规 138 13" xfId="23225"/>
    <cellStyle name="常规 143 13" xfId="23226"/>
    <cellStyle name="常规 5 3 13" xfId="23227"/>
    <cellStyle name="常规 138 14" xfId="23228"/>
    <cellStyle name="常规 143 14" xfId="23229"/>
    <cellStyle name="常规 5 3 14" xfId="23230"/>
    <cellStyle name="常规 138 15" xfId="23231"/>
    <cellStyle name="常规 138 20" xfId="23232"/>
    <cellStyle name="常规 143 15" xfId="23233"/>
    <cellStyle name="常规 143 20" xfId="23234"/>
    <cellStyle name="常规 5 3 15" xfId="23235"/>
    <cellStyle name="强调文字颜色 4 2 2 2" xfId="23236"/>
    <cellStyle name="常规 138 16" xfId="23237"/>
    <cellStyle name="常规 138 21" xfId="23238"/>
    <cellStyle name="常规 143 16" xfId="23239"/>
    <cellStyle name="常规 143 21" xfId="23240"/>
    <cellStyle name="常规 5 3 16" xfId="23241"/>
    <cellStyle name="强调文字颜色 4 2 2 3" xfId="23242"/>
    <cellStyle name="常规 138 17" xfId="23243"/>
    <cellStyle name="常规 138 22" xfId="23244"/>
    <cellStyle name="常规 143 17" xfId="23245"/>
    <cellStyle name="常规 143 22" xfId="23246"/>
    <cellStyle name="常规 5 3 17" xfId="23247"/>
    <cellStyle name="强调文字颜色 4 2 2 4" xfId="23248"/>
    <cellStyle name="常规 138 18" xfId="23249"/>
    <cellStyle name="常规 138 23" xfId="23250"/>
    <cellStyle name="常规 143 18" xfId="23251"/>
    <cellStyle name="常规 143 23" xfId="23252"/>
    <cellStyle name="常规 5 3 18" xfId="23253"/>
    <cellStyle name="常规 138 19" xfId="23254"/>
    <cellStyle name="常规 143 19" xfId="23255"/>
    <cellStyle name="常规 138 2" xfId="23256"/>
    <cellStyle name="常规 143 2" xfId="23257"/>
    <cellStyle name="常规 5 3 2" xfId="23258"/>
    <cellStyle name="汇总 2 3 2 6" xfId="23259"/>
    <cellStyle name="常规 138 2 10" xfId="23260"/>
    <cellStyle name="常规 143 2 10" xfId="23261"/>
    <cellStyle name="汇总 2 3 2 7" xfId="23262"/>
    <cellStyle name="常规 138 2 11" xfId="23263"/>
    <cellStyle name="常规 143 2 11" xfId="23264"/>
    <cellStyle name="汇总 2 3 2 8" xfId="23265"/>
    <cellStyle name="常规 138 2 12" xfId="23266"/>
    <cellStyle name="常规 143 2 12" xfId="23267"/>
    <cellStyle name="汇总 2 3 2 9" xfId="23268"/>
    <cellStyle name="常规 138 2 13" xfId="23269"/>
    <cellStyle name="常规 143 2 13" xfId="23270"/>
    <cellStyle name="常规 138 2 14" xfId="23271"/>
    <cellStyle name="常规 143 2 14" xfId="23272"/>
    <cellStyle name="常规 138 2 15" xfId="23273"/>
    <cellStyle name="常规 143 2 15" xfId="23274"/>
    <cellStyle name="常规 138 2 16" xfId="23275"/>
    <cellStyle name="常规 143 2 16" xfId="23276"/>
    <cellStyle name="常规 138 2 17" xfId="23277"/>
    <cellStyle name="常规 143 2 17" xfId="23278"/>
    <cellStyle name="常规 138 2 18" xfId="23279"/>
    <cellStyle name="常规 143 2 18" xfId="23280"/>
    <cellStyle name="常规 138 2 19" xfId="23281"/>
    <cellStyle name="常规 143 2 19" xfId="23282"/>
    <cellStyle name="常规 138 2 2" xfId="23283"/>
    <cellStyle name="常规 143 2 2" xfId="23284"/>
    <cellStyle name="常规 78 3 3" xfId="23285"/>
    <cellStyle name="常规 83 3 3" xfId="23286"/>
    <cellStyle name="输出 3 2 13 12" xfId="23287"/>
    <cellStyle name="常规 138 2 2 10" xfId="23288"/>
    <cellStyle name="常规 143 2 2 10" xfId="23289"/>
    <cellStyle name="常规 78 3 4" xfId="23290"/>
    <cellStyle name="常规 83 3 4" xfId="23291"/>
    <cellStyle name="常规 138 2 2 11" xfId="23292"/>
    <cellStyle name="常规 143 2 2 11" xfId="23293"/>
    <cellStyle name="常规 78 3 5" xfId="23294"/>
    <cellStyle name="常规 83 3 5" xfId="23295"/>
    <cellStyle name="常规 138 2 2 12" xfId="23296"/>
    <cellStyle name="常规 143 2 2 12" xfId="23297"/>
    <cellStyle name="常规 78 3 6" xfId="23298"/>
    <cellStyle name="常规 83 3 6" xfId="23299"/>
    <cellStyle name="常规 138 2 2 13" xfId="23300"/>
    <cellStyle name="常规 143 2 2 13" xfId="23301"/>
    <cellStyle name="常规 78 3 7" xfId="23302"/>
    <cellStyle name="常规 83 3 7" xfId="23303"/>
    <cellStyle name="常规 138 2 2 14" xfId="23304"/>
    <cellStyle name="常规 143 2 2 14" xfId="23305"/>
    <cellStyle name="常规 78 3 8" xfId="23306"/>
    <cellStyle name="常规 83 3 8" xfId="23307"/>
    <cellStyle name="常规 138 2 2 15" xfId="23308"/>
    <cellStyle name="常规 143 2 2 15" xfId="23309"/>
    <cellStyle name="常规 78 3 9" xfId="23310"/>
    <cellStyle name="常规 83 3 9" xfId="23311"/>
    <cellStyle name="常规 138 2 2 16" xfId="23312"/>
    <cellStyle name="常规 143 2 2 16" xfId="23313"/>
    <cellStyle name="常规 138 2 2 17" xfId="23314"/>
    <cellStyle name="常规 143 2 2 17" xfId="23315"/>
    <cellStyle name="常规 138 2 2 18" xfId="23316"/>
    <cellStyle name="常规 143 2 2 18" xfId="23317"/>
    <cellStyle name="常规 138 2 2 2" xfId="23318"/>
    <cellStyle name="常规 143 2 2 2" xfId="23319"/>
    <cellStyle name="常规 138 2 2 3" xfId="23320"/>
    <cellStyle name="常规 143 2 2 3" xfId="23321"/>
    <cellStyle name="常规 138 2 2 3 2 2" xfId="23322"/>
    <cellStyle name="常规 143 2 2 3 2 2" xfId="23323"/>
    <cellStyle name="常规 138 2 2 3 2 3" xfId="23324"/>
    <cellStyle name="常规 143 2 2 3 2 3" xfId="23325"/>
    <cellStyle name="常规 138 2 2 4" xfId="23326"/>
    <cellStyle name="常规 143 2 2 4" xfId="23327"/>
    <cellStyle name="常规 138 2 2 7" xfId="23328"/>
    <cellStyle name="常规 143 2 2 7" xfId="23329"/>
    <cellStyle name="常规 138 2 2 8" xfId="23330"/>
    <cellStyle name="常规 143 2 2 8" xfId="23331"/>
    <cellStyle name="常规 138 2 2 9" xfId="23332"/>
    <cellStyle name="常规 143 2 2 9" xfId="23333"/>
    <cellStyle name="常规 138 2 4 2 2" xfId="23334"/>
    <cellStyle name="常规 143 2 4 2 2" xfId="23335"/>
    <cellStyle name="输出 3 2 8 3 2 3" xfId="23336"/>
    <cellStyle name="常规 138 2 4 2 3" xfId="23337"/>
    <cellStyle name="常规 143 2 4 2 3" xfId="23338"/>
    <cellStyle name="常规 138 2 6" xfId="23339"/>
    <cellStyle name="常规 143 2 6" xfId="23340"/>
    <cellStyle name="常规 138 2 7" xfId="23341"/>
    <cellStyle name="常规 143 2 7" xfId="23342"/>
    <cellStyle name="常规 138 2 8" xfId="23343"/>
    <cellStyle name="常规 143 2 8" xfId="23344"/>
    <cellStyle name="常规 138 2 9" xfId="23345"/>
    <cellStyle name="常规 143 2 9" xfId="23346"/>
    <cellStyle name="常规 138 3" xfId="23347"/>
    <cellStyle name="常规 143 3" xfId="23348"/>
    <cellStyle name="常规 5 3 3" xfId="23349"/>
    <cellStyle name="常规 138 3 10" xfId="23350"/>
    <cellStyle name="常规 143 3 10" xfId="23351"/>
    <cellStyle name="常规 138 3 11" xfId="23352"/>
    <cellStyle name="常规 143 3 11" xfId="23353"/>
    <cellStyle name="常规 138 3 12" xfId="23354"/>
    <cellStyle name="常规 143 3 12" xfId="23355"/>
    <cellStyle name="常规 138 3 13" xfId="23356"/>
    <cellStyle name="常规 143 3 13" xfId="23357"/>
    <cellStyle name="常规 138 3 14" xfId="23358"/>
    <cellStyle name="常规 143 3 14" xfId="23359"/>
    <cellStyle name="常规 138 3 15" xfId="23360"/>
    <cellStyle name="常规 143 3 15" xfId="23361"/>
    <cellStyle name="常规 138 3 16" xfId="23362"/>
    <cellStyle name="常规 143 3 16" xfId="23363"/>
    <cellStyle name="常规 138 3 17" xfId="23364"/>
    <cellStyle name="常规 143 3 17" xfId="23365"/>
    <cellStyle name="常规 138 3 2" xfId="23366"/>
    <cellStyle name="常规 143 3 2" xfId="23367"/>
    <cellStyle name="常规 5 3 3 2" xfId="23368"/>
    <cellStyle name="常规 138 3 3" xfId="23369"/>
    <cellStyle name="常规 143 3 3" xfId="23370"/>
    <cellStyle name="常规 5 3 3 3" xfId="23371"/>
    <cellStyle name="常规 138 3 3 2" xfId="23372"/>
    <cellStyle name="常规 143 3 3 2" xfId="23373"/>
    <cellStyle name="常规 138 3 3 2 2" xfId="23374"/>
    <cellStyle name="常规 143 3 3 2 2" xfId="23375"/>
    <cellStyle name="计算 2 7 2" xfId="23376"/>
    <cellStyle name="常规 138 3 3 2 3" xfId="23377"/>
    <cellStyle name="常规 143 3 3 2 3" xfId="23378"/>
    <cellStyle name="常规 138 3 3 3" xfId="23379"/>
    <cellStyle name="常规 143 3 3 3" xfId="23380"/>
    <cellStyle name="常规 138 3 4" xfId="23381"/>
    <cellStyle name="常规 143 3 4" xfId="23382"/>
    <cellStyle name="常规 138 3 5" xfId="23383"/>
    <cellStyle name="常规 143 3 5" xfId="23384"/>
    <cellStyle name="常规 138 3 6" xfId="23385"/>
    <cellStyle name="常规 143 3 6" xfId="23386"/>
    <cellStyle name="常规 138 3 7" xfId="23387"/>
    <cellStyle name="常规 143 3 7" xfId="23388"/>
    <cellStyle name="常规 139 10" xfId="23389"/>
    <cellStyle name="常规 144 10" xfId="23390"/>
    <cellStyle name="常规 139 11" xfId="23391"/>
    <cellStyle name="常规 144 11" xfId="23392"/>
    <cellStyle name="输入 2 2 6 2" xfId="23393"/>
    <cellStyle name="常规 139 12" xfId="23394"/>
    <cellStyle name="常规 144 12" xfId="23395"/>
    <cellStyle name="输入 2 2 6 3" xfId="23396"/>
    <cellStyle name="常规 139 13" xfId="23397"/>
    <cellStyle name="常规 144 13" xfId="23398"/>
    <cellStyle name="输入 2 2 6 4" xfId="23399"/>
    <cellStyle name="常规 139 14" xfId="23400"/>
    <cellStyle name="常规 144 14" xfId="23401"/>
    <cellStyle name="输入 2 2 6 5" xfId="23402"/>
    <cellStyle name="常规 139 15" xfId="23403"/>
    <cellStyle name="常规 139 20" xfId="23404"/>
    <cellStyle name="常规 144 15" xfId="23405"/>
    <cellStyle name="常规 144 20" xfId="23406"/>
    <cellStyle name="输入 2 2 6 6" xfId="23407"/>
    <cellStyle name="常规 139 16" xfId="23408"/>
    <cellStyle name="常规 139 21" xfId="23409"/>
    <cellStyle name="常规 144 16" xfId="23410"/>
    <cellStyle name="常规 144 21" xfId="23411"/>
    <cellStyle name="输入 2 2 6 7" xfId="23412"/>
    <cellStyle name="常规 139 17" xfId="23413"/>
    <cellStyle name="常规 139 22" xfId="23414"/>
    <cellStyle name="常规 144 17" xfId="23415"/>
    <cellStyle name="常规 144 22" xfId="23416"/>
    <cellStyle name="输入 2 2 6 8" xfId="23417"/>
    <cellStyle name="常规 139 18" xfId="23418"/>
    <cellStyle name="常规 139 23" xfId="23419"/>
    <cellStyle name="常规 144 18" xfId="23420"/>
    <cellStyle name="常规 144 23" xfId="23421"/>
    <cellStyle name="计算 2 2 8 2 10" xfId="23422"/>
    <cellStyle name="输入 2 2 6 9" xfId="23423"/>
    <cellStyle name="计算 3 2 13 2" xfId="23424"/>
    <cellStyle name="常规 139 19" xfId="23425"/>
    <cellStyle name="常规 144 19" xfId="23426"/>
    <cellStyle name="输入 2 2 25" xfId="23427"/>
    <cellStyle name="常规 139 2" xfId="23428"/>
    <cellStyle name="常规 144 2" xfId="23429"/>
    <cellStyle name="汇总 2 8 2 6" xfId="23430"/>
    <cellStyle name="常规 139 2 10" xfId="23431"/>
    <cellStyle name="常规 144 2 10" xfId="23432"/>
    <cellStyle name="汇总 2 8 2 7" xfId="23433"/>
    <cellStyle name="常规 139 2 11" xfId="23434"/>
    <cellStyle name="常规 144 2 11" xfId="23435"/>
    <cellStyle name="汇总 2 8 2 8" xfId="23436"/>
    <cellStyle name="常规 139 2 12" xfId="23437"/>
    <cellStyle name="常规 144 2 12" xfId="23438"/>
    <cellStyle name="汇总 2 8 2 9" xfId="23439"/>
    <cellStyle name="常规 139 2 13" xfId="23440"/>
    <cellStyle name="常规 144 2 13" xfId="23441"/>
    <cellStyle name="常规 139 2 14" xfId="23442"/>
    <cellStyle name="常规 144 2 14" xfId="23443"/>
    <cellStyle name="常规 139 2 15" xfId="23444"/>
    <cellStyle name="常规 144 2 15" xfId="23445"/>
    <cellStyle name="常规 139 2 16" xfId="23446"/>
    <cellStyle name="常规 144 2 16" xfId="23447"/>
    <cellStyle name="常规 139 2 17" xfId="23448"/>
    <cellStyle name="常规 144 2 17" xfId="23449"/>
    <cellStyle name="常规 139 2 18" xfId="23450"/>
    <cellStyle name="常规 144 2 18" xfId="23451"/>
    <cellStyle name="常规 139 2 19" xfId="23452"/>
    <cellStyle name="常规 144 2 19" xfId="23453"/>
    <cellStyle name="常规 139 2 2" xfId="23454"/>
    <cellStyle name="常规 144 2 2" xfId="23455"/>
    <cellStyle name="常规 139 2 2 10" xfId="23456"/>
    <cellStyle name="常规 144 2 2 10" xfId="23457"/>
    <cellStyle name="常规 139 2 2 11" xfId="23458"/>
    <cellStyle name="常规 144 2 2 11" xfId="23459"/>
    <cellStyle name="常规 139 2 2 12" xfId="23460"/>
    <cellStyle name="常规 144 2 2 12" xfId="23461"/>
    <cellStyle name="常规 139 2 2 13" xfId="23462"/>
    <cellStyle name="常规 144 2 2 13" xfId="23463"/>
    <cellStyle name="常规 139 2 2 14" xfId="23464"/>
    <cellStyle name="常规 144 2 2 14" xfId="23465"/>
    <cellStyle name="常规 139 2 2 15" xfId="23466"/>
    <cellStyle name="常规 144 2 2 15" xfId="23467"/>
    <cellStyle name="常规 139 2 2 16" xfId="23468"/>
    <cellStyle name="常规 144 2 2 16" xfId="23469"/>
    <cellStyle name="常规 139 2 2 17" xfId="23470"/>
    <cellStyle name="常规 144 2 2 17" xfId="23471"/>
    <cellStyle name="常规 78 2 2 3 2 2" xfId="23472"/>
    <cellStyle name="常规 83 2 2 3 2 2" xfId="23473"/>
    <cellStyle name="常规 139 2 2 18" xfId="23474"/>
    <cellStyle name="常规 144 2 2 18" xfId="23475"/>
    <cellStyle name="常规 139 2 2 2" xfId="23476"/>
    <cellStyle name="常规 144 2 2 2" xfId="23477"/>
    <cellStyle name="常规 139 2 2 3" xfId="23478"/>
    <cellStyle name="常规 144 2 2 3" xfId="23479"/>
    <cellStyle name="常规 139 2 2 3 2" xfId="23480"/>
    <cellStyle name="常规 144 2 2 3 2" xfId="23481"/>
    <cellStyle name="常规 139 2 2 3 2 2" xfId="23482"/>
    <cellStyle name="常规 144 2 2 3 2 2" xfId="23483"/>
    <cellStyle name="常规 139 2 2 3 3" xfId="23484"/>
    <cellStyle name="常规 144 2 2 3 3" xfId="23485"/>
    <cellStyle name="常规 139 2 2 4" xfId="23486"/>
    <cellStyle name="常规 144 2 2 4" xfId="23487"/>
    <cellStyle name="常规 68 2 2 3 2 2" xfId="23488"/>
    <cellStyle name="常规 73 2 2 3 2 2" xfId="23489"/>
    <cellStyle name="常规 139 2 2 5" xfId="23490"/>
    <cellStyle name="常规 144 2 2 5" xfId="23491"/>
    <cellStyle name="常规 68 2 2 3 2 3" xfId="23492"/>
    <cellStyle name="常规 73 2 2 3 2 3" xfId="23493"/>
    <cellStyle name="常规 139 2 2 6" xfId="23494"/>
    <cellStyle name="常规 144 2 2 6" xfId="23495"/>
    <cellStyle name="常规 139 2 2 7" xfId="23496"/>
    <cellStyle name="常规 144 2 2 7" xfId="23497"/>
    <cellStyle name="常规 139 2 2 8" xfId="23498"/>
    <cellStyle name="常规 144 2 2 8" xfId="23499"/>
    <cellStyle name="常规 139 2 2 9" xfId="23500"/>
    <cellStyle name="常规 144 2 2 9" xfId="23501"/>
    <cellStyle name="常规 139 2 3" xfId="23502"/>
    <cellStyle name="常规 144 2 3" xfId="23503"/>
    <cellStyle name="常规 139 2 4" xfId="23504"/>
    <cellStyle name="常规 144 2 4" xfId="23505"/>
    <cellStyle name="常规 139 2 4 2" xfId="23506"/>
    <cellStyle name="常规 144 2 4 2" xfId="23507"/>
    <cellStyle name="常规 139 2 4 2 2" xfId="23508"/>
    <cellStyle name="常规 144 2 4 2 2" xfId="23509"/>
    <cellStyle name="常规 139 2 4 2 3" xfId="23510"/>
    <cellStyle name="常规 144 2 4 2 3" xfId="23511"/>
    <cellStyle name="常规 139 2 4 3" xfId="23512"/>
    <cellStyle name="常规 144 2 4 3" xfId="23513"/>
    <cellStyle name="常规 139 2 5" xfId="23514"/>
    <cellStyle name="常规 144 2 5" xfId="23515"/>
    <cellStyle name="常规 139 2 6" xfId="23516"/>
    <cellStyle name="常规 144 2 6" xfId="23517"/>
    <cellStyle name="常规 139 2 7" xfId="23518"/>
    <cellStyle name="常规 144 2 7" xfId="23519"/>
    <cellStyle name="常规 139 2 8" xfId="23520"/>
    <cellStyle name="常规 144 2 8" xfId="23521"/>
    <cellStyle name="常规 139 2 9" xfId="23522"/>
    <cellStyle name="常规 144 2 9" xfId="23523"/>
    <cellStyle name="输入 2 2 26" xfId="23524"/>
    <cellStyle name="常规 139 3" xfId="23525"/>
    <cellStyle name="常规 144 3" xfId="23526"/>
    <cellStyle name="常规 139 3 10" xfId="23527"/>
    <cellStyle name="常规 144 3 10" xfId="23528"/>
    <cellStyle name="常规 139 3 11" xfId="23529"/>
    <cellStyle name="常规 144 3 11" xfId="23530"/>
    <cellStyle name="常规 139 3 12" xfId="23531"/>
    <cellStyle name="常规 144 3 12" xfId="23532"/>
    <cellStyle name="常规 139 3 13" xfId="23533"/>
    <cellStyle name="常规 144 3 13" xfId="23534"/>
    <cellStyle name="常规 139 3 14" xfId="23535"/>
    <cellStyle name="常规 144 3 14" xfId="23536"/>
    <cellStyle name="常规 139 3 15" xfId="23537"/>
    <cellStyle name="常规 144 3 15" xfId="23538"/>
    <cellStyle name="常规 139 3 16" xfId="23539"/>
    <cellStyle name="常规 144 3 16" xfId="23540"/>
    <cellStyle name="常规 139 3 17" xfId="23541"/>
    <cellStyle name="常规 144 3 17" xfId="23542"/>
    <cellStyle name="常规 139 3 18" xfId="23543"/>
    <cellStyle name="常规 144 3 18" xfId="23544"/>
    <cellStyle name="常规 139 3 2" xfId="23545"/>
    <cellStyle name="常规 144 3 2" xfId="23546"/>
    <cellStyle name="常规 139 3 3 2 2" xfId="23547"/>
    <cellStyle name="常规 144 3 3 2 2" xfId="23548"/>
    <cellStyle name="常规 139 3 3 2 3" xfId="23549"/>
    <cellStyle name="常规 144 3 3 2 3" xfId="23550"/>
    <cellStyle name="常规 139 3 6" xfId="23551"/>
    <cellStyle name="常规 144 3 6" xfId="23552"/>
    <cellStyle name="常规 139 3 7" xfId="23553"/>
    <cellStyle name="常规 144 3 7" xfId="23554"/>
    <cellStyle name="常规 139 3 8" xfId="23555"/>
    <cellStyle name="常规 144 3 8" xfId="23556"/>
    <cellStyle name="常规 139 3 9" xfId="23557"/>
    <cellStyle name="常规 144 3 9" xfId="23558"/>
    <cellStyle name="输入 2 2 28" xfId="23559"/>
    <cellStyle name="常规 139 5" xfId="23560"/>
    <cellStyle name="常规 144 5" xfId="23561"/>
    <cellStyle name="常规 139 5 2" xfId="23562"/>
    <cellStyle name="常规 144 5 2" xfId="23563"/>
    <cellStyle name="常规 139 5 3" xfId="23564"/>
    <cellStyle name="常规 144 5 3" xfId="23565"/>
    <cellStyle name="常规 139 6" xfId="23566"/>
    <cellStyle name="常规 144 6" xfId="23567"/>
    <cellStyle name="常规 139 7" xfId="23568"/>
    <cellStyle name="常规 144 7" xfId="23569"/>
    <cellStyle name="常规 139 8" xfId="23570"/>
    <cellStyle name="常规 144 8" xfId="23571"/>
    <cellStyle name="常规 139 9" xfId="23572"/>
    <cellStyle name="常规 144 9" xfId="23573"/>
    <cellStyle name="汇总 3 7 10" xfId="23574"/>
    <cellStyle name="常规 48 3 11" xfId="23575"/>
    <cellStyle name="常规 53 3 11" xfId="23576"/>
    <cellStyle name="常规 14" xfId="23577"/>
    <cellStyle name="常规 14 10" xfId="23578"/>
    <cellStyle name="常规 14 11" xfId="23579"/>
    <cellStyle name="常规 14 12" xfId="23580"/>
    <cellStyle name="常规 14 13" xfId="23581"/>
    <cellStyle name="常规 14 14" xfId="23582"/>
    <cellStyle name="常规 14 15" xfId="23583"/>
    <cellStyle name="常规 14 20" xfId="23584"/>
    <cellStyle name="常规 14 16" xfId="23585"/>
    <cellStyle name="常规 14 21" xfId="23586"/>
    <cellStyle name="常规 14 17" xfId="23587"/>
    <cellStyle name="常规 14 22" xfId="23588"/>
    <cellStyle name="常规 14 18" xfId="23589"/>
    <cellStyle name="常规 14 23" xfId="23590"/>
    <cellStyle name="常规 14 19" xfId="23591"/>
    <cellStyle name="常规 14 2" xfId="23592"/>
    <cellStyle name="常规 14 2 10" xfId="23593"/>
    <cellStyle name="常规 14 2 11" xfId="23594"/>
    <cellStyle name="常规 14 2 12" xfId="23595"/>
    <cellStyle name="常规 14 2 13" xfId="23596"/>
    <cellStyle name="常规 14 2 14" xfId="23597"/>
    <cellStyle name="常规 14 2 15" xfId="23598"/>
    <cellStyle name="常规 14 2 2" xfId="23599"/>
    <cellStyle name="常规 14 2 3" xfId="23600"/>
    <cellStyle name="常规 14 2 3 2" xfId="23601"/>
    <cellStyle name="常规 14 2 3 2 2" xfId="23602"/>
    <cellStyle name="常规 14 2 3 2 3" xfId="23603"/>
    <cellStyle name="常规 14 2 3 3" xfId="23604"/>
    <cellStyle name="常规 14 2 4" xfId="23605"/>
    <cellStyle name="常规 14 2 5" xfId="23606"/>
    <cellStyle name="常规 14 2 6" xfId="23607"/>
    <cellStyle name="常规 14 2 7" xfId="23608"/>
    <cellStyle name="常规 166 4 2" xfId="23609"/>
    <cellStyle name="常规 14 2 8" xfId="23610"/>
    <cellStyle name="常规 166 4 3" xfId="23611"/>
    <cellStyle name="常规 14 2 9" xfId="23612"/>
    <cellStyle name="常规 14 3" xfId="23613"/>
    <cellStyle name="常规 14 3 10" xfId="23614"/>
    <cellStyle name="常规 14 3 11" xfId="23615"/>
    <cellStyle name="常规 14 3 12" xfId="23616"/>
    <cellStyle name="常规 14 3 13" xfId="23617"/>
    <cellStyle name="常规 14 3 14" xfId="23618"/>
    <cellStyle name="常规 14 3 15" xfId="23619"/>
    <cellStyle name="常规 14 3 3 2" xfId="23620"/>
    <cellStyle name="常规 14 3 3 3" xfId="23621"/>
    <cellStyle name="常规 14 4" xfId="23622"/>
    <cellStyle name="常规 14 5" xfId="23623"/>
    <cellStyle name="常规 14 5 2" xfId="23624"/>
    <cellStyle name="汇总 3 2 2 10" xfId="23625"/>
    <cellStyle name="常规 14 5 2 2" xfId="23626"/>
    <cellStyle name="计算 3 2 2 2 2" xfId="23627"/>
    <cellStyle name="汇总 3 2 2 11" xfId="23628"/>
    <cellStyle name="常规 14 5 2 3" xfId="23629"/>
    <cellStyle name="常规 14 5 3" xfId="23630"/>
    <cellStyle name="常规 14 6" xfId="23631"/>
    <cellStyle name="常规 14 7" xfId="23632"/>
    <cellStyle name="常规 14 8" xfId="23633"/>
    <cellStyle name="常规 14 9" xfId="23634"/>
    <cellStyle name="常规 145" xfId="23635"/>
    <cellStyle name="常规 150" xfId="23636"/>
    <cellStyle name="常规 5 5" xfId="23637"/>
    <cellStyle name="常规 145 10" xfId="23638"/>
    <cellStyle name="常规 150 10" xfId="23639"/>
    <cellStyle name="常规 145 11" xfId="23640"/>
    <cellStyle name="常规 150 11" xfId="23641"/>
    <cellStyle name="常规 145 12" xfId="23642"/>
    <cellStyle name="常规 150 12" xfId="23643"/>
    <cellStyle name="常规 145 13" xfId="23644"/>
    <cellStyle name="常规 150 13" xfId="23645"/>
    <cellStyle name="常规 145 14" xfId="23646"/>
    <cellStyle name="常规 150 14" xfId="23647"/>
    <cellStyle name="常规 145 15" xfId="23648"/>
    <cellStyle name="常规 145 20" xfId="23649"/>
    <cellStyle name="常规 150 15" xfId="23650"/>
    <cellStyle name="常规 150 20" xfId="23651"/>
    <cellStyle name="常规 145 16" xfId="23652"/>
    <cellStyle name="常规 145 21" xfId="23653"/>
    <cellStyle name="常规 150 16" xfId="23654"/>
    <cellStyle name="常规 150 21" xfId="23655"/>
    <cellStyle name="常规 145 17" xfId="23656"/>
    <cellStyle name="常规 145 22" xfId="23657"/>
    <cellStyle name="常规 150 17" xfId="23658"/>
    <cellStyle name="常规 150 22" xfId="23659"/>
    <cellStyle name="常规 145 18" xfId="23660"/>
    <cellStyle name="常规 145 23" xfId="23661"/>
    <cellStyle name="常规 150 18" xfId="23662"/>
    <cellStyle name="常规 150 23" xfId="23663"/>
    <cellStyle name="常规 145 19" xfId="23664"/>
    <cellStyle name="常规 150 19" xfId="23665"/>
    <cellStyle name="常规 145 2" xfId="23666"/>
    <cellStyle name="常规 150 2" xfId="23667"/>
    <cellStyle name="常规 5 5 2" xfId="23668"/>
    <cellStyle name="常规 145 2 2" xfId="23669"/>
    <cellStyle name="常规 150 2 2" xfId="23670"/>
    <cellStyle name="常规 5 5 2 2" xfId="23671"/>
    <cellStyle name="常规 145 2 2 10" xfId="23672"/>
    <cellStyle name="常规 150 2 2 10" xfId="23673"/>
    <cellStyle name="常规 145 2 2 11" xfId="23674"/>
    <cellStyle name="常规 150 2 2 11" xfId="23675"/>
    <cellStyle name="常规 145 2 2 12" xfId="23676"/>
    <cellStyle name="常规 150 2 2 12" xfId="23677"/>
    <cellStyle name="常规 145 2 2 13" xfId="23678"/>
    <cellStyle name="常规 150 2 2 13" xfId="23679"/>
    <cellStyle name="常规 145 2 2 14" xfId="23680"/>
    <cellStyle name="常规 150 2 2 14" xfId="23681"/>
    <cellStyle name="常规 145 2 2 15" xfId="23682"/>
    <cellStyle name="常规 150 2 2 15" xfId="23683"/>
    <cellStyle name="常规 145 2 2 16" xfId="23684"/>
    <cellStyle name="常规 150 2 2 16" xfId="23685"/>
    <cellStyle name="常规 145 2 2 17" xfId="23686"/>
    <cellStyle name="常规 150 2 2 17" xfId="23687"/>
    <cellStyle name="常规 145 2 2 18" xfId="23688"/>
    <cellStyle name="常规 150 2 2 18" xfId="23689"/>
    <cellStyle name="常规 145 2 2 2" xfId="23690"/>
    <cellStyle name="常规 150 2 2 2" xfId="23691"/>
    <cellStyle name="常规 145 2 2 3" xfId="23692"/>
    <cellStyle name="常规 150 2 2 3" xfId="23693"/>
    <cellStyle name="常规 145 2 2 4" xfId="23694"/>
    <cellStyle name="常规 150 2 2 4" xfId="23695"/>
    <cellStyle name="常规 145 2 2 5" xfId="23696"/>
    <cellStyle name="常规 150 2 2 5" xfId="23697"/>
    <cellStyle name="常规 145 2 2 6" xfId="23698"/>
    <cellStyle name="常规 150 2 2 6" xfId="23699"/>
    <cellStyle name="常规 145 2 2 7" xfId="23700"/>
    <cellStyle name="常规 150 2 2 7" xfId="23701"/>
    <cellStyle name="常规 145 2 2 8" xfId="23702"/>
    <cellStyle name="常规 150 2 2 8" xfId="23703"/>
    <cellStyle name="常规 145 2 2 9" xfId="23704"/>
    <cellStyle name="常规 150 2 2 9" xfId="23705"/>
    <cellStyle name="常规 145 2 3" xfId="23706"/>
    <cellStyle name="常规 150 2 3" xfId="23707"/>
    <cellStyle name="常规 5 5 2 3" xfId="23708"/>
    <cellStyle name="常规 5 2 2 3 2 2" xfId="23709"/>
    <cellStyle name="常规 145 2 4" xfId="23710"/>
    <cellStyle name="常规 150 2 4" xfId="23711"/>
    <cellStyle name="常规 5 2 2 3 2 3" xfId="23712"/>
    <cellStyle name="常规 145 2 5" xfId="23713"/>
    <cellStyle name="常规 150 2 5" xfId="23714"/>
    <cellStyle name="常规 145 2 6" xfId="23715"/>
    <cellStyle name="常规 150 2 6" xfId="23716"/>
    <cellStyle name="常规 145 2 7" xfId="23717"/>
    <cellStyle name="常规 150 2 7" xfId="23718"/>
    <cellStyle name="常规 145 2 8" xfId="23719"/>
    <cellStyle name="常规 150 2 8" xfId="23720"/>
    <cellStyle name="常规 145 2 9" xfId="23721"/>
    <cellStyle name="常规 150 2 9" xfId="23722"/>
    <cellStyle name="常规 145 3" xfId="23723"/>
    <cellStyle name="常规 150 3" xfId="23724"/>
    <cellStyle name="常规 5 5 3" xfId="23725"/>
    <cellStyle name="常规 145 3 10" xfId="23726"/>
    <cellStyle name="常规 150 3 10" xfId="23727"/>
    <cellStyle name="常规 145 3 11" xfId="23728"/>
    <cellStyle name="常规 150 3 11" xfId="23729"/>
    <cellStyle name="常规 145 3 12" xfId="23730"/>
    <cellStyle name="常规 150 3 12" xfId="23731"/>
    <cellStyle name="常规 145 3 13" xfId="23732"/>
    <cellStyle name="常规 150 3 13" xfId="23733"/>
    <cellStyle name="常规 145 3 14" xfId="23734"/>
    <cellStyle name="常规 150 3 14" xfId="23735"/>
    <cellStyle name="常规 145 3 2" xfId="23736"/>
    <cellStyle name="常规 150 3 2" xfId="23737"/>
    <cellStyle name="常规 145 3 3" xfId="23738"/>
    <cellStyle name="常规 150 3 3" xfId="23739"/>
    <cellStyle name="常规 145 3 4" xfId="23740"/>
    <cellStyle name="常规 150 3 4" xfId="23741"/>
    <cellStyle name="常规 145 3 5" xfId="23742"/>
    <cellStyle name="常规 150 3 5" xfId="23743"/>
    <cellStyle name="常规 145 3 6" xfId="23744"/>
    <cellStyle name="常规 150 3 6" xfId="23745"/>
    <cellStyle name="常规 145 3 7" xfId="23746"/>
    <cellStyle name="常规 150 3 7" xfId="23747"/>
    <cellStyle name="常规 145 3 8" xfId="23748"/>
    <cellStyle name="常规 150 3 8" xfId="23749"/>
    <cellStyle name="常规 145 3 9" xfId="23750"/>
    <cellStyle name="常规 150 3 9" xfId="23751"/>
    <cellStyle name="常规 145 4" xfId="23752"/>
    <cellStyle name="常规 150 4" xfId="23753"/>
    <cellStyle name="常规 145 5" xfId="23754"/>
    <cellStyle name="常规 150 5" xfId="23755"/>
    <cellStyle name="常规 145 6" xfId="23756"/>
    <cellStyle name="常规 150 6" xfId="23757"/>
    <cellStyle name="常规 145 7" xfId="23758"/>
    <cellStyle name="常规 150 7" xfId="23759"/>
    <cellStyle name="常规 145 8" xfId="23760"/>
    <cellStyle name="常规 150 8" xfId="23761"/>
    <cellStyle name="常规 146" xfId="23762"/>
    <cellStyle name="常规 151" xfId="23763"/>
    <cellStyle name="常规 5 6" xfId="23764"/>
    <cellStyle name="常规 146 10" xfId="23765"/>
    <cellStyle name="常规 151 10" xfId="23766"/>
    <cellStyle name="常规 146 11" xfId="23767"/>
    <cellStyle name="常规 151 11" xfId="23768"/>
    <cellStyle name="常规 146 12" xfId="23769"/>
    <cellStyle name="常规 151 12" xfId="23770"/>
    <cellStyle name="常规 146 13" xfId="23771"/>
    <cellStyle name="常规 151 13" xfId="23772"/>
    <cellStyle name="常规 146 14" xfId="23773"/>
    <cellStyle name="常规 151 14" xfId="23774"/>
    <cellStyle name="常规 146 17" xfId="23775"/>
    <cellStyle name="常规 146 22" xfId="23776"/>
    <cellStyle name="常规 151 17" xfId="23777"/>
    <cellStyle name="常规 151 22" xfId="23778"/>
    <cellStyle name="常规 146 18" xfId="23779"/>
    <cellStyle name="常规 146 23" xfId="23780"/>
    <cellStyle name="常规 151 18" xfId="23781"/>
    <cellStyle name="常规 151 23" xfId="23782"/>
    <cellStyle name="常规 146 19" xfId="23783"/>
    <cellStyle name="常规 151 19" xfId="23784"/>
    <cellStyle name="常规 146 2" xfId="23785"/>
    <cellStyle name="常规 151 2" xfId="23786"/>
    <cellStyle name="常规 146 2 11" xfId="23787"/>
    <cellStyle name="常规 151 2 11" xfId="23788"/>
    <cellStyle name="常规 146 2 12" xfId="23789"/>
    <cellStyle name="常规 151 2 12" xfId="23790"/>
    <cellStyle name="常规 146 2 13" xfId="23791"/>
    <cellStyle name="常规 151 2 13" xfId="23792"/>
    <cellStyle name="常规 146 2 14" xfId="23793"/>
    <cellStyle name="常规 151 2 14" xfId="23794"/>
    <cellStyle name="常规 146 2 15" xfId="23795"/>
    <cellStyle name="常规 151 2 15" xfId="23796"/>
    <cellStyle name="常规 146 2 18" xfId="23797"/>
    <cellStyle name="常规 151 2 18" xfId="23798"/>
    <cellStyle name="常规 146 2 2" xfId="23799"/>
    <cellStyle name="常规 151 2 2" xfId="23800"/>
    <cellStyle name="输入 4 11" xfId="23801"/>
    <cellStyle name="常规 96 3 4" xfId="23802"/>
    <cellStyle name="常规 146 2 2 12" xfId="23803"/>
    <cellStyle name="常规 151 2 2 12" xfId="23804"/>
    <cellStyle name="输入 4 12" xfId="23805"/>
    <cellStyle name="常规 96 3 5" xfId="23806"/>
    <cellStyle name="常规 146 2 2 13" xfId="23807"/>
    <cellStyle name="常规 151 2 2 13" xfId="23808"/>
    <cellStyle name="输入 4 13" xfId="23809"/>
    <cellStyle name="常规 96 3 6" xfId="23810"/>
    <cellStyle name="常规 146 2 2 14" xfId="23811"/>
    <cellStyle name="常规 151 2 2 14" xfId="23812"/>
    <cellStyle name="输入 4 14" xfId="23813"/>
    <cellStyle name="常规 96 3 7" xfId="23814"/>
    <cellStyle name="常规 146 2 2 15" xfId="23815"/>
    <cellStyle name="常规 151 2 2 15" xfId="23816"/>
    <cellStyle name="常规 96 3 8" xfId="23817"/>
    <cellStyle name="常规 146 2 2 16" xfId="23818"/>
    <cellStyle name="常规 151 2 2 16" xfId="23819"/>
    <cellStyle name="常规 96 3 9" xfId="23820"/>
    <cellStyle name="常规 146 2 2 17" xfId="23821"/>
    <cellStyle name="常规 151 2 2 17" xfId="23822"/>
    <cellStyle name="常规 146 2 2 18" xfId="23823"/>
    <cellStyle name="常规 151 2 2 18" xfId="23824"/>
    <cellStyle name="常规 146 2 2 2" xfId="23825"/>
    <cellStyle name="常规 151 2 2 2" xfId="23826"/>
    <cellStyle name="输出 2 2 8 10" xfId="23827"/>
    <cellStyle name="常规 146 2 2 3" xfId="23828"/>
    <cellStyle name="常规 151 2 2 3" xfId="23829"/>
    <cellStyle name="常规 146 2 2 3 2" xfId="23830"/>
    <cellStyle name="常规 151 2 2 3 2" xfId="23831"/>
    <cellStyle name="常规 146 2 2 3 3" xfId="23832"/>
    <cellStyle name="常规 151 2 2 3 3" xfId="23833"/>
    <cellStyle name="输出 2 2 8 11" xfId="23834"/>
    <cellStyle name="常规 146 2 2 4" xfId="23835"/>
    <cellStyle name="常规 151 2 2 4" xfId="23836"/>
    <cellStyle name="输出 2 2 8 12" xfId="23837"/>
    <cellStyle name="常规 146 2 2 5" xfId="23838"/>
    <cellStyle name="常规 151 2 2 5" xfId="23839"/>
    <cellStyle name="输出 2 2 8 13" xfId="23840"/>
    <cellStyle name="常规 146 2 2 6" xfId="23841"/>
    <cellStyle name="常规 151 2 2 6" xfId="23842"/>
    <cellStyle name="输出 2 2 8 14" xfId="23843"/>
    <cellStyle name="常规 146 2 2 7" xfId="23844"/>
    <cellStyle name="常规 151 2 2 7" xfId="23845"/>
    <cellStyle name="输出 2 2 8 15" xfId="23846"/>
    <cellStyle name="常规 146 2 2 8" xfId="23847"/>
    <cellStyle name="常规 151 2 2 8" xfId="23848"/>
    <cellStyle name="输出 2 2 8 16" xfId="23849"/>
    <cellStyle name="常规 146 2 2 9" xfId="23850"/>
    <cellStyle name="常规 151 2 2 9" xfId="23851"/>
    <cellStyle name="常规 146 2 4 2" xfId="23852"/>
    <cellStyle name="常规 151 2 4 2" xfId="23853"/>
    <cellStyle name="常规 146 2 4 2 2" xfId="23854"/>
    <cellStyle name="常规 151 2 4 2 2" xfId="23855"/>
    <cellStyle name="常规 146 2 4 2 3" xfId="23856"/>
    <cellStyle name="常规 151 2 4 2 3" xfId="23857"/>
    <cellStyle name="常规 146 2 4 3" xfId="23858"/>
    <cellStyle name="常规 151 2 4 3" xfId="23859"/>
    <cellStyle name="常规 146 2 6" xfId="23860"/>
    <cellStyle name="常规 151 2 6" xfId="23861"/>
    <cellStyle name="常规 146 2 7" xfId="23862"/>
    <cellStyle name="常规 151 2 7" xfId="23863"/>
    <cellStyle name="常规 146 2 8" xfId="23864"/>
    <cellStyle name="常规 151 2 8" xfId="23865"/>
    <cellStyle name="常规 146 2 9" xfId="23866"/>
    <cellStyle name="常规 151 2 9" xfId="23867"/>
    <cellStyle name="常规 146 3" xfId="23868"/>
    <cellStyle name="常规 151 3" xfId="23869"/>
    <cellStyle name="常规 146 3 10" xfId="23870"/>
    <cellStyle name="常规 151 3 10" xfId="23871"/>
    <cellStyle name="常规 146 3 11" xfId="23872"/>
    <cellStyle name="常规 151 3 11" xfId="23873"/>
    <cellStyle name="常规 146 3 12" xfId="23874"/>
    <cellStyle name="常规 151 3 12" xfId="23875"/>
    <cellStyle name="常规 146 3 13" xfId="23876"/>
    <cellStyle name="常规 151 3 13" xfId="23877"/>
    <cellStyle name="常规 146 3 14" xfId="23878"/>
    <cellStyle name="常规 151 3 14" xfId="23879"/>
    <cellStyle name="常规 146 3 15" xfId="23880"/>
    <cellStyle name="常规 151 3 15" xfId="23881"/>
    <cellStyle name="常规 27 2 4 2" xfId="23882"/>
    <cellStyle name="常规 32 2 4 2" xfId="23883"/>
    <cellStyle name="常规 146 3 16" xfId="23884"/>
    <cellStyle name="常规 151 3 16" xfId="23885"/>
    <cellStyle name="常规 27 2 4 3" xfId="23886"/>
    <cellStyle name="常规 32 2 4 3" xfId="23887"/>
    <cellStyle name="常规 146 3 17" xfId="23888"/>
    <cellStyle name="常规 151 3 17" xfId="23889"/>
    <cellStyle name="常规 146 3 18" xfId="23890"/>
    <cellStyle name="常规 151 3 18" xfId="23891"/>
    <cellStyle name="常规 146 3 2" xfId="23892"/>
    <cellStyle name="常规 151 3 2" xfId="23893"/>
    <cellStyle name="常规 146 3 3" xfId="23894"/>
    <cellStyle name="常规 151 3 3" xfId="23895"/>
    <cellStyle name="输出 3 9 2 8" xfId="23896"/>
    <cellStyle name="常规 146 3 3 2" xfId="23897"/>
    <cellStyle name="常规 151 3 3 2" xfId="23898"/>
    <cellStyle name="输出 3 9 2 9" xfId="23899"/>
    <cellStyle name="常规 146 3 3 3" xfId="23900"/>
    <cellStyle name="常规 151 3 3 3" xfId="23901"/>
    <cellStyle name="常规 146 3 4" xfId="23902"/>
    <cellStyle name="常规 151 3 4" xfId="23903"/>
    <cellStyle name="常规 146 3 5" xfId="23904"/>
    <cellStyle name="常规 151 3 5" xfId="23905"/>
    <cellStyle name="常规 146 3 6" xfId="23906"/>
    <cellStyle name="常规 151 3 6" xfId="23907"/>
    <cellStyle name="常规 146 3 7" xfId="23908"/>
    <cellStyle name="常规 151 3 7" xfId="23909"/>
    <cellStyle name="常规 146 3 8" xfId="23910"/>
    <cellStyle name="常规 151 3 8" xfId="23911"/>
    <cellStyle name="常规 146 3 9" xfId="23912"/>
    <cellStyle name="常规 151 3 9" xfId="23913"/>
    <cellStyle name="常规 146 4" xfId="23914"/>
    <cellStyle name="常规 151 4" xfId="23915"/>
    <cellStyle name="常规 146 5" xfId="23916"/>
    <cellStyle name="常规 151 5" xfId="23917"/>
    <cellStyle name="常规 146 5 3" xfId="23918"/>
    <cellStyle name="常规 151 5 3" xfId="23919"/>
    <cellStyle name="常规 146 6" xfId="23920"/>
    <cellStyle name="常规 151 6" xfId="23921"/>
    <cellStyle name="常规 146 7" xfId="23922"/>
    <cellStyle name="常规 151 7" xfId="23923"/>
    <cellStyle name="常规 146 8" xfId="23924"/>
    <cellStyle name="常规 151 8" xfId="23925"/>
    <cellStyle name="常规 146 9" xfId="23926"/>
    <cellStyle name="常规 151 9" xfId="23927"/>
    <cellStyle name="常规 147" xfId="23928"/>
    <cellStyle name="常规 152" xfId="23929"/>
    <cellStyle name="常规 5 7" xfId="23930"/>
    <cellStyle name="常规 147 14" xfId="23931"/>
    <cellStyle name="常规 152 14" xfId="23932"/>
    <cellStyle name="常规 147 15" xfId="23933"/>
    <cellStyle name="常规 147 20" xfId="23934"/>
    <cellStyle name="常规 152 15" xfId="23935"/>
    <cellStyle name="常规 152 20" xfId="23936"/>
    <cellStyle name="常规 147 16" xfId="23937"/>
    <cellStyle name="常规 147 21" xfId="23938"/>
    <cellStyle name="常规 152 16" xfId="23939"/>
    <cellStyle name="常规 152 21" xfId="23940"/>
    <cellStyle name="常规 147 17" xfId="23941"/>
    <cellStyle name="常规 147 22" xfId="23942"/>
    <cellStyle name="常规 152 17" xfId="23943"/>
    <cellStyle name="常规 152 22" xfId="23944"/>
    <cellStyle name="常规 147 18" xfId="23945"/>
    <cellStyle name="常规 147 23" xfId="23946"/>
    <cellStyle name="常规 152 18" xfId="23947"/>
    <cellStyle name="常规 152 23" xfId="23948"/>
    <cellStyle name="常规 147 19" xfId="23949"/>
    <cellStyle name="常规 152 19" xfId="23950"/>
    <cellStyle name="常规 147 2" xfId="23951"/>
    <cellStyle name="常规 152 2" xfId="23952"/>
    <cellStyle name="常规 147 2 10" xfId="23953"/>
    <cellStyle name="常规 152 2 10" xfId="23954"/>
    <cellStyle name="常规 147 2 11" xfId="23955"/>
    <cellStyle name="常规 152 2 11" xfId="23956"/>
    <cellStyle name="计算 2 6 5" xfId="23957"/>
    <cellStyle name="常规 147 2 2 10" xfId="23958"/>
    <cellStyle name="常规 152 2 2 10" xfId="23959"/>
    <cellStyle name="计算 2 6 6" xfId="23960"/>
    <cellStyle name="常规 147 2 2 11" xfId="23961"/>
    <cellStyle name="常规 152 2 2 11" xfId="23962"/>
    <cellStyle name="计算 2 6 7" xfId="23963"/>
    <cellStyle name="常规 147 2 2 12" xfId="23964"/>
    <cellStyle name="常规 152 2 2 12" xfId="23965"/>
    <cellStyle name="计算 2 6 8" xfId="23966"/>
    <cellStyle name="常规 147 2 2 13" xfId="23967"/>
    <cellStyle name="常规 152 2 2 13" xfId="23968"/>
    <cellStyle name="计算 2 6 9" xfId="23969"/>
    <cellStyle name="常规 147 2 2 14" xfId="23970"/>
    <cellStyle name="常规 152 2 2 14" xfId="23971"/>
    <cellStyle name="常规 147 2 2 15" xfId="23972"/>
    <cellStyle name="常规 152 2 2 15" xfId="23973"/>
    <cellStyle name="常规 147 2 2 16" xfId="23974"/>
    <cellStyle name="常规 152 2 2 16" xfId="23975"/>
    <cellStyle name="常规 147 2 2 17" xfId="23976"/>
    <cellStyle name="常规 152 2 2 17" xfId="23977"/>
    <cellStyle name="常规 147 2 2 18" xfId="23978"/>
    <cellStyle name="常规 152 2 2 18" xfId="23979"/>
    <cellStyle name="常规 147 2 2 2" xfId="23980"/>
    <cellStyle name="常规 152 2 2 2" xfId="23981"/>
    <cellStyle name="常规 147 2 2 3" xfId="23982"/>
    <cellStyle name="常规 152 2 2 3" xfId="23983"/>
    <cellStyle name="常规 147 2 2 3 2" xfId="23984"/>
    <cellStyle name="常规 152 2 2 3 2" xfId="23985"/>
    <cellStyle name="常规 147 2 2 3 3" xfId="23986"/>
    <cellStyle name="常规 152 2 2 3 3" xfId="23987"/>
    <cellStyle name="常规 147 2 2 6" xfId="23988"/>
    <cellStyle name="常规 152 2 2 6" xfId="23989"/>
    <cellStyle name="常规 147 2 2 7" xfId="23990"/>
    <cellStyle name="常规 152 2 2 7" xfId="23991"/>
    <cellStyle name="常规 147 2 2 8" xfId="23992"/>
    <cellStyle name="常规 152 2 2 8" xfId="23993"/>
    <cellStyle name="常规 147 2 4 2" xfId="23994"/>
    <cellStyle name="常规 152 2 4 2" xfId="23995"/>
    <cellStyle name="常规 147 2 4 2 2" xfId="23996"/>
    <cellStyle name="常规 152 2 4 2 2" xfId="23997"/>
    <cellStyle name="常规 147 2 4 2 3" xfId="23998"/>
    <cellStyle name="常规 152 2 4 2 3" xfId="23999"/>
    <cellStyle name="常规 147 2 4 3" xfId="24000"/>
    <cellStyle name="常规 152 2 4 3" xfId="24001"/>
    <cellStyle name="常规 147 2 6" xfId="24002"/>
    <cellStyle name="常规 152 2 6" xfId="24003"/>
    <cellStyle name="常规 147 2 7" xfId="24004"/>
    <cellStyle name="常规 152 2 7" xfId="24005"/>
    <cellStyle name="常规 147 2 8" xfId="24006"/>
    <cellStyle name="常规 152 2 8" xfId="24007"/>
    <cellStyle name="常规 147 2 9" xfId="24008"/>
    <cellStyle name="常规 152 2 9" xfId="24009"/>
    <cellStyle name="常规 147 3 10" xfId="24010"/>
    <cellStyle name="常规 152 3 10" xfId="24011"/>
    <cellStyle name="常规 147 3 11" xfId="24012"/>
    <cellStyle name="常规 152 3 11" xfId="24013"/>
    <cellStyle name="输出 3 4 16" xfId="24014"/>
    <cellStyle name="输出 3 4 21" xfId="24015"/>
    <cellStyle name="常规 147 3 3 2 3" xfId="24016"/>
    <cellStyle name="常规 152 3 3 2 3" xfId="24017"/>
    <cellStyle name="常规 147 4" xfId="24018"/>
    <cellStyle name="常规 152 4" xfId="24019"/>
    <cellStyle name="常规 147 5" xfId="24020"/>
    <cellStyle name="常规 152 5" xfId="24021"/>
    <cellStyle name="常规 147 6" xfId="24022"/>
    <cellStyle name="常规 152 6" xfId="24023"/>
    <cellStyle name="常规 147 7" xfId="24024"/>
    <cellStyle name="常规 152 7" xfId="24025"/>
    <cellStyle name="常规 148" xfId="24026"/>
    <cellStyle name="常规 153" xfId="24027"/>
    <cellStyle name="常规 5 8" xfId="24028"/>
    <cellStyle name="强调文字颜色 2 3 2 19" xfId="24029"/>
    <cellStyle name="常规 148 10" xfId="24030"/>
    <cellStyle name="常规 153 10" xfId="24031"/>
    <cellStyle name="常规 148 11" xfId="24032"/>
    <cellStyle name="常规 153 11" xfId="24033"/>
    <cellStyle name="常规 148 12" xfId="24034"/>
    <cellStyle name="常规 153 12" xfId="24035"/>
    <cellStyle name="常规 148 13" xfId="24036"/>
    <cellStyle name="常规 153 13" xfId="24037"/>
    <cellStyle name="常规 148 14" xfId="24038"/>
    <cellStyle name="常规 153 14" xfId="24039"/>
    <cellStyle name="常规 148 15" xfId="24040"/>
    <cellStyle name="常规 148 20" xfId="24041"/>
    <cellStyle name="常规 153 15" xfId="24042"/>
    <cellStyle name="强调文字颜色 4 3 2 2" xfId="24043"/>
    <cellStyle name="常规 148 16" xfId="24044"/>
    <cellStyle name="常规 148 21" xfId="24045"/>
    <cellStyle name="常规 153 16" xfId="24046"/>
    <cellStyle name="强调文字颜色 4 3 2 3" xfId="24047"/>
    <cellStyle name="常规 148 17" xfId="24048"/>
    <cellStyle name="常规 148 22" xfId="24049"/>
    <cellStyle name="常规 153 17" xfId="24050"/>
    <cellStyle name="强调文字颜色 4 3 2 4" xfId="24051"/>
    <cellStyle name="常规 148 18" xfId="24052"/>
    <cellStyle name="常规 148 23" xfId="24053"/>
    <cellStyle name="常规 153 18" xfId="24054"/>
    <cellStyle name="常规 148 19" xfId="24055"/>
    <cellStyle name="常规 153 19" xfId="24056"/>
    <cellStyle name="常规 148 2" xfId="24057"/>
    <cellStyle name="常规 153 2" xfId="24058"/>
    <cellStyle name="好_Book1 2 19" xfId="24059"/>
    <cellStyle name="常规 148 2 18" xfId="24060"/>
    <cellStyle name="常规 148 2 19" xfId="24061"/>
    <cellStyle name="常规 148 2 2" xfId="24062"/>
    <cellStyle name="常规 153 2 2" xfId="24063"/>
    <cellStyle name="常规 148 2 2 10" xfId="24064"/>
    <cellStyle name="常规 148 2 2 13" xfId="24065"/>
    <cellStyle name="常规 148 2 2 14" xfId="24066"/>
    <cellStyle name="常规 148 2 2 15" xfId="24067"/>
    <cellStyle name="常规 148 2 2 16" xfId="24068"/>
    <cellStyle name="常规 148 2 2 17" xfId="24069"/>
    <cellStyle name="常规 148 2 2 18" xfId="24070"/>
    <cellStyle name="好_Book1 2 2 7" xfId="24071"/>
    <cellStyle name="常规 148 2 2 2" xfId="24072"/>
    <cellStyle name="常规 153 2 2 2" xfId="24073"/>
    <cellStyle name="好_Book1 2 2 8" xfId="24074"/>
    <cellStyle name="常规 148 2 2 3" xfId="24075"/>
    <cellStyle name="常规 148 2 2 3 2" xfId="24076"/>
    <cellStyle name="常规 148 2 2 3 3" xfId="24077"/>
    <cellStyle name="好_Book1 2 2 9" xfId="24078"/>
    <cellStyle name="常规 148 2 2 4" xfId="24079"/>
    <cellStyle name="常规 148 2 2 5" xfId="24080"/>
    <cellStyle name="常规 148 2 2 6" xfId="24081"/>
    <cellStyle name="常规 148 2 2 7" xfId="24082"/>
    <cellStyle name="常规 148 2 2 8" xfId="24083"/>
    <cellStyle name="常规 148 2 2 9" xfId="24084"/>
    <cellStyle name="常规 148 2 3" xfId="24085"/>
    <cellStyle name="常规 153 2 3" xfId="24086"/>
    <cellStyle name="常规 148 2 4" xfId="24087"/>
    <cellStyle name="常规 153 2 4" xfId="24088"/>
    <cellStyle name="常规 148 2 4 2 3" xfId="24089"/>
    <cellStyle name="常规 148 2 4 3" xfId="24090"/>
    <cellStyle name="常规 148 2 5" xfId="24091"/>
    <cellStyle name="常规 153 2 5" xfId="24092"/>
    <cellStyle name="常规 148 2 6" xfId="24093"/>
    <cellStyle name="常规 153 2 6" xfId="24094"/>
    <cellStyle name="常规 148 2 7" xfId="24095"/>
    <cellStyle name="常规 153 2 7" xfId="24096"/>
    <cellStyle name="常规 148 2 8" xfId="24097"/>
    <cellStyle name="常规 153 2 8" xfId="24098"/>
    <cellStyle name="常规 148 2 9" xfId="24099"/>
    <cellStyle name="常规 153 2 9" xfId="24100"/>
    <cellStyle name="常规 148 3" xfId="24101"/>
    <cellStyle name="常规 153 3" xfId="24102"/>
    <cellStyle name="好_Book1 3 11" xfId="24103"/>
    <cellStyle name="常规 148 3 10" xfId="24104"/>
    <cellStyle name="常规 153 3 10" xfId="24105"/>
    <cellStyle name="好_Book1 3 12" xfId="24106"/>
    <cellStyle name="常规 148 3 11" xfId="24107"/>
    <cellStyle name="常规 153 3 11" xfId="24108"/>
    <cellStyle name="好_Book1 3 13" xfId="24109"/>
    <cellStyle name="常规 148 3 12" xfId="24110"/>
    <cellStyle name="常规 153 3 12" xfId="24111"/>
    <cellStyle name="好_Book1 3 14" xfId="24112"/>
    <cellStyle name="常规 148 3 13" xfId="24113"/>
    <cellStyle name="常规 153 3 13" xfId="24114"/>
    <cellStyle name="好_Book1 3 15" xfId="24115"/>
    <cellStyle name="常规 148 3 14" xfId="24116"/>
    <cellStyle name="常规 153 3 14" xfId="24117"/>
    <cellStyle name="好_Book1 3 16" xfId="24118"/>
    <cellStyle name="常规 148 3 15" xfId="24119"/>
    <cellStyle name="常规 153 3 15" xfId="24120"/>
    <cellStyle name="好_Book1 3 17" xfId="24121"/>
    <cellStyle name="常规 148 3 16" xfId="24122"/>
    <cellStyle name="常规 153 3 16" xfId="24123"/>
    <cellStyle name="好_Book1 3 18" xfId="24124"/>
    <cellStyle name="常规 148 3 17" xfId="24125"/>
    <cellStyle name="常规 153 3 17" xfId="24126"/>
    <cellStyle name="常规 148 3 18" xfId="24127"/>
    <cellStyle name="常规 153 3 18" xfId="24128"/>
    <cellStyle name="常规 148 3 2" xfId="24129"/>
    <cellStyle name="常规 153 3 2" xfId="24130"/>
    <cellStyle name="常规 148 3 3" xfId="24131"/>
    <cellStyle name="常规 153 3 3" xfId="24132"/>
    <cellStyle name="常规 148 3 3 2" xfId="24133"/>
    <cellStyle name="常规 153 3 3 2" xfId="24134"/>
    <cellStyle name="常规 148 3 3 2 3" xfId="24135"/>
    <cellStyle name="常规 153 3 3 2 3" xfId="24136"/>
    <cellStyle name="常规 148 3 3 3" xfId="24137"/>
    <cellStyle name="常规 153 3 3 3" xfId="24138"/>
    <cellStyle name="常规 148 3 4" xfId="24139"/>
    <cellStyle name="常规 153 3 4" xfId="24140"/>
    <cellStyle name="常规 148 3 5" xfId="24141"/>
    <cellStyle name="常规 153 3 5" xfId="24142"/>
    <cellStyle name="常规 148 3 6" xfId="24143"/>
    <cellStyle name="常规 153 3 6" xfId="24144"/>
    <cellStyle name="常规 148 3 7" xfId="24145"/>
    <cellStyle name="常规 153 3 7" xfId="24146"/>
    <cellStyle name="常规 148 3 8" xfId="24147"/>
    <cellStyle name="常规 153 3 8" xfId="24148"/>
    <cellStyle name="常规 148 3 9" xfId="24149"/>
    <cellStyle name="常规 153 3 9" xfId="24150"/>
    <cellStyle name="常规 148 4" xfId="24151"/>
    <cellStyle name="常规 153 4" xfId="24152"/>
    <cellStyle name="常规 148 5" xfId="24153"/>
    <cellStyle name="常规 153 5" xfId="24154"/>
    <cellStyle name="输出 2 2 2 10" xfId="24155"/>
    <cellStyle name="常规 148 5 2" xfId="24156"/>
    <cellStyle name="常规 148 5 2 2" xfId="24157"/>
    <cellStyle name="常规 148 5 2 3" xfId="24158"/>
    <cellStyle name="输出 2 2 2 11" xfId="24159"/>
    <cellStyle name="常规 148 5 3" xfId="24160"/>
    <cellStyle name="常规 148 6" xfId="24161"/>
    <cellStyle name="常规 153 6" xfId="24162"/>
    <cellStyle name="常规 148 7" xfId="24163"/>
    <cellStyle name="常规 153 7" xfId="24164"/>
    <cellStyle name="常规 149" xfId="24165"/>
    <cellStyle name="常规 154" xfId="24166"/>
    <cellStyle name="常规 5 9" xfId="24167"/>
    <cellStyle name="输入 2 3 6 6" xfId="24168"/>
    <cellStyle name="常规 149 16" xfId="24169"/>
    <cellStyle name="常规 149 21" xfId="24170"/>
    <cellStyle name="常规 154 16" xfId="24171"/>
    <cellStyle name="常规 154 21" xfId="24172"/>
    <cellStyle name="输入 2 3 6 7" xfId="24173"/>
    <cellStyle name="常规 149 17" xfId="24174"/>
    <cellStyle name="常规 149 22" xfId="24175"/>
    <cellStyle name="常规 154 17" xfId="24176"/>
    <cellStyle name="常规 154 22" xfId="24177"/>
    <cellStyle name="输入 2 3 6 8" xfId="24178"/>
    <cellStyle name="常规 149 18" xfId="24179"/>
    <cellStyle name="常规 149 23" xfId="24180"/>
    <cellStyle name="常规 154 18" xfId="24181"/>
    <cellStyle name="常规 154 23" xfId="24182"/>
    <cellStyle name="输入 2 3 6 9" xfId="24183"/>
    <cellStyle name="常规 149 19" xfId="24184"/>
    <cellStyle name="常规 154 19" xfId="24185"/>
    <cellStyle name="常规 149 2" xfId="24186"/>
    <cellStyle name="常规 154 2" xfId="24187"/>
    <cellStyle name="常规 2 2 14" xfId="24188"/>
    <cellStyle name="汇总 3 8 2 6" xfId="24189"/>
    <cellStyle name="常规 149 2 10" xfId="24190"/>
    <cellStyle name="常规 154 2 10" xfId="24191"/>
    <cellStyle name="常规 2 2 15" xfId="24192"/>
    <cellStyle name="汇总 3 8 2 7" xfId="24193"/>
    <cellStyle name="常规 149 2 11" xfId="24194"/>
    <cellStyle name="常规 154 2 11" xfId="24195"/>
    <cellStyle name="输入 2 2 6 10" xfId="24196"/>
    <cellStyle name="常规 2 2 16" xfId="24197"/>
    <cellStyle name="汇总 3 8 2 8" xfId="24198"/>
    <cellStyle name="常规 149 2 12" xfId="24199"/>
    <cellStyle name="常规 154 2 12" xfId="24200"/>
    <cellStyle name="输入 2 2 6 11" xfId="24201"/>
    <cellStyle name="常规 2 2 17" xfId="24202"/>
    <cellStyle name="汇总 3 8 2 9" xfId="24203"/>
    <cellStyle name="常规 149 2 13" xfId="24204"/>
    <cellStyle name="常规 154 2 13" xfId="24205"/>
    <cellStyle name="输入 2 2 6 12" xfId="24206"/>
    <cellStyle name="常规 2 2 18" xfId="24207"/>
    <cellStyle name="常规 149 2 14" xfId="24208"/>
    <cellStyle name="常规 154 2 14" xfId="24209"/>
    <cellStyle name="输入 2 2 6 13" xfId="24210"/>
    <cellStyle name="常规 2 2 19" xfId="24211"/>
    <cellStyle name="常规 149 2 15" xfId="24212"/>
    <cellStyle name="常规 154 2 15" xfId="24213"/>
    <cellStyle name="输入 2 2 6 14" xfId="24214"/>
    <cellStyle name="常规 149 2 16" xfId="24215"/>
    <cellStyle name="常规 154 2 16" xfId="24216"/>
    <cellStyle name="输入 2 2 6 15" xfId="24217"/>
    <cellStyle name="常规 149 2 17" xfId="24218"/>
    <cellStyle name="常规 154 2 17" xfId="24219"/>
    <cellStyle name="输入 2 2 6 16" xfId="24220"/>
    <cellStyle name="常规 149 2 18" xfId="24221"/>
    <cellStyle name="常规 154 2 18" xfId="24222"/>
    <cellStyle name="输入 2 2 6 17" xfId="24223"/>
    <cellStyle name="常规 149 2 19" xfId="24224"/>
    <cellStyle name="输出 3 3 2 2 12" xfId="24225"/>
    <cellStyle name="常规 149 2 2" xfId="24226"/>
    <cellStyle name="常规 154 2 2" xfId="24227"/>
    <cellStyle name="常规 149 2 2 10" xfId="24228"/>
    <cellStyle name="常规 149 2 2 11" xfId="24229"/>
    <cellStyle name="常规 149 2 2 12" xfId="24230"/>
    <cellStyle name="常规 149 2 2 13" xfId="24231"/>
    <cellStyle name="常规 149 2 2 14" xfId="24232"/>
    <cellStyle name="常规 149 2 2 15" xfId="24233"/>
    <cellStyle name="常规 19 9" xfId="24234"/>
    <cellStyle name="常规 24 9" xfId="24235"/>
    <cellStyle name="常规 149 2 2 3 2" xfId="24236"/>
    <cellStyle name="常规 149 2 2 3 2 2" xfId="24237"/>
    <cellStyle name="常规 149 2 2 3 2 3" xfId="24238"/>
    <cellStyle name="常规 149 2 2 3 3" xfId="24239"/>
    <cellStyle name="常规 149 2 3" xfId="24240"/>
    <cellStyle name="常规 154 2 3" xfId="24241"/>
    <cellStyle name="常规 149 2 4" xfId="24242"/>
    <cellStyle name="常规 154 2 4" xfId="24243"/>
    <cellStyle name="汇总 3 18" xfId="24244"/>
    <cellStyle name="汇总 3 23" xfId="24245"/>
    <cellStyle name="常规 149 2 4 2" xfId="24246"/>
    <cellStyle name="常规 149 2 4 2 2" xfId="24247"/>
    <cellStyle name="常规 149 2 4 2 3" xfId="24248"/>
    <cellStyle name="常规 149 2 5" xfId="24249"/>
    <cellStyle name="常规 154 2 5" xfId="24250"/>
    <cellStyle name="常规 149 2 6" xfId="24251"/>
    <cellStyle name="常规 154 2 6" xfId="24252"/>
    <cellStyle name="常规 149 2 7" xfId="24253"/>
    <cellStyle name="常规 154 2 7" xfId="24254"/>
    <cellStyle name="常规 149 2 8" xfId="24255"/>
    <cellStyle name="常规 154 2 8" xfId="24256"/>
    <cellStyle name="常规 149 2 9" xfId="24257"/>
    <cellStyle name="常规 154 2 9" xfId="24258"/>
    <cellStyle name="常规 149 3" xfId="24259"/>
    <cellStyle name="常规 154 3" xfId="24260"/>
    <cellStyle name="常规 2 3 14" xfId="24261"/>
    <cellStyle name="常规 149 3 10" xfId="24262"/>
    <cellStyle name="常规 154 3 10" xfId="24263"/>
    <cellStyle name="常规 2 3 15" xfId="24264"/>
    <cellStyle name="常规 149 3 11" xfId="24265"/>
    <cellStyle name="常规 154 3 11" xfId="24266"/>
    <cellStyle name="输入 2 2 7 10" xfId="24267"/>
    <cellStyle name="常规 2 3 16" xfId="24268"/>
    <cellStyle name="常规 149 3 12" xfId="24269"/>
    <cellStyle name="常规 154 3 12" xfId="24270"/>
    <cellStyle name="输入 2 2 7 11" xfId="24271"/>
    <cellStyle name="常规 2 3 17" xfId="24272"/>
    <cellStyle name="常规 149 3 13" xfId="24273"/>
    <cellStyle name="常规 154 3 13" xfId="24274"/>
    <cellStyle name="输入 2 2 7 12" xfId="24275"/>
    <cellStyle name="常规 2 3 18" xfId="24276"/>
    <cellStyle name="常规 149 3 14" xfId="24277"/>
    <cellStyle name="常规 154 3 14" xfId="24278"/>
    <cellStyle name="输入 2 2 7 13" xfId="24279"/>
    <cellStyle name="常规 149 3 15" xfId="24280"/>
    <cellStyle name="常规 154 3 15" xfId="24281"/>
    <cellStyle name="输入 2 2 7 14" xfId="24282"/>
    <cellStyle name="常规 149 3 16" xfId="24283"/>
    <cellStyle name="常规 154 3 16" xfId="24284"/>
    <cellStyle name="常规 149 3 17" xfId="24285"/>
    <cellStyle name="常规 154 3 17" xfId="24286"/>
    <cellStyle name="常规 149 3 18" xfId="24287"/>
    <cellStyle name="常规 154 3 18" xfId="24288"/>
    <cellStyle name="常规 149 3 2" xfId="24289"/>
    <cellStyle name="常规 154 3 2" xfId="24290"/>
    <cellStyle name="常规 149 3 3" xfId="24291"/>
    <cellStyle name="常规 154 3 3" xfId="24292"/>
    <cellStyle name="常规 149 3 3 2" xfId="24293"/>
    <cellStyle name="常规 154 3 3 2" xfId="24294"/>
    <cellStyle name="常规 149 3 3 2 2" xfId="24295"/>
    <cellStyle name="常规 154 3 3 2 2" xfId="24296"/>
    <cellStyle name="常规 149 3 3 2 3" xfId="24297"/>
    <cellStyle name="常规 154 3 3 2 3" xfId="24298"/>
    <cellStyle name="常规 149 3 3 3" xfId="24299"/>
    <cellStyle name="常规 154 3 3 3" xfId="24300"/>
    <cellStyle name="常规 149 3 4" xfId="24301"/>
    <cellStyle name="常规 154 3 4" xfId="24302"/>
    <cellStyle name="常规 149 3 5" xfId="24303"/>
    <cellStyle name="常规 154 3 5" xfId="24304"/>
    <cellStyle name="常规 149 3 6" xfId="24305"/>
    <cellStyle name="常规 154 3 6" xfId="24306"/>
    <cellStyle name="常规 149 3 7" xfId="24307"/>
    <cellStyle name="常规 154 3 7" xfId="24308"/>
    <cellStyle name="常规 149 4" xfId="24309"/>
    <cellStyle name="常规 154 4" xfId="24310"/>
    <cellStyle name="常规 149 5" xfId="24311"/>
    <cellStyle name="常规 154 5" xfId="24312"/>
    <cellStyle name="输出 2 2 7 10" xfId="24313"/>
    <cellStyle name="常规 149 5 2" xfId="24314"/>
    <cellStyle name="常规 154 5 2" xfId="24315"/>
    <cellStyle name="注释 2 2 9 4" xfId="24316"/>
    <cellStyle name="常规 149 5 2 2" xfId="24317"/>
    <cellStyle name="常规 154 5 2 2" xfId="24318"/>
    <cellStyle name="输出 2 2 7 11" xfId="24319"/>
    <cellStyle name="常规 149 5 3" xfId="24320"/>
    <cellStyle name="常规 154 5 3" xfId="24321"/>
    <cellStyle name="常规 149 6" xfId="24322"/>
    <cellStyle name="常规 154 6" xfId="24323"/>
    <cellStyle name="常规 149 7" xfId="24324"/>
    <cellStyle name="常规 154 7" xfId="24325"/>
    <cellStyle name="常规 149 8" xfId="24326"/>
    <cellStyle name="常规 154 8" xfId="24327"/>
    <cellStyle name="常规 149 9" xfId="24328"/>
    <cellStyle name="常规 154 9" xfId="24329"/>
    <cellStyle name="汇总 3 7 11" xfId="24330"/>
    <cellStyle name="常规 48 3 12" xfId="24331"/>
    <cellStyle name="常规 53 3 12" xfId="24332"/>
    <cellStyle name="常规 15" xfId="24333"/>
    <cellStyle name="常规 20" xfId="24334"/>
    <cellStyle name="常规 15 10" xfId="24335"/>
    <cellStyle name="常规 20 10" xfId="24336"/>
    <cellStyle name="常规 15 11" xfId="24337"/>
    <cellStyle name="常规 20 11" xfId="24338"/>
    <cellStyle name="常规 66 2 2" xfId="24339"/>
    <cellStyle name="常规 71 2 2" xfId="24340"/>
    <cellStyle name="常规 15 12" xfId="24341"/>
    <cellStyle name="常规 20 12" xfId="24342"/>
    <cellStyle name="常规 66 2 3" xfId="24343"/>
    <cellStyle name="常规 71 2 3" xfId="24344"/>
    <cellStyle name="常规 15 13" xfId="24345"/>
    <cellStyle name="常规 20 13" xfId="24346"/>
    <cellStyle name="常规 66 2 4" xfId="24347"/>
    <cellStyle name="常规 71 2 4" xfId="24348"/>
    <cellStyle name="常规 15 14" xfId="24349"/>
    <cellStyle name="常规 20 14" xfId="24350"/>
    <cellStyle name="常规 66 2 5" xfId="24351"/>
    <cellStyle name="常规 71 2 5" xfId="24352"/>
    <cellStyle name="常规 15 15" xfId="24353"/>
    <cellStyle name="常规 15 20" xfId="24354"/>
    <cellStyle name="常规 20 15" xfId="24355"/>
    <cellStyle name="常规 20 20" xfId="24356"/>
    <cellStyle name="常规 66 2 6" xfId="24357"/>
    <cellStyle name="常规 71 2 6" xfId="24358"/>
    <cellStyle name="常规 15 16" xfId="24359"/>
    <cellStyle name="常规 15 21" xfId="24360"/>
    <cellStyle name="常规 20 16" xfId="24361"/>
    <cellStyle name="常规 20 21" xfId="24362"/>
    <cellStyle name="常规 66 2 7" xfId="24363"/>
    <cellStyle name="常规 71 2 7" xfId="24364"/>
    <cellStyle name="常规 15 17" xfId="24365"/>
    <cellStyle name="常规 15 22" xfId="24366"/>
    <cellStyle name="常规 20 17" xfId="24367"/>
    <cellStyle name="常规 20 22" xfId="24368"/>
    <cellStyle name="常规 66 2 8" xfId="24369"/>
    <cellStyle name="常规 71 2 8" xfId="24370"/>
    <cellStyle name="常规 15 18" xfId="24371"/>
    <cellStyle name="常规 15 23" xfId="24372"/>
    <cellStyle name="常规 20 18" xfId="24373"/>
    <cellStyle name="常规 20 23" xfId="24374"/>
    <cellStyle name="常规 66 2 9" xfId="24375"/>
    <cellStyle name="常规 71 2 9" xfId="24376"/>
    <cellStyle name="常规 15 19" xfId="24377"/>
    <cellStyle name="常规 20 19" xfId="24378"/>
    <cellStyle name="常规 15 2 10" xfId="24379"/>
    <cellStyle name="常规 20 2 10" xfId="24380"/>
    <cellStyle name="常规 15 2 11" xfId="24381"/>
    <cellStyle name="常规 20 2 11" xfId="24382"/>
    <cellStyle name="常规 15 2 12" xfId="24383"/>
    <cellStyle name="常规 20 2 12" xfId="24384"/>
    <cellStyle name="常规 15 2 13" xfId="24385"/>
    <cellStyle name="常规 20 2 13" xfId="24386"/>
    <cellStyle name="常规 15 2 14" xfId="24387"/>
    <cellStyle name="常规 20 2 14" xfId="24388"/>
    <cellStyle name="常规 15 2 15" xfId="24389"/>
    <cellStyle name="常规 20 2 15" xfId="24390"/>
    <cellStyle name="常规 15 2 16" xfId="24391"/>
    <cellStyle name="常规 20 2 16" xfId="24392"/>
    <cellStyle name="常规 15 2 17" xfId="24393"/>
    <cellStyle name="常规 20 2 17" xfId="24394"/>
    <cellStyle name="常规 15 2 18" xfId="24395"/>
    <cellStyle name="常规 20 2 18" xfId="24396"/>
    <cellStyle name="常规 15 2 3 2" xfId="24397"/>
    <cellStyle name="常规 20 2 3 2" xfId="24398"/>
    <cellStyle name="常规 15 2 3 3" xfId="24399"/>
    <cellStyle name="常规 20 2 3 3" xfId="24400"/>
    <cellStyle name="常规 15 3 10" xfId="24401"/>
    <cellStyle name="常规 20 3 10" xfId="24402"/>
    <cellStyle name="常规 15 3 11" xfId="24403"/>
    <cellStyle name="常规 20 3 11" xfId="24404"/>
    <cellStyle name="常规 15 3 12" xfId="24405"/>
    <cellStyle name="常规 20 3 12" xfId="24406"/>
    <cellStyle name="常规 15 3 13" xfId="24407"/>
    <cellStyle name="常规 20 3 13" xfId="24408"/>
    <cellStyle name="常规 27 5 2 2" xfId="24409"/>
    <cellStyle name="常规 32 5 2 2" xfId="24410"/>
    <cellStyle name="常规 15 3 14" xfId="24411"/>
    <cellStyle name="常规 20 3 14" xfId="24412"/>
    <cellStyle name="常规 27 5 2 3" xfId="24413"/>
    <cellStyle name="常规 32 5 2 3" xfId="24414"/>
    <cellStyle name="常规 15 3 15" xfId="24415"/>
    <cellStyle name="常规 20 3 15" xfId="24416"/>
    <cellStyle name="常规 15 3 3 2" xfId="24417"/>
    <cellStyle name="常规 20 3 3 2" xfId="24418"/>
    <cellStyle name="常规 15 3 3 2 3" xfId="24419"/>
    <cellStyle name="常规 20 3 3 2 3" xfId="24420"/>
    <cellStyle name="常规 15 3 3 3" xfId="24421"/>
    <cellStyle name="常规 20 3 3 3" xfId="24422"/>
    <cellStyle name="常规 15 3 6" xfId="24423"/>
    <cellStyle name="常规 20 3 6" xfId="24424"/>
    <cellStyle name="常规 15 3 7" xfId="24425"/>
    <cellStyle name="常规 20 3 7" xfId="24426"/>
    <cellStyle name="常规 15 3 8" xfId="24427"/>
    <cellStyle name="常规 20 3 8" xfId="24428"/>
    <cellStyle name="常规 15 3 9" xfId="24429"/>
    <cellStyle name="常规 20 3 9" xfId="24430"/>
    <cellStyle name="常规 15 5 2" xfId="24431"/>
    <cellStyle name="常规 20 5 2" xfId="24432"/>
    <cellStyle name="汇总 3 7 2 10" xfId="24433"/>
    <cellStyle name="常规 15 5 2 2" xfId="24434"/>
    <cellStyle name="常规 20 5 2 2" xfId="24435"/>
    <cellStyle name="计算 3 3 2 2 2" xfId="24436"/>
    <cellStyle name="汇总 3 7 2 11" xfId="24437"/>
    <cellStyle name="常规 15 5 2 3" xfId="24438"/>
    <cellStyle name="常规 20 5 2 3" xfId="24439"/>
    <cellStyle name="常规 15 5 3" xfId="24440"/>
    <cellStyle name="常规 20 5 3" xfId="24441"/>
    <cellStyle name="常规 153 4 2" xfId="24442"/>
    <cellStyle name="常规 153 4 3" xfId="24443"/>
    <cellStyle name="计算 2 2 4 2 2" xfId="24444"/>
    <cellStyle name="常规 155" xfId="24445"/>
    <cellStyle name="常规 160" xfId="24446"/>
    <cellStyle name="常规 155 10" xfId="24447"/>
    <cellStyle name="常规 160 10" xfId="24448"/>
    <cellStyle name="常规 155 11" xfId="24449"/>
    <cellStyle name="常规 160 11" xfId="24450"/>
    <cellStyle name="常规 155 12" xfId="24451"/>
    <cellStyle name="常规 160 12" xfId="24452"/>
    <cellStyle name="常规 155 13" xfId="24453"/>
    <cellStyle name="常规 160 13" xfId="24454"/>
    <cellStyle name="常规 155 14" xfId="24455"/>
    <cellStyle name="常规 160 14" xfId="24456"/>
    <cellStyle name="常规 155 15" xfId="24457"/>
    <cellStyle name="常规 160 15" xfId="24458"/>
    <cellStyle name="常规 155 16" xfId="24459"/>
    <cellStyle name="常规 160 16" xfId="24460"/>
    <cellStyle name="常规 155 17" xfId="24461"/>
    <cellStyle name="常规 160 17" xfId="24462"/>
    <cellStyle name="常规 155 18" xfId="24463"/>
    <cellStyle name="常规 160 18" xfId="24464"/>
    <cellStyle name="常规 155 2" xfId="24465"/>
    <cellStyle name="常规 160 2" xfId="24466"/>
    <cellStyle name="常规 155 2 2" xfId="24467"/>
    <cellStyle name="常规 160 2 2" xfId="24468"/>
    <cellStyle name="常规 155 2 2 3" xfId="24469"/>
    <cellStyle name="常规 155 2 3" xfId="24470"/>
    <cellStyle name="常规 160 2 3" xfId="24471"/>
    <cellStyle name="常规 155 2 4" xfId="24472"/>
    <cellStyle name="常规 160 2 4" xfId="24473"/>
    <cellStyle name="常规 155 2 5" xfId="24474"/>
    <cellStyle name="常规 160 2 5" xfId="24475"/>
    <cellStyle name="常规 155 2 6" xfId="24476"/>
    <cellStyle name="常规 160 2 6" xfId="24477"/>
    <cellStyle name="常规 155 2 7" xfId="24478"/>
    <cellStyle name="常规 160 2 7" xfId="24479"/>
    <cellStyle name="常规 155 2 8" xfId="24480"/>
    <cellStyle name="常规 160 2 8" xfId="24481"/>
    <cellStyle name="常规 155 2 9" xfId="24482"/>
    <cellStyle name="常规 160 2 9" xfId="24483"/>
    <cellStyle name="常规 155 3" xfId="24484"/>
    <cellStyle name="常规 160 3" xfId="24485"/>
    <cellStyle name="常规 155 3 2" xfId="24486"/>
    <cellStyle name="常规 160 3 2" xfId="24487"/>
    <cellStyle name="常规 155 4" xfId="24488"/>
    <cellStyle name="常规 160 4" xfId="24489"/>
    <cellStyle name="常规 155 5" xfId="24490"/>
    <cellStyle name="常规 160 5" xfId="24491"/>
    <cellStyle name="常规 155 6" xfId="24492"/>
    <cellStyle name="常规 160 6" xfId="24493"/>
    <cellStyle name="常规 155 7" xfId="24494"/>
    <cellStyle name="常规 160 7" xfId="24495"/>
    <cellStyle name="常规 155 8" xfId="24496"/>
    <cellStyle name="常规 160 8" xfId="24497"/>
    <cellStyle name="常规 155 9" xfId="24498"/>
    <cellStyle name="常规 160 9" xfId="24499"/>
    <cellStyle name="常规 156" xfId="24500"/>
    <cellStyle name="常规 161" xfId="24501"/>
    <cellStyle name="常规 156 11" xfId="24502"/>
    <cellStyle name="常规 161 11" xfId="24503"/>
    <cellStyle name="常规 156 12" xfId="24504"/>
    <cellStyle name="常规 161 12" xfId="24505"/>
    <cellStyle name="常规 156 13" xfId="24506"/>
    <cellStyle name="常规 161 13" xfId="24507"/>
    <cellStyle name="常规 156 14" xfId="24508"/>
    <cellStyle name="常规 161 14" xfId="24509"/>
    <cellStyle name="常规 156 17" xfId="24510"/>
    <cellStyle name="常规 161 17" xfId="24511"/>
    <cellStyle name="常规 156 18" xfId="24512"/>
    <cellStyle name="常规 161 18" xfId="24513"/>
    <cellStyle name="常规 4 2 14" xfId="24514"/>
    <cellStyle name="常规 156 2 10" xfId="24515"/>
    <cellStyle name="常规 161 2 10" xfId="24516"/>
    <cellStyle name="常规 4 2 15" xfId="24517"/>
    <cellStyle name="常规 156 2 11" xfId="24518"/>
    <cellStyle name="常规 161 2 11" xfId="24519"/>
    <cellStyle name="常规 4 2 16" xfId="24520"/>
    <cellStyle name="常规 156 2 12" xfId="24521"/>
    <cellStyle name="常规 161 2 12" xfId="24522"/>
    <cellStyle name="常规 4 2 17" xfId="24523"/>
    <cellStyle name="常规 156 2 13" xfId="24524"/>
    <cellStyle name="常规 161 2 13" xfId="24525"/>
    <cellStyle name="常规 4 2 18" xfId="24526"/>
    <cellStyle name="常规 156 2 14" xfId="24527"/>
    <cellStyle name="常规 161 2 14" xfId="24528"/>
    <cellStyle name="汇总 3 6 3" xfId="24529"/>
    <cellStyle name="常规 156 2 17" xfId="24530"/>
    <cellStyle name="常规 161 2 17" xfId="24531"/>
    <cellStyle name="常规 156 2 2 2" xfId="24532"/>
    <cellStyle name="常规 161 2 2 2" xfId="24533"/>
    <cellStyle name="常规 156 2 5" xfId="24534"/>
    <cellStyle name="常规 161 2 5" xfId="24535"/>
    <cellStyle name="常规 156 2 6" xfId="24536"/>
    <cellStyle name="常规 161 2 6" xfId="24537"/>
    <cellStyle name="常规 156 2 7" xfId="24538"/>
    <cellStyle name="常规 161 2 7" xfId="24539"/>
    <cellStyle name="常规 156 2 8" xfId="24540"/>
    <cellStyle name="常规 161 2 8" xfId="24541"/>
    <cellStyle name="常规 156 2 9" xfId="24542"/>
    <cellStyle name="常规 161 2 9" xfId="24543"/>
    <cellStyle name="常规 156 8" xfId="24544"/>
    <cellStyle name="常规 161 8" xfId="24545"/>
    <cellStyle name="输入 2 10 2" xfId="24546"/>
    <cellStyle name="常规 156 9" xfId="24547"/>
    <cellStyle name="常规 161 9" xfId="24548"/>
    <cellStyle name="常规 157" xfId="24549"/>
    <cellStyle name="常规 162" xfId="24550"/>
    <cellStyle name="常规 157 10" xfId="24551"/>
    <cellStyle name="常规 162 10" xfId="24552"/>
    <cellStyle name="常规 157 11" xfId="24553"/>
    <cellStyle name="常规 162 11" xfId="24554"/>
    <cellStyle name="常规 157 12" xfId="24555"/>
    <cellStyle name="常规 162 12" xfId="24556"/>
    <cellStyle name="常规 157 13" xfId="24557"/>
    <cellStyle name="常规 162 13" xfId="24558"/>
    <cellStyle name="常规 157 14" xfId="24559"/>
    <cellStyle name="常规 162 14" xfId="24560"/>
    <cellStyle name="常规 157 15" xfId="24561"/>
    <cellStyle name="常规 162 15" xfId="24562"/>
    <cellStyle name="常规 162 20" xfId="24563"/>
    <cellStyle name="常规 157 16" xfId="24564"/>
    <cellStyle name="常规 162 16" xfId="24565"/>
    <cellStyle name="常规 162 21" xfId="24566"/>
    <cellStyle name="常规 157 17" xfId="24567"/>
    <cellStyle name="常规 162 17" xfId="24568"/>
    <cellStyle name="常规 162 22" xfId="24569"/>
    <cellStyle name="常规 157 18" xfId="24570"/>
    <cellStyle name="常规 162 18" xfId="24571"/>
    <cellStyle name="常规 157 2 16" xfId="24572"/>
    <cellStyle name="常规 162 2 16" xfId="24573"/>
    <cellStyle name="常规 157 2 17" xfId="24574"/>
    <cellStyle name="常规 162 2 17" xfId="24575"/>
    <cellStyle name="常规 157 2 2" xfId="24576"/>
    <cellStyle name="常规 162 2 2" xfId="24577"/>
    <cellStyle name="常规 157 2 2 2" xfId="24578"/>
    <cellStyle name="常规 157 2 3" xfId="24579"/>
    <cellStyle name="常规 162 2 3" xfId="24580"/>
    <cellStyle name="常规 157 2 4" xfId="24581"/>
    <cellStyle name="常规 162 2 4" xfId="24582"/>
    <cellStyle name="常规 157 2 7" xfId="24583"/>
    <cellStyle name="常规 162 2 7" xfId="24584"/>
    <cellStyle name="常规 157 2 8" xfId="24585"/>
    <cellStyle name="常规 162 2 8" xfId="24586"/>
    <cellStyle name="常规 157 2 9" xfId="24587"/>
    <cellStyle name="常规 162 2 9" xfId="24588"/>
    <cellStyle name="常规 157 3 2" xfId="24589"/>
    <cellStyle name="常规 157 8" xfId="24590"/>
    <cellStyle name="常规 162 8" xfId="24591"/>
    <cellStyle name="常规 157 9" xfId="24592"/>
    <cellStyle name="常规 162 9" xfId="24593"/>
    <cellStyle name="常规 158" xfId="24594"/>
    <cellStyle name="常规 163" xfId="24595"/>
    <cellStyle name="常规 158 17" xfId="24596"/>
    <cellStyle name="常规 163 17" xfId="24597"/>
    <cellStyle name="常规 158 18" xfId="24598"/>
    <cellStyle name="常规 163 18" xfId="24599"/>
    <cellStyle name="常规 158 2" xfId="24600"/>
    <cellStyle name="常规 163 2" xfId="24601"/>
    <cellStyle name="常规 6 2 15" xfId="24602"/>
    <cellStyle name="常规 158 2 11" xfId="24603"/>
    <cellStyle name="常规 6 2 16" xfId="24604"/>
    <cellStyle name="汇总 2 10 2" xfId="24605"/>
    <cellStyle name="常规 158 2 12" xfId="24606"/>
    <cellStyle name="常规 6 2 17" xfId="24607"/>
    <cellStyle name="汇总 2 10 3" xfId="24608"/>
    <cellStyle name="常规 158 2 13" xfId="24609"/>
    <cellStyle name="常规 6 2 18" xfId="24610"/>
    <cellStyle name="汇总 2 10 4" xfId="24611"/>
    <cellStyle name="常规 158 2 14" xfId="24612"/>
    <cellStyle name="商品名称 9 10" xfId="24613"/>
    <cellStyle name="常规 6 2 19" xfId="24614"/>
    <cellStyle name="汇总 2 10 5" xfId="24615"/>
    <cellStyle name="常规 158 2 15" xfId="24616"/>
    <cellStyle name="商品名称 9 11" xfId="24617"/>
    <cellStyle name="汇总 2 10 6" xfId="24618"/>
    <cellStyle name="常规 158 2 16" xfId="24619"/>
    <cellStyle name="商品名称 9 12" xfId="24620"/>
    <cellStyle name="汇总 2 10 7" xfId="24621"/>
    <cellStyle name="常规 158 2 17" xfId="24622"/>
    <cellStyle name="常规 158 2 2" xfId="24623"/>
    <cellStyle name="常规 158 2 2 2" xfId="24624"/>
    <cellStyle name="常规 158 2 2 3" xfId="24625"/>
    <cellStyle name="商品名称 9 2" xfId="24626"/>
    <cellStyle name="常规 158 2 3" xfId="24627"/>
    <cellStyle name="商品名称 9 3" xfId="24628"/>
    <cellStyle name="常规 158 2 4" xfId="24629"/>
    <cellStyle name="商品名称 9 6" xfId="24630"/>
    <cellStyle name="常规 158 2 7" xfId="24631"/>
    <cellStyle name="商品名称 9 7" xfId="24632"/>
    <cellStyle name="常规 158 2 8" xfId="24633"/>
    <cellStyle name="常规 158 3" xfId="24634"/>
    <cellStyle name="常规 163 3" xfId="24635"/>
    <cellStyle name="常规 158 4" xfId="24636"/>
    <cellStyle name="常规 163 4" xfId="24637"/>
    <cellStyle name="常规 158 5" xfId="24638"/>
    <cellStyle name="常规 163 5" xfId="24639"/>
    <cellStyle name="常规 158 6" xfId="24640"/>
    <cellStyle name="常规 163 6" xfId="24641"/>
    <cellStyle name="注释 2 2 3 2 4" xfId="24642"/>
    <cellStyle name="常规 158 9" xfId="24643"/>
    <cellStyle name="常规 163 9" xfId="24644"/>
    <cellStyle name="常规 159" xfId="24645"/>
    <cellStyle name="常规 164" xfId="24646"/>
    <cellStyle name="常规 159 10" xfId="24647"/>
    <cellStyle name="常规 164 10" xfId="24648"/>
    <cellStyle name="常规 159 11" xfId="24649"/>
    <cellStyle name="常规 164 11" xfId="24650"/>
    <cellStyle name="常规 159 12" xfId="24651"/>
    <cellStyle name="常规 164 12" xfId="24652"/>
    <cellStyle name="常规 159 13" xfId="24653"/>
    <cellStyle name="常规 164 13" xfId="24654"/>
    <cellStyle name="常规 159 14" xfId="24655"/>
    <cellStyle name="常规 164 14" xfId="24656"/>
    <cellStyle name="强调文字颜色 5 4 3 2 2" xfId="24657"/>
    <cellStyle name="常规 86 2 2 3 2 2" xfId="24658"/>
    <cellStyle name="常规 91 2 2 3 2 2" xfId="24659"/>
    <cellStyle name="常规 159 15" xfId="24660"/>
    <cellStyle name="常规 159 20" xfId="24661"/>
    <cellStyle name="常规 164 15" xfId="24662"/>
    <cellStyle name="强调文字颜色 5 4 3 2 3" xfId="24663"/>
    <cellStyle name="常规 86 2 2 3 2 3" xfId="24664"/>
    <cellStyle name="常规 91 2 2 3 2 3" xfId="24665"/>
    <cellStyle name="常规 159 16" xfId="24666"/>
    <cellStyle name="常规 159 21" xfId="24667"/>
    <cellStyle name="常规 164 16" xfId="24668"/>
    <cellStyle name="常规 159 17" xfId="24669"/>
    <cellStyle name="常规 159 22" xfId="24670"/>
    <cellStyle name="常规 164 17" xfId="24671"/>
    <cellStyle name="常规 159 18" xfId="24672"/>
    <cellStyle name="常规 164 18" xfId="24673"/>
    <cellStyle name="常规 159 19" xfId="24674"/>
    <cellStyle name="常规 159 2" xfId="24675"/>
    <cellStyle name="常规 164 2" xfId="24676"/>
    <cellStyle name="常规 7 2 14" xfId="24677"/>
    <cellStyle name="常规 159 2 10" xfId="24678"/>
    <cellStyle name="常规 164 2 10" xfId="24679"/>
    <cellStyle name="好_Book1 5 2" xfId="24680"/>
    <cellStyle name="常规 7 2 15" xfId="24681"/>
    <cellStyle name="常规 159 2 11" xfId="24682"/>
    <cellStyle name="常规 164 2 11" xfId="24683"/>
    <cellStyle name="常规 7 2 16" xfId="24684"/>
    <cellStyle name="汇总 3 10 2" xfId="24685"/>
    <cellStyle name="好_Book1 5 3" xfId="24686"/>
    <cellStyle name="常规 159 2 12" xfId="24687"/>
    <cellStyle name="常规 164 2 12" xfId="24688"/>
    <cellStyle name="常规 7 2 17" xfId="24689"/>
    <cellStyle name="汇总 3 10 3" xfId="24690"/>
    <cellStyle name="常规 159 2 13" xfId="24691"/>
    <cellStyle name="常规 164 2 13" xfId="24692"/>
    <cellStyle name="常规 7 2 18" xfId="24693"/>
    <cellStyle name="汇总 3 10 4" xfId="24694"/>
    <cellStyle name="常规 159 2 14" xfId="24695"/>
    <cellStyle name="常规 164 2 14" xfId="24696"/>
    <cellStyle name="汇总 3 10 5" xfId="24697"/>
    <cellStyle name="常规 159 2 15" xfId="24698"/>
    <cellStyle name="常规 164 2 15" xfId="24699"/>
    <cellStyle name="汇总 3 10 6" xfId="24700"/>
    <cellStyle name="计算 2 2 6 2" xfId="24701"/>
    <cellStyle name="常规 159 2 16" xfId="24702"/>
    <cellStyle name="常规 164 2 16" xfId="24703"/>
    <cellStyle name="汇总 3 10 7" xfId="24704"/>
    <cellStyle name="计算 2 2 6 3" xfId="24705"/>
    <cellStyle name="常规 159 2 17" xfId="24706"/>
    <cellStyle name="常规 164 2 17" xfId="24707"/>
    <cellStyle name="输出 3 3 3 2 12" xfId="24708"/>
    <cellStyle name="常规 159 2 2" xfId="24709"/>
    <cellStyle name="常规 164 2 2" xfId="24710"/>
    <cellStyle name="常规 159 2 3" xfId="24711"/>
    <cellStyle name="常规 164 2 3" xfId="24712"/>
    <cellStyle name="常规 98 3 4" xfId="24713"/>
    <cellStyle name="常规 159 2 3 2 2" xfId="24714"/>
    <cellStyle name="常规 98 3 5" xfId="24715"/>
    <cellStyle name="常规 159 2 3 2 3" xfId="24716"/>
    <cellStyle name="常规 159 2 4" xfId="24717"/>
    <cellStyle name="常规 164 2 4" xfId="24718"/>
    <cellStyle name="常规 159 2 7" xfId="24719"/>
    <cellStyle name="常规 164 2 7" xfId="24720"/>
    <cellStyle name="常规 159 2 8" xfId="24721"/>
    <cellStyle name="常规 164 2 8" xfId="24722"/>
    <cellStyle name="常规 159 3" xfId="24723"/>
    <cellStyle name="常规 164 3" xfId="24724"/>
    <cellStyle name="常规 159 4" xfId="24725"/>
    <cellStyle name="常规 164 4" xfId="24726"/>
    <cellStyle name="常规 159 4 2 2" xfId="24727"/>
    <cellStyle name="常规 159 4 2 3" xfId="24728"/>
    <cellStyle name="常规 159 5" xfId="24729"/>
    <cellStyle name="常规 164 5" xfId="24730"/>
    <cellStyle name="常规 159 6" xfId="24731"/>
    <cellStyle name="常规 164 6" xfId="24732"/>
    <cellStyle name="常规 159 7" xfId="24733"/>
    <cellStyle name="常规 164 7" xfId="24734"/>
    <cellStyle name="常规 159 8" xfId="24735"/>
    <cellStyle name="常规 164 8" xfId="24736"/>
    <cellStyle name="常规 16 10" xfId="24737"/>
    <cellStyle name="常规 21 10" xfId="24738"/>
    <cellStyle name="常规 16 11" xfId="24739"/>
    <cellStyle name="常规 21 11" xfId="24740"/>
    <cellStyle name="常规 16 12" xfId="24741"/>
    <cellStyle name="常规 21 12" xfId="24742"/>
    <cellStyle name="常规 98 3 3 2 2" xfId="24743"/>
    <cellStyle name="常规 16 13" xfId="24744"/>
    <cellStyle name="常规 21 13" xfId="24745"/>
    <cellStyle name="常规 98 3 3 2 3" xfId="24746"/>
    <cellStyle name="常规 16 14" xfId="24747"/>
    <cellStyle name="常规 21 14" xfId="24748"/>
    <cellStyle name="常规 16 15" xfId="24749"/>
    <cellStyle name="常规 16 20" xfId="24750"/>
    <cellStyle name="常规 21 15" xfId="24751"/>
    <cellStyle name="常规 21 20" xfId="24752"/>
    <cellStyle name="常规 16 16" xfId="24753"/>
    <cellStyle name="常规 16 21" xfId="24754"/>
    <cellStyle name="常规 21 16" xfId="24755"/>
    <cellStyle name="常规 21 21" xfId="24756"/>
    <cellStyle name="常规 16 17" xfId="24757"/>
    <cellStyle name="常规 16 22" xfId="24758"/>
    <cellStyle name="常规 21 17" xfId="24759"/>
    <cellStyle name="常规 21 22" xfId="24760"/>
    <cellStyle name="常规 16 18" xfId="24761"/>
    <cellStyle name="常规 16 23" xfId="24762"/>
    <cellStyle name="常规 21 18" xfId="24763"/>
    <cellStyle name="常规 21 23" xfId="24764"/>
    <cellStyle name="常规 16 19" xfId="24765"/>
    <cellStyle name="常规 21 19" xfId="24766"/>
    <cellStyle name="常规 16 2 10" xfId="24767"/>
    <cellStyle name="常规 21 2 10" xfId="24768"/>
    <cellStyle name="常规 16 2 11" xfId="24769"/>
    <cellStyle name="常规 21 2 11" xfId="24770"/>
    <cellStyle name="常规 16 2 12" xfId="24771"/>
    <cellStyle name="常规 21 2 12" xfId="24772"/>
    <cellStyle name="常规 16 2 13" xfId="24773"/>
    <cellStyle name="常规 21 2 13" xfId="24774"/>
    <cellStyle name="常规 16 2 14" xfId="24775"/>
    <cellStyle name="常规 21 2 14" xfId="24776"/>
    <cellStyle name="检查单元格 2 2 2" xfId="24777"/>
    <cellStyle name="常规 16 2 15" xfId="24778"/>
    <cellStyle name="常规 21 2 15" xfId="24779"/>
    <cellStyle name="检查单元格 2 2 3" xfId="24780"/>
    <cellStyle name="常规 16 2 16" xfId="24781"/>
    <cellStyle name="常规 21 2 16" xfId="24782"/>
    <cellStyle name="检查单元格 2 2 4" xfId="24783"/>
    <cellStyle name="常规 16 2 17" xfId="24784"/>
    <cellStyle name="常规 21 2 17" xfId="24785"/>
    <cellStyle name="检查单元格 2 2 5" xfId="24786"/>
    <cellStyle name="常规 16 2 18" xfId="24787"/>
    <cellStyle name="常规 21 2 18" xfId="24788"/>
    <cellStyle name="常规 16 2 3 2" xfId="24789"/>
    <cellStyle name="常规 21 2 3 2" xfId="24790"/>
    <cellStyle name="常规 16 2 3 2 2" xfId="24791"/>
    <cellStyle name="常规 21 2 3 2 2" xfId="24792"/>
    <cellStyle name="常规 16 2 3 2 3" xfId="24793"/>
    <cellStyle name="常规 21 2 3 2 3" xfId="24794"/>
    <cellStyle name="常规 16 2 3 3" xfId="24795"/>
    <cellStyle name="常规 21 2 3 3" xfId="24796"/>
    <cellStyle name="常规 16 3 10" xfId="24797"/>
    <cellStyle name="常规 21 3 10" xfId="24798"/>
    <cellStyle name="常规 16 3 11" xfId="24799"/>
    <cellStyle name="常规 21 3 11" xfId="24800"/>
    <cellStyle name="常规 166 2 3 2" xfId="24801"/>
    <cellStyle name="常规 57 2 2 3" xfId="24802"/>
    <cellStyle name="常规 62 2 2 3" xfId="24803"/>
    <cellStyle name="常规 16 3 14" xfId="24804"/>
    <cellStyle name="常规 21 3 14" xfId="24805"/>
    <cellStyle name="常规 57 2 2 4" xfId="24806"/>
    <cellStyle name="常规 62 2 2 4" xfId="24807"/>
    <cellStyle name="常规 16 3 15" xfId="24808"/>
    <cellStyle name="常规 21 3 15" xfId="24809"/>
    <cellStyle name="常规 16 3 2" xfId="24810"/>
    <cellStyle name="常规 21 3 2" xfId="24811"/>
    <cellStyle name="常规 16 3 3" xfId="24812"/>
    <cellStyle name="常规 21 3 3" xfId="24813"/>
    <cellStyle name="常规 16 3 3 2" xfId="24814"/>
    <cellStyle name="常规 21 3 3 2" xfId="24815"/>
    <cellStyle name="常规 16 3 3 2 2" xfId="24816"/>
    <cellStyle name="常规 21 3 3 2 2" xfId="24817"/>
    <cellStyle name="常规 16 3 3 2 3" xfId="24818"/>
    <cellStyle name="常规 21 3 3 2 3" xfId="24819"/>
    <cellStyle name="常规 16 3 3 3" xfId="24820"/>
    <cellStyle name="常规 21 3 3 3" xfId="24821"/>
    <cellStyle name="常规 16 3 4" xfId="24822"/>
    <cellStyle name="常规 21 3 4" xfId="24823"/>
    <cellStyle name="常规 16 3 5" xfId="24824"/>
    <cellStyle name="常规 21 3 5" xfId="24825"/>
    <cellStyle name="常规 16 3 6" xfId="24826"/>
    <cellStyle name="常规 21 3 6" xfId="24827"/>
    <cellStyle name="常规 16 5 2" xfId="24828"/>
    <cellStyle name="常规 21 5 2" xfId="24829"/>
    <cellStyle name="常规 16 5 2 2" xfId="24830"/>
    <cellStyle name="常规 21 5 2 2" xfId="24831"/>
    <cellStyle name="常规 16 5 3" xfId="24832"/>
    <cellStyle name="常规 21 5 3" xfId="24833"/>
    <cellStyle name="常规 16 6" xfId="24834"/>
    <cellStyle name="常规 21 6" xfId="24835"/>
    <cellStyle name="常规 16 7" xfId="24836"/>
    <cellStyle name="常规 21 7" xfId="24837"/>
    <cellStyle name="常规 16 8" xfId="24838"/>
    <cellStyle name="常规 21 8" xfId="24839"/>
    <cellStyle name="常规 16 9" xfId="24840"/>
    <cellStyle name="常规 21 9" xfId="24841"/>
    <cellStyle name="常规 162 19" xfId="24842"/>
    <cellStyle name="常规 162 2 3 2" xfId="24843"/>
    <cellStyle name="常规 162 2 3 2 2" xfId="24844"/>
    <cellStyle name="常规 162 2 3 3" xfId="24845"/>
    <cellStyle name="常规 162 4 2 2" xfId="24846"/>
    <cellStyle name="常规 162 4 2 3" xfId="24847"/>
    <cellStyle name="常规 163 19" xfId="24848"/>
    <cellStyle name="常规 163 3 2 2" xfId="24849"/>
    <cellStyle name="常规 163 3 2 3" xfId="24850"/>
    <cellStyle name="常规 164 2 2 2" xfId="24851"/>
    <cellStyle name="常规 164 3 2" xfId="24852"/>
    <cellStyle name="常规 165" xfId="24853"/>
    <cellStyle name="常规 170" xfId="24854"/>
    <cellStyle name="常规 165 10" xfId="24855"/>
    <cellStyle name="常规 170 10" xfId="24856"/>
    <cellStyle name="常规 165 11" xfId="24857"/>
    <cellStyle name="常规 170 11" xfId="24858"/>
    <cellStyle name="常规 165 12" xfId="24859"/>
    <cellStyle name="常规 170 12" xfId="24860"/>
    <cellStyle name="常规 165 13" xfId="24861"/>
    <cellStyle name="常规 170 13" xfId="24862"/>
    <cellStyle name="常规 165 14" xfId="24863"/>
    <cellStyle name="常规 170 14" xfId="24864"/>
    <cellStyle name="常规 165 16" xfId="24865"/>
    <cellStyle name="常规 170 16" xfId="24866"/>
    <cellStyle name="常规 170 21" xfId="24867"/>
    <cellStyle name="常规 165 17" xfId="24868"/>
    <cellStyle name="常规 170 17" xfId="24869"/>
    <cellStyle name="常规 165 18" xfId="24870"/>
    <cellStyle name="常规 170 18" xfId="24871"/>
    <cellStyle name="常规 165 2" xfId="24872"/>
    <cellStyle name="常规 170 2" xfId="24873"/>
    <cellStyle name="常规 165 2 2" xfId="24874"/>
    <cellStyle name="常规 165 2 2 2" xfId="24875"/>
    <cellStyle name="常规 165 2 3" xfId="24876"/>
    <cellStyle name="常规 165 2 4" xfId="24877"/>
    <cellStyle name="常规 165 2 7" xfId="24878"/>
    <cellStyle name="常规 165 2 8" xfId="24879"/>
    <cellStyle name="常规 165 3" xfId="24880"/>
    <cellStyle name="常规 170 3" xfId="24881"/>
    <cellStyle name="常规 165 3 2" xfId="24882"/>
    <cellStyle name="常规 170 3 2" xfId="24883"/>
    <cellStyle name="常规 165 4" xfId="24884"/>
    <cellStyle name="常规 170 4" xfId="24885"/>
    <cellStyle name="常规 165 5" xfId="24886"/>
    <cellStyle name="常规 170 5" xfId="24887"/>
    <cellStyle name="常规 165 6" xfId="24888"/>
    <cellStyle name="常规 170 6" xfId="24889"/>
    <cellStyle name="常规 165 7" xfId="24890"/>
    <cellStyle name="常规 170 7" xfId="24891"/>
    <cellStyle name="常规 166" xfId="24892"/>
    <cellStyle name="常规 171" xfId="24893"/>
    <cellStyle name="常规 166 11" xfId="24894"/>
    <cellStyle name="常规 171 11" xfId="24895"/>
    <cellStyle name="常规 166 12" xfId="24896"/>
    <cellStyle name="常规 171 12" xfId="24897"/>
    <cellStyle name="常规 166 13" xfId="24898"/>
    <cellStyle name="常规 171 13" xfId="24899"/>
    <cellStyle name="常规 166 14" xfId="24900"/>
    <cellStyle name="常规 171 14" xfId="24901"/>
    <cellStyle name="常规 166 2" xfId="24902"/>
    <cellStyle name="常规 171 2" xfId="24903"/>
    <cellStyle name="常规 9 2 15" xfId="24904"/>
    <cellStyle name="常规 166 2 11" xfId="24905"/>
    <cellStyle name="常规 9 2 16" xfId="24906"/>
    <cellStyle name="常规 166 2 12" xfId="24907"/>
    <cellStyle name="常规 9 2 17" xfId="24908"/>
    <cellStyle name="常规 166 2 13" xfId="24909"/>
    <cellStyle name="常规 9 2 18" xfId="24910"/>
    <cellStyle name="常规 166 2 14" xfId="24911"/>
    <cellStyle name="常规 166 2 2" xfId="24912"/>
    <cellStyle name="常规 166 2 3" xfId="24913"/>
    <cellStyle name="常规 166 2 3 2 2" xfId="24914"/>
    <cellStyle name="常规 166 2 3 2 3" xfId="24915"/>
    <cellStyle name="常规 166 2 4" xfId="24916"/>
    <cellStyle name="常规 166 2 5" xfId="24917"/>
    <cellStyle name="常规 166 2 6" xfId="24918"/>
    <cellStyle name="常规 166 2 7" xfId="24919"/>
    <cellStyle name="常规 166 2 8" xfId="24920"/>
    <cellStyle name="常规 166 3" xfId="24921"/>
    <cellStyle name="常规 171 3" xfId="24922"/>
    <cellStyle name="常规 166 4" xfId="24923"/>
    <cellStyle name="常规 171 4" xfId="24924"/>
    <cellStyle name="常规 166 4 2 2" xfId="24925"/>
    <cellStyle name="汇总 3 3 4 9" xfId="24926"/>
    <cellStyle name="常规 166 5" xfId="24927"/>
    <cellStyle name="常规 171 5" xfId="24928"/>
    <cellStyle name="常规 166 6" xfId="24929"/>
    <cellStyle name="常规 171 6" xfId="24930"/>
    <cellStyle name="常规 166 7" xfId="24931"/>
    <cellStyle name="常规 171 7" xfId="24932"/>
    <cellStyle name="常规 166 8" xfId="24933"/>
    <cellStyle name="常规 171 8" xfId="24934"/>
    <cellStyle name="常规 166 9" xfId="24935"/>
    <cellStyle name="常规 171 9" xfId="24936"/>
    <cellStyle name="常规 167" xfId="24937"/>
    <cellStyle name="常规 172" xfId="24938"/>
    <cellStyle name="常规 167 10" xfId="24939"/>
    <cellStyle name="常规 172 10" xfId="24940"/>
    <cellStyle name="常规 167 11" xfId="24941"/>
    <cellStyle name="常规 172 11" xfId="24942"/>
    <cellStyle name="常规 167 2" xfId="24943"/>
    <cellStyle name="常规 172 2" xfId="24944"/>
    <cellStyle name="常规 167 3" xfId="24945"/>
    <cellStyle name="常规 172 3" xfId="24946"/>
    <cellStyle name="常规 167 3 2" xfId="24947"/>
    <cellStyle name="常规 172 3 2" xfId="24948"/>
    <cellStyle name="常规 167 3 2 2" xfId="24949"/>
    <cellStyle name="常规 172 3 2 2" xfId="24950"/>
    <cellStyle name="常规 167 3 3" xfId="24951"/>
    <cellStyle name="常规 172 3 3" xfId="24952"/>
    <cellStyle name="常规 167 4" xfId="24953"/>
    <cellStyle name="常规 172 4" xfId="24954"/>
    <cellStyle name="常规 168" xfId="24955"/>
    <cellStyle name="常规 173" xfId="24956"/>
    <cellStyle name="常规 168 17" xfId="24957"/>
    <cellStyle name="常规 173 17" xfId="24958"/>
    <cellStyle name="常规 168 18" xfId="24959"/>
    <cellStyle name="常规 173 18" xfId="24960"/>
    <cellStyle name="常规 58 2 4 2" xfId="24961"/>
    <cellStyle name="常规 63 2 4 2" xfId="24962"/>
    <cellStyle name="常规 168 19" xfId="24963"/>
    <cellStyle name="常规 168 2" xfId="24964"/>
    <cellStyle name="常规 173 2" xfId="24965"/>
    <cellStyle name="常规 168 3" xfId="24966"/>
    <cellStyle name="常规 173 3" xfId="24967"/>
    <cellStyle name="常规 168 3 2" xfId="24968"/>
    <cellStyle name="常规 173 3 2" xfId="24969"/>
    <cellStyle name="常规 168 3 2 2" xfId="24970"/>
    <cellStyle name="常规 173 3 2 2" xfId="24971"/>
    <cellStyle name="常规 168 3 2 3" xfId="24972"/>
    <cellStyle name="常规 173 3 2 3" xfId="24973"/>
    <cellStyle name="常规 168 4" xfId="24974"/>
    <cellStyle name="常规 173 4" xfId="24975"/>
    <cellStyle name="常规 168 5" xfId="24976"/>
    <cellStyle name="常规 173 5" xfId="24977"/>
    <cellStyle name="常规 168 6" xfId="24978"/>
    <cellStyle name="常规 173 6" xfId="24979"/>
    <cellStyle name="常规 168 7" xfId="24980"/>
    <cellStyle name="常规 173 7" xfId="24981"/>
    <cellStyle name="常规 169" xfId="24982"/>
    <cellStyle name="常规 174" xfId="24983"/>
    <cellStyle name="常规 169 10" xfId="24984"/>
    <cellStyle name="常规 174 10" xfId="24985"/>
    <cellStyle name="常规 169 11" xfId="24986"/>
    <cellStyle name="常规 174 11" xfId="24987"/>
    <cellStyle name="常规 169 12" xfId="24988"/>
    <cellStyle name="常规 174 12" xfId="24989"/>
    <cellStyle name="常规 169 13" xfId="24990"/>
    <cellStyle name="常规 174 13" xfId="24991"/>
    <cellStyle name="常规 169 14" xfId="24992"/>
    <cellStyle name="常规 174 14" xfId="24993"/>
    <cellStyle name="常规 169 15" xfId="24994"/>
    <cellStyle name="常规 169 20" xfId="24995"/>
    <cellStyle name="常规 174 15" xfId="24996"/>
    <cellStyle name="常规 169 16" xfId="24997"/>
    <cellStyle name="常规 169 21" xfId="24998"/>
    <cellStyle name="常规 174 16" xfId="24999"/>
    <cellStyle name="常规 169 17" xfId="25000"/>
    <cellStyle name="常规 174 17" xfId="25001"/>
    <cellStyle name="常规 169 18" xfId="25002"/>
    <cellStyle name="常规 174 18" xfId="25003"/>
    <cellStyle name="常规 169 19" xfId="25004"/>
    <cellStyle name="常规 169 2" xfId="25005"/>
    <cellStyle name="常规 174 2" xfId="25006"/>
    <cellStyle name="常规 169 3" xfId="25007"/>
    <cellStyle name="常规 174 3" xfId="25008"/>
    <cellStyle name="常规 169 3 2 2" xfId="25009"/>
    <cellStyle name="常规 174 3 2 2" xfId="25010"/>
    <cellStyle name="常规 169 3 2 3" xfId="25011"/>
    <cellStyle name="常规 174 3 2 3" xfId="25012"/>
    <cellStyle name="常规 169 4" xfId="25013"/>
    <cellStyle name="常规 174 4" xfId="25014"/>
    <cellStyle name="常规 169 5" xfId="25015"/>
    <cellStyle name="常规 174 5" xfId="25016"/>
    <cellStyle name="常规 169 6" xfId="25017"/>
    <cellStyle name="常规 174 6" xfId="25018"/>
    <cellStyle name="常规 169 7" xfId="25019"/>
    <cellStyle name="常规 174 7" xfId="25020"/>
    <cellStyle name="常规 169 8" xfId="25021"/>
    <cellStyle name="常规 174 8" xfId="25022"/>
    <cellStyle name="常规 17 2 10" xfId="25023"/>
    <cellStyle name="常规 22 2 10" xfId="25024"/>
    <cellStyle name="常规 17 2 11" xfId="25025"/>
    <cellStyle name="常规 22 2 11" xfId="25026"/>
    <cellStyle name="常规 17 2 12" xfId="25027"/>
    <cellStyle name="常规 22 2 12" xfId="25028"/>
    <cellStyle name="常规 17 2 13" xfId="25029"/>
    <cellStyle name="常规 22 2 13" xfId="25030"/>
    <cellStyle name="常规 17 2 14" xfId="25031"/>
    <cellStyle name="常规 22 2 14" xfId="25032"/>
    <cellStyle name="常规 17 2 15" xfId="25033"/>
    <cellStyle name="常规 22 2 15" xfId="25034"/>
    <cellStyle name="常规 17 2 16" xfId="25035"/>
    <cellStyle name="常规 22 2 16" xfId="25036"/>
    <cellStyle name="常规 17 2 17" xfId="25037"/>
    <cellStyle name="常规 22 2 17" xfId="25038"/>
    <cellStyle name="常规 17 2 18" xfId="25039"/>
    <cellStyle name="常规 22 2 18" xfId="25040"/>
    <cellStyle name="计算 3 2 2 10" xfId="25041"/>
    <cellStyle name="常规 17 2 2" xfId="25042"/>
    <cellStyle name="常规 22 2 2" xfId="25043"/>
    <cellStyle name="计算 3 2 2 11" xfId="25044"/>
    <cellStyle name="常规 17 2 3" xfId="25045"/>
    <cellStyle name="常规 22 2 3" xfId="25046"/>
    <cellStyle name="常规 17 2 3 2" xfId="25047"/>
    <cellStyle name="常规 17 2 3 2 2" xfId="25048"/>
    <cellStyle name="千位分隔 3 10" xfId="25049"/>
    <cellStyle name="常规 17 2 3 2 3" xfId="25050"/>
    <cellStyle name="常规 17 2 3 3" xfId="25051"/>
    <cellStyle name="计算 3 2 2 12" xfId="25052"/>
    <cellStyle name="常规 17 2 4" xfId="25053"/>
    <cellStyle name="常规 22 2 4" xfId="25054"/>
    <cellStyle name="计算 3 2 2 13" xfId="25055"/>
    <cellStyle name="常规 17 2 5" xfId="25056"/>
    <cellStyle name="常规 22 2 5" xfId="25057"/>
    <cellStyle name="常规 24 2 2 2" xfId="25058"/>
    <cellStyle name="计算 3 2 2 14" xfId="25059"/>
    <cellStyle name="常规 17 2 6" xfId="25060"/>
    <cellStyle name="常规 22 2 6" xfId="25061"/>
    <cellStyle name="常规 24 2 2 3" xfId="25062"/>
    <cellStyle name="计算 3 2 2 15" xfId="25063"/>
    <cellStyle name="常规 17 2 7" xfId="25064"/>
    <cellStyle name="常规 22 2 7" xfId="25065"/>
    <cellStyle name="常规 24 2 2 4" xfId="25066"/>
    <cellStyle name="计算 3 2 2 16" xfId="25067"/>
    <cellStyle name="常规 17 2 8" xfId="25068"/>
    <cellStyle name="常规 22 2 8" xfId="25069"/>
    <cellStyle name="常规 24 2 2 5" xfId="25070"/>
    <cellStyle name="计算 3 2 2 17" xfId="25071"/>
    <cellStyle name="常规 17 2 9" xfId="25072"/>
    <cellStyle name="常规 22 2 9" xfId="25073"/>
    <cellStyle name="常规 68 3 15" xfId="25074"/>
    <cellStyle name="常规 73 3 15" xfId="25075"/>
    <cellStyle name="常规 17 3" xfId="25076"/>
    <cellStyle name="常规 22 3" xfId="25077"/>
    <cellStyle name="常规 17 3 10" xfId="25078"/>
    <cellStyle name="常规 22 3 10" xfId="25079"/>
    <cellStyle name="常规 17 3 11" xfId="25080"/>
    <cellStyle name="常规 22 3 11" xfId="25081"/>
    <cellStyle name="常规 17 3 12" xfId="25082"/>
    <cellStyle name="常规 22 3 12" xfId="25083"/>
    <cellStyle name="常规 17 3 13" xfId="25084"/>
    <cellStyle name="常规 22 3 13" xfId="25085"/>
    <cellStyle name="常规 17 3 14" xfId="25086"/>
    <cellStyle name="常规 22 3 14" xfId="25087"/>
    <cellStyle name="常规 17 3 15" xfId="25088"/>
    <cellStyle name="常规 22 3 15" xfId="25089"/>
    <cellStyle name="常规 17 3 16" xfId="25090"/>
    <cellStyle name="常规 22 3 16" xfId="25091"/>
    <cellStyle name="常规 17 3 17" xfId="25092"/>
    <cellStyle name="常规 22 3 17" xfId="25093"/>
    <cellStyle name="常规 17 3 18" xfId="25094"/>
    <cellStyle name="常规 22 3 18" xfId="25095"/>
    <cellStyle name="常规 17 3 2" xfId="25096"/>
    <cellStyle name="常规 22 3 2" xfId="25097"/>
    <cellStyle name="常规 17 3 3" xfId="25098"/>
    <cellStyle name="常规 22 3 3" xfId="25099"/>
    <cellStyle name="常规 17 3 3 2" xfId="25100"/>
    <cellStyle name="常规 22 3 3 2" xfId="25101"/>
    <cellStyle name="好 3" xfId="25102"/>
    <cellStyle name="常规 17 3 3 2 2" xfId="25103"/>
    <cellStyle name="常规 22 3 3 2 2" xfId="25104"/>
    <cellStyle name="好 3 2" xfId="25105"/>
    <cellStyle name="常规 17 3 3 2 3" xfId="25106"/>
    <cellStyle name="常规 22 3 3 2 3" xfId="25107"/>
    <cellStyle name="好 3 3" xfId="25108"/>
    <cellStyle name="常规 17 3 3 3" xfId="25109"/>
    <cellStyle name="常规 22 3 3 3" xfId="25110"/>
    <cellStyle name="好 4" xfId="25111"/>
    <cellStyle name="常规 17 3 6" xfId="25112"/>
    <cellStyle name="常规 22 3 6" xfId="25113"/>
    <cellStyle name="常规 19 2 3 2" xfId="25114"/>
    <cellStyle name="常规 17 3 7" xfId="25115"/>
    <cellStyle name="常规 22 3 7" xfId="25116"/>
    <cellStyle name="常规 19 2 3 3" xfId="25117"/>
    <cellStyle name="常规 17 3 8" xfId="25118"/>
    <cellStyle name="常规 22 3 8" xfId="25119"/>
    <cellStyle name="常规 17 3 9" xfId="25120"/>
    <cellStyle name="常规 22 3 9" xfId="25121"/>
    <cellStyle name="常规 68 3 16" xfId="25122"/>
    <cellStyle name="常规 73 3 16" xfId="25123"/>
    <cellStyle name="常规 17 4" xfId="25124"/>
    <cellStyle name="常规 22 4" xfId="25125"/>
    <cellStyle name="常规 68 3 17" xfId="25126"/>
    <cellStyle name="常规 73 3 17" xfId="25127"/>
    <cellStyle name="常规 17 5" xfId="25128"/>
    <cellStyle name="常规 22 5" xfId="25129"/>
    <cellStyle name="常规 17 5 2 2" xfId="25130"/>
    <cellStyle name="常规 22 5 2 2" xfId="25131"/>
    <cellStyle name="常规 17 5 2 3" xfId="25132"/>
    <cellStyle name="常规 22 5 2 3" xfId="25133"/>
    <cellStyle name="常规 17 5 3" xfId="25134"/>
    <cellStyle name="常规 22 5 3" xfId="25135"/>
    <cellStyle name="常规 68 3 18" xfId="25136"/>
    <cellStyle name="常规 73 3 18" xfId="25137"/>
    <cellStyle name="常规 17 6" xfId="25138"/>
    <cellStyle name="常规 22 6" xfId="25139"/>
    <cellStyle name="常规 17 7" xfId="25140"/>
    <cellStyle name="常规 22 7" xfId="25141"/>
    <cellStyle name="常规 17 8" xfId="25142"/>
    <cellStyle name="常规 22 8" xfId="25143"/>
    <cellStyle name="常规 17 9" xfId="25144"/>
    <cellStyle name="常规 22 9" xfId="25145"/>
    <cellStyle name="常规 170 19" xfId="25146"/>
    <cellStyle name="常规 170 3 2 2" xfId="25147"/>
    <cellStyle name="汇总 2 2 4 9" xfId="25148"/>
    <cellStyle name="常规 170 3 2 3" xfId="25149"/>
    <cellStyle name="常规 96 2 2 3 2" xfId="25150"/>
    <cellStyle name="常规 170 3 3" xfId="25151"/>
    <cellStyle name="常规 171 3 2" xfId="25152"/>
    <cellStyle name="输入 3 3 3 2 10" xfId="25153"/>
    <cellStyle name="常规 171 3 2 2" xfId="25154"/>
    <cellStyle name="汇总 3 2 4 9" xfId="25155"/>
    <cellStyle name="输入 3 3 3 2 11" xfId="25156"/>
    <cellStyle name="常规 171 3 2 3" xfId="25157"/>
    <cellStyle name="常规 171 3 3" xfId="25158"/>
    <cellStyle name="常规 175" xfId="25159"/>
    <cellStyle name="常规 180" xfId="25160"/>
    <cellStyle name="常规 175 11" xfId="25161"/>
    <cellStyle name="常规 175 12" xfId="25162"/>
    <cellStyle name="常规 175 13" xfId="25163"/>
    <cellStyle name="常规 175 14" xfId="25164"/>
    <cellStyle name="常规 175 15" xfId="25165"/>
    <cellStyle name="常规 175 16" xfId="25166"/>
    <cellStyle name="常规 175 17" xfId="25167"/>
    <cellStyle name="常规 175 18" xfId="25168"/>
    <cellStyle name="常规 175 3 2 2" xfId="25169"/>
    <cellStyle name="常规 175 3 2 3" xfId="25170"/>
    <cellStyle name="常规 175 6" xfId="25171"/>
    <cellStyle name="常规 175 7" xfId="25172"/>
    <cellStyle name="常规 175 8" xfId="25173"/>
    <cellStyle name="常规 175 9" xfId="25174"/>
    <cellStyle name="常规 176" xfId="25175"/>
    <cellStyle name="常规 181" xfId="25176"/>
    <cellStyle name="常规 176 10" xfId="25177"/>
    <cellStyle name="常规 176 11" xfId="25178"/>
    <cellStyle name="常规 176 12" xfId="25179"/>
    <cellStyle name="常规 176 13" xfId="25180"/>
    <cellStyle name="常规 176 14" xfId="25181"/>
    <cellStyle name="常规 176 16" xfId="25182"/>
    <cellStyle name="常规 176 17" xfId="25183"/>
    <cellStyle name="常规 176 18" xfId="25184"/>
    <cellStyle name="常规 176 2" xfId="25185"/>
    <cellStyle name="常规 181 2" xfId="25186"/>
    <cellStyle name="常规 176 3" xfId="25187"/>
    <cellStyle name="常规 181 3" xfId="25188"/>
    <cellStyle name="常规 176 3 2" xfId="25189"/>
    <cellStyle name="常规 176 3 2 2" xfId="25190"/>
    <cellStyle name="常规 176 3 2 3" xfId="25191"/>
    <cellStyle name="常规 176 3 3" xfId="25192"/>
    <cellStyle name="常规 176 4" xfId="25193"/>
    <cellStyle name="汇总 2 4 2 10" xfId="25194"/>
    <cellStyle name="常规 176 5" xfId="25195"/>
    <cellStyle name="汇总 2 4 2 11" xfId="25196"/>
    <cellStyle name="常规 176 6" xfId="25197"/>
    <cellStyle name="汇总 2 4 2 12" xfId="25198"/>
    <cellStyle name="常规 176 7" xfId="25199"/>
    <cellStyle name="常规 176 8" xfId="25200"/>
    <cellStyle name="常规 176 9" xfId="25201"/>
    <cellStyle name="常规 177" xfId="25202"/>
    <cellStyle name="常规 182" xfId="25203"/>
    <cellStyle name="常规 177 2" xfId="25204"/>
    <cellStyle name="常规 182 2" xfId="25205"/>
    <cellStyle name="常规 178" xfId="25206"/>
    <cellStyle name="常规 183" xfId="25207"/>
    <cellStyle name="输入 2 6 2 11" xfId="25208"/>
    <cellStyle name="常规 178 17" xfId="25209"/>
    <cellStyle name="输入 2 6 2 12" xfId="25210"/>
    <cellStyle name="常规 178 18" xfId="25211"/>
    <cellStyle name="强调文字颜色 5 2 2 4" xfId="25212"/>
    <cellStyle name="常规 178 2" xfId="25213"/>
    <cellStyle name="强调文字颜色 5 2 2 5" xfId="25214"/>
    <cellStyle name="常规 178 3" xfId="25215"/>
    <cellStyle name="常规 178 3 2" xfId="25216"/>
    <cellStyle name="常规 178 3 3" xfId="25217"/>
    <cellStyle name="强调文字颜色 5 2 2 6" xfId="25218"/>
    <cellStyle name="常规 178 4" xfId="25219"/>
    <cellStyle name="强调文字颜色 5 2 2 7" xfId="25220"/>
    <cellStyle name="常规 178 5" xfId="25221"/>
    <cellStyle name="强调文字颜色 5 2 2 8" xfId="25222"/>
    <cellStyle name="常规 178 6" xfId="25223"/>
    <cellStyle name="强调文字颜色 5 2 2 9" xfId="25224"/>
    <cellStyle name="常规 178 7" xfId="25225"/>
    <cellStyle name="常规 178 8" xfId="25226"/>
    <cellStyle name="常规 178 9" xfId="25227"/>
    <cellStyle name="常规 179" xfId="25228"/>
    <cellStyle name="常规 184" xfId="25229"/>
    <cellStyle name="输入 3 2 2 8" xfId="25230"/>
    <cellStyle name="强调文字颜色 5 2 3 4" xfId="25231"/>
    <cellStyle name="常规 179 2" xfId="25232"/>
    <cellStyle name="汇总 2 3 19" xfId="25233"/>
    <cellStyle name="汇总 2 3 24" xfId="25234"/>
    <cellStyle name="常规 179 2 2" xfId="25235"/>
    <cellStyle name="汇总 2 3 25" xfId="25236"/>
    <cellStyle name="常规 179 2 3" xfId="25237"/>
    <cellStyle name="输入 3 2 2 9" xfId="25238"/>
    <cellStyle name="强调文字颜色 5 2 3 5" xfId="25239"/>
    <cellStyle name="常规 179 3" xfId="25240"/>
    <cellStyle name="汇总 3 7 14" xfId="25241"/>
    <cellStyle name="常规 48 3 15" xfId="25242"/>
    <cellStyle name="常规 53 3 15" xfId="25243"/>
    <cellStyle name="常规 18" xfId="25244"/>
    <cellStyle name="常规 23" xfId="25245"/>
    <cellStyle name="常规 18 16" xfId="25246"/>
    <cellStyle name="常规 18 21" xfId="25247"/>
    <cellStyle name="常规 23 16" xfId="25248"/>
    <cellStyle name="常规 23 21" xfId="25249"/>
    <cellStyle name="常规 18 17" xfId="25250"/>
    <cellStyle name="常规 18 22" xfId="25251"/>
    <cellStyle name="常规 23 17" xfId="25252"/>
    <cellStyle name="常规 23 22" xfId="25253"/>
    <cellStyle name="常规 18 18" xfId="25254"/>
    <cellStyle name="常规 18 23" xfId="25255"/>
    <cellStyle name="常规 23 18" xfId="25256"/>
    <cellStyle name="常规 23 23" xfId="25257"/>
    <cellStyle name="常规 18 19" xfId="25258"/>
    <cellStyle name="常规 23 19" xfId="25259"/>
    <cellStyle name="常规 18 2" xfId="25260"/>
    <cellStyle name="常规 23 2" xfId="25261"/>
    <cellStyle name="常规 44 2 4 2" xfId="25262"/>
    <cellStyle name="常规 18 2 10" xfId="25263"/>
    <cellStyle name="常规 23 2 10" xfId="25264"/>
    <cellStyle name="常规 44 2 4 3" xfId="25265"/>
    <cellStyle name="常规 18 2 11" xfId="25266"/>
    <cellStyle name="常规 23 2 11" xfId="25267"/>
    <cellStyle name="常规 18 2 12" xfId="25268"/>
    <cellStyle name="常规 23 2 12" xfId="25269"/>
    <cellStyle name="常规 18 2 13" xfId="25270"/>
    <cellStyle name="常规 23 2 13" xfId="25271"/>
    <cellStyle name="常规 18 2 14" xfId="25272"/>
    <cellStyle name="常规 23 2 14" xfId="25273"/>
    <cellStyle name="常规 18 2 15" xfId="25274"/>
    <cellStyle name="常规 23 2 15" xfId="25275"/>
    <cellStyle name="常规 18 2 16" xfId="25276"/>
    <cellStyle name="常规 23 2 16" xfId="25277"/>
    <cellStyle name="常规 18 2 17" xfId="25278"/>
    <cellStyle name="常规 23 2 17" xfId="25279"/>
    <cellStyle name="常规 18 2 18" xfId="25280"/>
    <cellStyle name="常规 23 2 18" xfId="25281"/>
    <cellStyle name="计算 3 2 7 10" xfId="25282"/>
    <cellStyle name="常规 18 2 2" xfId="25283"/>
    <cellStyle name="常规 23 2 2" xfId="25284"/>
    <cellStyle name="计算 3 2 7 11" xfId="25285"/>
    <cellStyle name="常规 18 2 3" xfId="25286"/>
    <cellStyle name="常规 23 2 3" xfId="25287"/>
    <cellStyle name="常规 18 2 3 2" xfId="25288"/>
    <cellStyle name="常规 18 2 3 2 2" xfId="25289"/>
    <cellStyle name="常规 18 2 3 2 3" xfId="25290"/>
    <cellStyle name="常规 18 2 3 3" xfId="25291"/>
    <cellStyle name="常规 18 3 10" xfId="25292"/>
    <cellStyle name="常规 23 3 10" xfId="25293"/>
    <cellStyle name="常规 18 3 11" xfId="25294"/>
    <cellStyle name="常规 23 3 11" xfId="25295"/>
    <cellStyle name="常规 18 3 12" xfId="25296"/>
    <cellStyle name="常规 23 3 12" xfId="25297"/>
    <cellStyle name="注释 3 2 3 7" xfId="25298"/>
    <cellStyle name="常规 18 3 18" xfId="25299"/>
    <cellStyle name="常规 23 3 18" xfId="25300"/>
    <cellStyle name="常规 18 3 3 2" xfId="25301"/>
    <cellStyle name="常规 23 3 3 2" xfId="25302"/>
    <cellStyle name="常规 18 3 3 2 2" xfId="25303"/>
    <cellStyle name="常规 23 3 3 2 2" xfId="25304"/>
    <cellStyle name="常规 18 3 3 2 3" xfId="25305"/>
    <cellStyle name="常规 23 3 3 2 3" xfId="25306"/>
    <cellStyle name="常规 18 3 3 3" xfId="25307"/>
    <cellStyle name="常规 23 3 3 3" xfId="25308"/>
    <cellStyle name="常规 18 3 4" xfId="25309"/>
    <cellStyle name="常规 23 3 4" xfId="25310"/>
    <cellStyle name="常规 18 3 5" xfId="25311"/>
    <cellStyle name="常规 23 3 5" xfId="25312"/>
    <cellStyle name="常规 18 3 8" xfId="25313"/>
    <cellStyle name="常规 23 3 8" xfId="25314"/>
    <cellStyle name="常规 18 3 9" xfId="25315"/>
    <cellStyle name="常规 23 3 9" xfId="25316"/>
    <cellStyle name="常规 18 5" xfId="25317"/>
    <cellStyle name="常规 23 5" xfId="25318"/>
    <cellStyle name="常规 18 5 2" xfId="25319"/>
    <cellStyle name="常规 23 5 2" xfId="25320"/>
    <cellStyle name="常规 18 5 2 2" xfId="25321"/>
    <cellStyle name="常规 23 5 2 2" xfId="25322"/>
    <cellStyle name="常规 18 5 2 3" xfId="25323"/>
    <cellStyle name="常规 23 5 2 3" xfId="25324"/>
    <cellStyle name="常规 18 6" xfId="25325"/>
    <cellStyle name="常规 23 6" xfId="25326"/>
    <cellStyle name="常规 18 7" xfId="25327"/>
    <cellStyle name="常规 23 7" xfId="25328"/>
    <cellStyle name="常规 18 8" xfId="25329"/>
    <cellStyle name="常规 23 8" xfId="25330"/>
    <cellStyle name="常规 18 9" xfId="25331"/>
    <cellStyle name="常规 23 9" xfId="25332"/>
    <cellStyle name="常规 185" xfId="25333"/>
    <cellStyle name="常规 190" xfId="25334"/>
    <cellStyle name="常规 186" xfId="25335"/>
    <cellStyle name="常规 191" xfId="25336"/>
    <cellStyle name="常规 187" xfId="25337"/>
    <cellStyle name="常规 6 2" xfId="25338"/>
    <cellStyle name="常规 188" xfId="25339"/>
    <cellStyle name="常规 6 3" xfId="25340"/>
    <cellStyle name="常规 189" xfId="25341"/>
    <cellStyle name="常规 6 4" xfId="25342"/>
    <cellStyle name="汇总 3 7 15" xfId="25343"/>
    <cellStyle name="常规 48 3 16" xfId="25344"/>
    <cellStyle name="常规 53 3 16" xfId="25345"/>
    <cellStyle name="常规 19" xfId="25346"/>
    <cellStyle name="常规 24" xfId="25347"/>
    <cellStyle name="常规 19 10" xfId="25348"/>
    <cellStyle name="常规 24 10" xfId="25349"/>
    <cellStyle name="常规 19 11" xfId="25350"/>
    <cellStyle name="常规 24 11" xfId="25351"/>
    <cellStyle name="常规 19 12" xfId="25352"/>
    <cellStyle name="常规 24 12" xfId="25353"/>
    <cellStyle name="常规 19 13" xfId="25354"/>
    <cellStyle name="常规 24 13" xfId="25355"/>
    <cellStyle name="常规 19 14" xfId="25356"/>
    <cellStyle name="常规 24 14" xfId="25357"/>
    <cellStyle name="常规 19 15" xfId="25358"/>
    <cellStyle name="常规 19 20" xfId="25359"/>
    <cellStyle name="常规 24 15" xfId="25360"/>
    <cellStyle name="常规 24 20" xfId="25361"/>
    <cellStyle name="常规 19 16" xfId="25362"/>
    <cellStyle name="常规 19 21" xfId="25363"/>
    <cellStyle name="常规 24 16" xfId="25364"/>
    <cellStyle name="常规 24 21" xfId="25365"/>
    <cellStyle name="常规 19 17" xfId="25366"/>
    <cellStyle name="常规 19 22" xfId="25367"/>
    <cellStyle name="常规 24 17" xfId="25368"/>
    <cellStyle name="常规 24 22" xfId="25369"/>
    <cellStyle name="常规 19 18" xfId="25370"/>
    <cellStyle name="常规 19 23" xfId="25371"/>
    <cellStyle name="常规 24 18" xfId="25372"/>
    <cellStyle name="常规 24 23" xfId="25373"/>
    <cellStyle name="常规 19 19" xfId="25374"/>
    <cellStyle name="常规 24 19" xfId="25375"/>
    <cellStyle name="常规 19 2" xfId="25376"/>
    <cellStyle name="常规 24 2" xfId="25377"/>
    <cellStyle name="常规 19 2 10" xfId="25378"/>
    <cellStyle name="常规 24 2 10" xfId="25379"/>
    <cellStyle name="常规 19 2 11" xfId="25380"/>
    <cellStyle name="常规 24 2 11" xfId="25381"/>
    <cellStyle name="常规 19 2 12" xfId="25382"/>
    <cellStyle name="常规 24 2 12" xfId="25383"/>
    <cellStyle name="常规 19 2 13" xfId="25384"/>
    <cellStyle name="常规 24 2 13" xfId="25385"/>
    <cellStyle name="常规 19 2 14" xfId="25386"/>
    <cellStyle name="常规 24 2 14" xfId="25387"/>
    <cellStyle name="常规 19 2 15" xfId="25388"/>
    <cellStyle name="常规 24 2 15" xfId="25389"/>
    <cellStyle name="常规 19 2 16" xfId="25390"/>
    <cellStyle name="常规 24 2 16" xfId="25391"/>
    <cellStyle name="常规 19 2 17" xfId="25392"/>
    <cellStyle name="常规 24 2 17" xfId="25393"/>
    <cellStyle name="常规 19 2 18" xfId="25394"/>
    <cellStyle name="常规 24 2 18" xfId="25395"/>
    <cellStyle name="常规 19 2 3" xfId="25396"/>
    <cellStyle name="常规 24 2 3" xfId="25397"/>
    <cellStyle name="常规 19 2 3 2 2" xfId="25398"/>
    <cellStyle name="常规 19 2 3 2 3" xfId="25399"/>
    <cellStyle name="常规 19 2 4" xfId="25400"/>
    <cellStyle name="常规 24 2 4" xfId="25401"/>
    <cellStyle name="常规 19 2 5" xfId="25402"/>
    <cellStyle name="常规 24 2 5" xfId="25403"/>
    <cellStyle name="常规 19 2 6" xfId="25404"/>
    <cellStyle name="常规 24 2 6" xfId="25405"/>
    <cellStyle name="常规 19 2 7" xfId="25406"/>
    <cellStyle name="常规 24 2 7" xfId="25407"/>
    <cellStyle name="常规 19 2 8" xfId="25408"/>
    <cellStyle name="常规 24 2 8" xfId="25409"/>
    <cellStyle name="常规 19 2 9" xfId="25410"/>
    <cellStyle name="常规 24 2 9" xfId="25411"/>
    <cellStyle name="常规 19 3" xfId="25412"/>
    <cellStyle name="常规 24 3" xfId="25413"/>
    <cellStyle name="常规 19 3 10" xfId="25414"/>
    <cellStyle name="常规 24 3 10" xfId="25415"/>
    <cellStyle name="常规 19 3 11" xfId="25416"/>
    <cellStyle name="常规 24 3 11" xfId="25417"/>
    <cellStyle name="常规 19 3 12" xfId="25418"/>
    <cellStyle name="常规 24 3 12" xfId="25419"/>
    <cellStyle name="常规 19 3 13" xfId="25420"/>
    <cellStyle name="常规 24 3 13" xfId="25421"/>
    <cellStyle name="常规 19 3 14" xfId="25422"/>
    <cellStyle name="常规 24 3 14" xfId="25423"/>
    <cellStyle name="常规 19 3 15" xfId="25424"/>
    <cellStyle name="常规 24 3 15" xfId="25425"/>
    <cellStyle name="常规 19 3 16" xfId="25426"/>
    <cellStyle name="常规 24 3 16" xfId="25427"/>
    <cellStyle name="常规 19 3 17" xfId="25428"/>
    <cellStyle name="常规 24 3 17" xfId="25429"/>
    <cellStyle name="常规 19 3 18" xfId="25430"/>
    <cellStyle name="常规 24 3 18" xfId="25431"/>
    <cellStyle name="常规 19 4" xfId="25432"/>
    <cellStyle name="常规 24 4" xfId="25433"/>
    <cellStyle name="常规 19 5" xfId="25434"/>
    <cellStyle name="常规 24 5" xfId="25435"/>
    <cellStyle name="常规 19 5 2" xfId="25436"/>
    <cellStyle name="常规 24 5 2" xfId="25437"/>
    <cellStyle name="常规 25 2 7" xfId="25438"/>
    <cellStyle name="常规 30 2 7" xfId="25439"/>
    <cellStyle name="常规 19 5 2 3" xfId="25440"/>
    <cellStyle name="常规 24 5 2 3" xfId="25441"/>
    <cellStyle name="常规 19 6" xfId="25442"/>
    <cellStyle name="常规 24 6" xfId="25443"/>
    <cellStyle name="常规 19 7" xfId="25444"/>
    <cellStyle name="常规 24 7" xfId="25445"/>
    <cellStyle name="常规 19 8" xfId="25446"/>
    <cellStyle name="常规 24 8" xfId="25447"/>
    <cellStyle name="常规 2" xfId="25448"/>
    <cellStyle name="常规 2 10" xfId="25449"/>
    <cellStyle name="常规 2 11" xfId="25450"/>
    <cellStyle name="常规 2 12" xfId="25451"/>
    <cellStyle name="常规 2 13" xfId="25452"/>
    <cellStyle name="计算 3 5 2" xfId="25453"/>
    <cellStyle name="常规 2 14" xfId="25454"/>
    <cellStyle name="计算 3 5 3" xfId="25455"/>
    <cellStyle name="常规 2 15" xfId="25456"/>
    <cellStyle name="常规 2 20" xfId="25457"/>
    <cellStyle name="计算 3 5 4" xfId="25458"/>
    <cellStyle name="常规 2 16" xfId="25459"/>
    <cellStyle name="常规 2 21" xfId="25460"/>
    <cellStyle name="计算 3 5 5" xfId="25461"/>
    <cellStyle name="常规 2 17" xfId="25462"/>
    <cellStyle name="常规 2 22" xfId="25463"/>
    <cellStyle name="计算 3 5 6" xfId="25464"/>
    <cellStyle name="汇总 3 8 2 2" xfId="25465"/>
    <cellStyle name="常规 2 2 10" xfId="25466"/>
    <cellStyle name="汇总 3 8 2 3" xfId="25467"/>
    <cellStyle name="常规 2 2 11" xfId="25468"/>
    <cellStyle name="输出 2 3 4 10" xfId="25469"/>
    <cellStyle name="常规 2 2 2 10" xfId="25470"/>
    <cellStyle name="输出 2 3 4 11" xfId="25471"/>
    <cellStyle name="常规 2 2 2 11" xfId="25472"/>
    <cellStyle name="输出 2 3 4 12" xfId="25473"/>
    <cellStyle name="常规 2 2 2 12" xfId="25474"/>
    <cellStyle name="输出 2 3 4 13" xfId="25475"/>
    <cellStyle name="常规 2 2 2 13" xfId="25476"/>
    <cellStyle name="输出 2 3 4 14" xfId="25477"/>
    <cellStyle name="常规 2 2 2 14" xfId="25478"/>
    <cellStyle name="输出 2 3 4 15" xfId="25479"/>
    <cellStyle name="输出 2 3 4 20" xfId="25480"/>
    <cellStyle name="常规 2 2 2 15" xfId="25481"/>
    <cellStyle name="输出 2 3 4 16" xfId="25482"/>
    <cellStyle name="输出 2 3 4 21" xfId="25483"/>
    <cellStyle name="常规 2 2 2 16" xfId="25484"/>
    <cellStyle name="输出 2 3 4 17" xfId="25485"/>
    <cellStyle name="常规 2 2 2 17" xfId="25486"/>
    <cellStyle name="输出 2 3 4 2" xfId="25487"/>
    <cellStyle name="常规 2 2 2 2" xfId="25488"/>
    <cellStyle name="输出 2 3 4 3" xfId="25489"/>
    <cellStyle name="常规 2 2 2 3" xfId="25490"/>
    <cellStyle name="输出 2 3 4 3 2" xfId="25491"/>
    <cellStyle name="常规 2 2 2 3 2" xfId="25492"/>
    <cellStyle name="输出 2 3 4 3 2 2" xfId="25493"/>
    <cellStyle name="常规 2 2 2 3 2 2" xfId="25494"/>
    <cellStyle name="输出 2 3 4 3 2 3" xfId="25495"/>
    <cellStyle name="常规 2 2 2 3 2 3" xfId="25496"/>
    <cellStyle name="输出 2 3 4 3 3" xfId="25497"/>
    <cellStyle name="常规 2 2 2 3 3" xfId="25498"/>
    <cellStyle name="输出 2 3 4 4" xfId="25499"/>
    <cellStyle name="常规 2 2 2 4" xfId="25500"/>
    <cellStyle name="输出 2 3 4 5" xfId="25501"/>
    <cellStyle name="常规 2 2 2 5" xfId="25502"/>
    <cellStyle name="输出 2 3 4 6" xfId="25503"/>
    <cellStyle name="常规 2 2 2 6" xfId="25504"/>
    <cellStyle name="输出 2 3 4 7" xfId="25505"/>
    <cellStyle name="常规 2 2 2 7" xfId="25506"/>
    <cellStyle name="输出 2 3 4 8" xfId="25507"/>
    <cellStyle name="常规 2 2 2 8" xfId="25508"/>
    <cellStyle name="输出 2 3 4 9" xfId="25509"/>
    <cellStyle name="常规 2 2 2 9" xfId="25510"/>
    <cellStyle name="汇总 3 8 2 12" xfId="25511"/>
    <cellStyle name="输出 2 3 6 2" xfId="25512"/>
    <cellStyle name="常规 45 2 2 5" xfId="25513"/>
    <cellStyle name="常规 50 2 2 5" xfId="25514"/>
    <cellStyle name="常规 2 2 4 2" xfId="25515"/>
    <cellStyle name="计算 2 5 2 2" xfId="25516"/>
    <cellStyle name="输出 2 3 6 3" xfId="25517"/>
    <cellStyle name="常规 45 2 2 6" xfId="25518"/>
    <cellStyle name="常规 50 2 2 6" xfId="25519"/>
    <cellStyle name="常规 2 2 4 3" xfId="25520"/>
    <cellStyle name="常规 2 3" xfId="25521"/>
    <cellStyle name="常规 2 3 10" xfId="25522"/>
    <cellStyle name="常规 2 3 11" xfId="25523"/>
    <cellStyle name="常规 2 3 12" xfId="25524"/>
    <cellStyle name="常规 2 3 13" xfId="25525"/>
    <cellStyle name="输出 2 4 4" xfId="25526"/>
    <cellStyle name="常规 2 3 2" xfId="25527"/>
    <cellStyle name="输出 2 4 5" xfId="25528"/>
    <cellStyle name="常规 2 3 3" xfId="25529"/>
    <cellStyle name="常规 2 3 3 2 2" xfId="25530"/>
    <cellStyle name="常规 2 3 3 2 3" xfId="25531"/>
    <cellStyle name="输出 2 4 8" xfId="25532"/>
    <cellStyle name="常规 2 3 6" xfId="25533"/>
    <cellStyle name="常规 77 5 2 2" xfId="25534"/>
    <cellStyle name="常规 82 5 2 2" xfId="25535"/>
    <cellStyle name="输出 2 4 9" xfId="25536"/>
    <cellStyle name="常规 2 3 7" xfId="25537"/>
    <cellStyle name="常规 77 5 2 3" xfId="25538"/>
    <cellStyle name="常规 82 5 2 3" xfId="25539"/>
    <cellStyle name="常规 2 3 8" xfId="25540"/>
    <cellStyle name="常规 2 3 9" xfId="25541"/>
    <cellStyle name="常规 2 4" xfId="25542"/>
    <cellStyle name="输出 2 6 4" xfId="25543"/>
    <cellStyle name="常规 2 5 2" xfId="25544"/>
    <cellStyle name="常规 2 5 2 2" xfId="25545"/>
    <cellStyle name="常规 2 5 2 3" xfId="25546"/>
    <cellStyle name="输出 2 6 5" xfId="25547"/>
    <cellStyle name="常规 2 5 3" xfId="25548"/>
    <cellStyle name="常规 2 7" xfId="25549"/>
    <cellStyle name="输入 2" xfId="25550"/>
    <cellStyle name="常规 2 8" xfId="25551"/>
    <cellStyle name="常规 2 9" xfId="25552"/>
    <cellStyle name="常规 22 2 19" xfId="25553"/>
    <cellStyle name="常规 22 2 2 15" xfId="25554"/>
    <cellStyle name="常规 22 2 2 16" xfId="25555"/>
    <cellStyle name="常规 22 2 2 17" xfId="25556"/>
    <cellStyle name="常规 22 2 2 18" xfId="25557"/>
    <cellStyle name="常规 22 2 2 2" xfId="25558"/>
    <cellStyle name="常规 22 2 2 3" xfId="25559"/>
    <cellStyle name="汇总 3 8 17" xfId="25560"/>
    <cellStyle name="常规 22 2 2 3 2" xfId="25561"/>
    <cellStyle name="汇总 2 9 2 8" xfId="25562"/>
    <cellStyle name="常规 22 2 2 3 2 2" xfId="25563"/>
    <cellStyle name="汇总 2 9 2 9" xfId="25564"/>
    <cellStyle name="常规 22 2 2 3 2 3" xfId="25565"/>
    <cellStyle name="常规 22 2 2 3 3" xfId="25566"/>
    <cellStyle name="常规 22 2 2 4" xfId="25567"/>
    <cellStyle name="常规 22 2 2 5" xfId="25568"/>
    <cellStyle name="常规 22 2 2 6" xfId="25569"/>
    <cellStyle name="常规 22 2 2 7" xfId="25570"/>
    <cellStyle name="常规 22 2 2 8" xfId="25571"/>
    <cellStyle name="常规 22 2 2 9" xfId="25572"/>
    <cellStyle name="汇总 3 10" xfId="25573"/>
    <cellStyle name="常规 22 2 4 2 2" xfId="25574"/>
    <cellStyle name="汇总 3 11" xfId="25575"/>
    <cellStyle name="常规 22 2 4 2 3" xfId="25576"/>
    <cellStyle name="常规 23 2 19" xfId="25577"/>
    <cellStyle name="常规 23 2 2 11" xfId="25578"/>
    <cellStyle name="常规 23 2 2 13" xfId="25579"/>
    <cellStyle name="常规 23 2 2 14" xfId="25580"/>
    <cellStyle name="常规 23 2 2 15" xfId="25581"/>
    <cellStyle name="常规 23 2 2 16" xfId="25582"/>
    <cellStyle name="常规 23 2 2 17" xfId="25583"/>
    <cellStyle name="常规 23 2 2 18" xfId="25584"/>
    <cellStyle name="常规 8 3 8" xfId="25585"/>
    <cellStyle name="常规 23 2 2 2" xfId="25586"/>
    <cellStyle name="常规 8 3 9" xfId="25587"/>
    <cellStyle name="常规 23 2 2 3" xfId="25588"/>
    <cellStyle name="常规 23 2 2 3 2" xfId="25589"/>
    <cellStyle name="常规 23 2 2 3 2 2" xfId="25590"/>
    <cellStyle name="常规 23 2 2 3 2 3" xfId="25591"/>
    <cellStyle name="常规 23 2 2 3 3" xfId="25592"/>
    <cellStyle name="常规 23 2 2 4" xfId="25593"/>
    <cellStyle name="常规 23 2 2 5" xfId="25594"/>
    <cellStyle name="常规 23 2 2 7" xfId="25595"/>
    <cellStyle name="常规 23 2 2 8" xfId="25596"/>
    <cellStyle name="常规 23 2 2 9" xfId="25597"/>
    <cellStyle name="常规 38 8" xfId="25598"/>
    <cellStyle name="常规 43 8" xfId="25599"/>
    <cellStyle name="常规 23 2 4 2 2" xfId="25600"/>
    <cellStyle name="常规 38 9" xfId="25601"/>
    <cellStyle name="常规 43 9" xfId="25602"/>
    <cellStyle name="常规 23 2 4 2 3" xfId="25603"/>
    <cellStyle name="常规 24 2 19" xfId="25604"/>
    <cellStyle name="常规 24 2 2 15" xfId="25605"/>
    <cellStyle name="常规 24 2 2 16" xfId="25606"/>
    <cellStyle name="常规 24 2 2 17" xfId="25607"/>
    <cellStyle name="常规 24 2 2 18" xfId="25608"/>
    <cellStyle name="常规 24 2 2 3 2" xfId="25609"/>
    <cellStyle name="常规 24 2 2 3 2 2" xfId="25610"/>
    <cellStyle name="计算 2 2 10" xfId="25611"/>
    <cellStyle name="常规 24 2 2 3 2 3" xfId="25612"/>
    <cellStyle name="计算 2 2 11" xfId="25613"/>
    <cellStyle name="常规 24 2 2 3 3" xfId="25614"/>
    <cellStyle name="常规 24 2 4 2 2" xfId="25615"/>
    <cellStyle name="常规 24 2 4 2 3" xfId="25616"/>
    <cellStyle name="汇总 3 7 16" xfId="25617"/>
    <cellStyle name="常规 48 3 17" xfId="25618"/>
    <cellStyle name="常规 53 3 17" xfId="25619"/>
    <cellStyle name="常规 25" xfId="25620"/>
    <cellStyle name="常规 30" xfId="25621"/>
    <cellStyle name="常规 25 10" xfId="25622"/>
    <cellStyle name="常规 30 10" xfId="25623"/>
    <cellStyle name="计算 3 7 2 10" xfId="25624"/>
    <cellStyle name="常规 25 11" xfId="25625"/>
    <cellStyle name="常规 30 11" xfId="25626"/>
    <cellStyle name="常规 67 2 2" xfId="25627"/>
    <cellStyle name="常规 72 2 2" xfId="25628"/>
    <cellStyle name="计算 3 7 2 11" xfId="25629"/>
    <cellStyle name="常规 25 12" xfId="25630"/>
    <cellStyle name="常规 30 12" xfId="25631"/>
    <cellStyle name="常规 67 2 3" xfId="25632"/>
    <cellStyle name="常规 72 2 3" xfId="25633"/>
    <cellStyle name="计算 3 7 2 12" xfId="25634"/>
    <cellStyle name="常规 25 13" xfId="25635"/>
    <cellStyle name="常规 30 13" xfId="25636"/>
    <cellStyle name="常规 67 2 4" xfId="25637"/>
    <cellStyle name="常规 72 2 4" xfId="25638"/>
    <cellStyle name="常规 25 14" xfId="25639"/>
    <cellStyle name="常规 30 14" xfId="25640"/>
    <cellStyle name="常规 67 2 5" xfId="25641"/>
    <cellStyle name="常规 72 2 5" xfId="25642"/>
    <cellStyle name="常规 25 15" xfId="25643"/>
    <cellStyle name="常规 25 20" xfId="25644"/>
    <cellStyle name="常规 30 15" xfId="25645"/>
    <cellStyle name="常规 30 20" xfId="25646"/>
    <cellStyle name="常规 67 2 6" xfId="25647"/>
    <cellStyle name="常规 72 2 6" xfId="25648"/>
    <cellStyle name="常规 25 2 2 2" xfId="25649"/>
    <cellStyle name="常规 30 2 2 2" xfId="25650"/>
    <cellStyle name="常规 25 16" xfId="25651"/>
    <cellStyle name="常规 25 21" xfId="25652"/>
    <cellStyle name="常规 30 16" xfId="25653"/>
    <cellStyle name="常规 30 21" xfId="25654"/>
    <cellStyle name="常规 67 2 7" xfId="25655"/>
    <cellStyle name="常规 72 2 7" xfId="25656"/>
    <cellStyle name="常规 25 2 2 3" xfId="25657"/>
    <cellStyle name="常规 30 2 2 3" xfId="25658"/>
    <cellStyle name="常规 25 17" xfId="25659"/>
    <cellStyle name="常规 25 22" xfId="25660"/>
    <cellStyle name="常规 30 17" xfId="25661"/>
    <cellStyle name="常规 30 22" xfId="25662"/>
    <cellStyle name="常规 67 2 8" xfId="25663"/>
    <cellStyle name="常规 72 2 8" xfId="25664"/>
    <cellStyle name="常规 25 2 2 4" xfId="25665"/>
    <cellStyle name="常规 30 2 2 4" xfId="25666"/>
    <cellStyle name="常规 25 18" xfId="25667"/>
    <cellStyle name="常规 25 23" xfId="25668"/>
    <cellStyle name="常规 30 18" xfId="25669"/>
    <cellStyle name="常规 30 23" xfId="25670"/>
    <cellStyle name="常规 67 2 9" xfId="25671"/>
    <cellStyle name="常规 72 2 9" xfId="25672"/>
    <cellStyle name="常规 25 2 2 5" xfId="25673"/>
    <cellStyle name="常规 30 2 2 5" xfId="25674"/>
    <cellStyle name="常规 25 2 2 6" xfId="25675"/>
    <cellStyle name="常规 30 2 2 6" xfId="25676"/>
    <cellStyle name="常规 25 19" xfId="25677"/>
    <cellStyle name="常规 30 19" xfId="25678"/>
    <cellStyle name="常规 25 2 10" xfId="25679"/>
    <cellStyle name="常规 30 2 10" xfId="25680"/>
    <cellStyle name="常规 25 2 11" xfId="25681"/>
    <cellStyle name="常规 30 2 11" xfId="25682"/>
    <cellStyle name="常规 25 2 2 10" xfId="25683"/>
    <cellStyle name="常规 30 2 2 10" xfId="25684"/>
    <cellStyle name="常规 25 2 2 11" xfId="25685"/>
    <cellStyle name="常规 30 2 2 11" xfId="25686"/>
    <cellStyle name="常规 25 5 2" xfId="25687"/>
    <cellStyle name="常规 30 5 2" xfId="25688"/>
    <cellStyle name="常规 25 2 2 12" xfId="25689"/>
    <cellStyle name="常规 30 2 2 12" xfId="25690"/>
    <cellStyle name="常规 25 5 3" xfId="25691"/>
    <cellStyle name="常规 30 5 3" xfId="25692"/>
    <cellStyle name="常规 25 2 2 13" xfId="25693"/>
    <cellStyle name="常规 30 2 2 13" xfId="25694"/>
    <cellStyle name="常规 25 2 2 16" xfId="25695"/>
    <cellStyle name="常规 30 2 2 16" xfId="25696"/>
    <cellStyle name="常规 25 2 2 3 2" xfId="25697"/>
    <cellStyle name="常规 30 2 2 3 2" xfId="25698"/>
    <cellStyle name="常规 25 2 2 3 3" xfId="25699"/>
    <cellStyle name="常规 30 2 2 3 3" xfId="25700"/>
    <cellStyle name="常规 25 2 2 7" xfId="25701"/>
    <cellStyle name="常规 30 2 2 7" xfId="25702"/>
    <cellStyle name="常规 25 2 2 8" xfId="25703"/>
    <cellStyle name="常规 30 2 2 8" xfId="25704"/>
    <cellStyle name="常规 25 2 2 9" xfId="25705"/>
    <cellStyle name="常规 30 2 2 9" xfId="25706"/>
    <cellStyle name="常规 25 2 4 2 2" xfId="25707"/>
    <cellStyle name="常规 30 2 4 2 2" xfId="25708"/>
    <cellStyle name="常规 25 2 8" xfId="25709"/>
    <cellStyle name="常规 30 2 8" xfId="25710"/>
    <cellStyle name="常规 25 2 9" xfId="25711"/>
    <cellStyle name="常规 30 2 9" xfId="25712"/>
    <cellStyle name="常规 25 3 10" xfId="25713"/>
    <cellStyle name="常规 30 3 10" xfId="25714"/>
    <cellStyle name="常规 25 3 11" xfId="25715"/>
    <cellStyle name="常规 30 3 11" xfId="25716"/>
    <cellStyle name="常规 25 3 12" xfId="25717"/>
    <cellStyle name="常规 30 3 12" xfId="25718"/>
    <cellStyle name="常规 25 3 13" xfId="25719"/>
    <cellStyle name="常规 30 3 13" xfId="25720"/>
    <cellStyle name="常规 28 5 2 2" xfId="25721"/>
    <cellStyle name="常规 33 5 2 2" xfId="25722"/>
    <cellStyle name="常规 25 3 14" xfId="25723"/>
    <cellStyle name="常规 30 3 14" xfId="25724"/>
    <cellStyle name="常规 28 5 2 3" xfId="25725"/>
    <cellStyle name="常规 33 5 2 3" xfId="25726"/>
    <cellStyle name="常规 25 3 15" xfId="25727"/>
    <cellStyle name="常规 30 3 15" xfId="25728"/>
    <cellStyle name="常规 25 3 16" xfId="25729"/>
    <cellStyle name="常规 30 3 16" xfId="25730"/>
    <cellStyle name="常规 25 3 17" xfId="25731"/>
    <cellStyle name="常规 30 3 17" xfId="25732"/>
    <cellStyle name="常规 25 3 18" xfId="25733"/>
    <cellStyle name="常规 30 3 18" xfId="25734"/>
    <cellStyle name="常规 25 3 2" xfId="25735"/>
    <cellStyle name="常规 30 3 2" xfId="25736"/>
    <cellStyle name="常规 25 3 3" xfId="25737"/>
    <cellStyle name="常规 30 3 3" xfId="25738"/>
    <cellStyle name="常规 68 3 6" xfId="25739"/>
    <cellStyle name="常规 73 3 6" xfId="25740"/>
    <cellStyle name="常规 25 3 3 2" xfId="25741"/>
    <cellStyle name="常规 30 3 3 2" xfId="25742"/>
    <cellStyle name="输入 2 2 10" xfId="25743"/>
    <cellStyle name="常规 25 3 3 2 2" xfId="25744"/>
    <cellStyle name="常规 30 3 3 2 2" xfId="25745"/>
    <cellStyle name="输入 2 2 11" xfId="25746"/>
    <cellStyle name="常规 25 3 3 2 3" xfId="25747"/>
    <cellStyle name="常规 30 3 3 2 3" xfId="25748"/>
    <cellStyle name="常规 68 3 7" xfId="25749"/>
    <cellStyle name="常规 73 3 7" xfId="25750"/>
    <cellStyle name="常规 25 3 3 3" xfId="25751"/>
    <cellStyle name="常规 30 3 3 3" xfId="25752"/>
    <cellStyle name="汇总 3 2 3 2 2" xfId="25753"/>
    <cellStyle name="常规 25 3 4" xfId="25754"/>
    <cellStyle name="常规 30 3 4" xfId="25755"/>
    <cellStyle name="汇总 3 2 3 2 3" xfId="25756"/>
    <cellStyle name="常规 25 3 5" xfId="25757"/>
    <cellStyle name="常规 30 3 5" xfId="25758"/>
    <cellStyle name="汇总 3 2 3 2 4" xfId="25759"/>
    <cellStyle name="常规 25 3 6" xfId="25760"/>
    <cellStyle name="常规 30 3 6" xfId="25761"/>
    <cellStyle name="汇总 3 2 3 2 5" xfId="25762"/>
    <cellStyle name="常规 25 3 7" xfId="25763"/>
    <cellStyle name="常规 30 3 7" xfId="25764"/>
    <cellStyle name="汇总 3 2 3 2 6" xfId="25765"/>
    <cellStyle name="常规 25 3 8" xfId="25766"/>
    <cellStyle name="常规 30 3 8" xfId="25767"/>
    <cellStyle name="汇总 3 2 3 2 7" xfId="25768"/>
    <cellStyle name="常规 25 3 9" xfId="25769"/>
    <cellStyle name="常规 30 3 9" xfId="25770"/>
    <cellStyle name="汇总 3 7 17" xfId="25771"/>
    <cellStyle name="常规 48 3 18" xfId="25772"/>
    <cellStyle name="常规 53 3 18" xfId="25773"/>
    <cellStyle name="常规 26" xfId="25774"/>
    <cellStyle name="常规 31" xfId="25775"/>
    <cellStyle name="常规 26 17" xfId="25776"/>
    <cellStyle name="常规 26 22" xfId="25777"/>
    <cellStyle name="常规 31 17" xfId="25778"/>
    <cellStyle name="常规 31 22" xfId="25779"/>
    <cellStyle name="常规 26 18" xfId="25780"/>
    <cellStyle name="常规 26 23" xfId="25781"/>
    <cellStyle name="常规 31 18" xfId="25782"/>
    <cellStyle name="常规 31 23" xfId="25783"/>
    <cellStyle name="常规 26 19" xfId="25784"/>
    <cellStyle name="常规 31 19" xfId="25785"/>
    <cellStyle name="常规 26 2 2 10" xfId="25786"/>
    <cellStyle name="常规 31 2 2 10" xfId="25787"/>
    <cellStyle name="常规 26 2 2 11" xfId="25788"/>
    <cellStyle name="常规 31 2 2 11" xfId="25789"/>
    <cellStyle name="常规 26 2 2 12" xfId="25790"/>
    <cellStyle name="常规 31 2 2 12" xfId="25791"/>
    <cellStyle name="常规 26 2 2 13" xfId="25792"/>
    <cellStyle name="常规 31 2 2 13" xfId="25793"/>
    <cellStyle name="常规 26 2 2 14" xfId="25794"/>
    <cellStyle name="常规 31 2 2 14" xfId="25795"/>
    <cellStyle name="常规 26 2 2 15" xfId="25796"/>
    <cellStyle name="常规 31 2 2 15" xfId="25797"/>
    <cellStyle name="常规 26 2 2 16" xfId="25798"/>
    <cellStyle name="常规 31 2 2 16" xfId="25799"/>
    <cellStyle name="常规 26 2 2 17" xfId="25800"/>
    <cellStyle name="常规 31 2 2 17" xfId="25801"/>
    <cellStyle name="常规 26 2 2 18" xfId="25802"/>
    <cellStyle name="常规 31 2 2 18" xfId="25803"/>
    <cellStyle name="常规 26 2 2 2" xfId="25804"/>
    <cellStyle name="常规 31 2 2 2" xfId="25805"/>
    <cellStyle name="常规 26 2 2 3" xfId="25806"/>
    <cellStyle name="常规 31 2 2 3" xfId="25807"/>
    <cellStyle name="常规 26 2 2 3 2 2" xfId="25808"/>
    <cellStyle name="常规 31 2 2 3 2 2" xfId="25809"/>
    <cellStyle name="常规 26 2 2 3 2 3" xfId="25810"/>
    <cellStyle name="常规 31 2 2 3 2 3" xfId="25811"/>
    <cellStyle name="常规 26 2 2 4" xfId="25812"/>
    <cellStyle name="常规 31 2 2 4" xfId="25813"/>
    <cellStyle name="常规 26 2 2 5" xfId="25814"/>
    <cellStyle name="常规 31 2 2 5" xfId="25815"/>
    <cellStyle name="常规 26 2 2 6" xfId="25816"/>
    <cellStyle name="常规 31 2 2 6" xfId="25817"/>
    <cellStyle name="常规 26 2 2 7" xfId="25818"/>
    <cellStyle name="常规 31 2 2 7" xfId="25819"/>
    <cellStyle name="常规 26 2 2 8" xfId="25820"/>
    <cellStyle name="常规 31 2 2 8" xfId="25821"/>
    <cellStyle name="常规 26 2 2 9" xfId="25822"/>
    <cellStyle name="常规 31 2 2 9" xfId="25823"/>
    <cellStyle name="汇总 2 4 2 9" xfId="25824"/>
    <cellStyle name="常规 26 3" xfId="25825"/>
    <cellStyle name="常规 31 3" xfId="25826"/>
    <cellStyle name="常规 26 3 2" xfId="25827"/>
    <cellStyle name="常规 31 3 2" xfId="25828"/>
    <cellStyle name="常规 26 3 3" xfId="25829"/>
    <cellStyle name="常规 31 3 3" xfId="25830"/>
    <cellStyle name="汇总 3 2 4 2 2" xfId="25831"/>
    <cellStyle name="常规 26 3 4" xfId="25832"/>
    <cellStyle name="常规 31 3 4" xfId="25833"/>
    <cellStyle name="常规 26 4" xfId="25834"/>
    <cellStyle name="常规 31 4" xfId="25835"/>
    <cellStyle name="常规 26 5" xfId="25836"/>
    <cellStyle name="常规 31 5" xfId="25837"/>
    <cellStyle name="常规 26 5 2" xfId="25838"/>
    <cellStyle name="常规 31 5 2" xfId="25839"/>
    <cellStyle name="常规 26 5 3" xfId="25840"/>
    <cellStyle name="常规 31 5 3" xfId="25841"/>
    <cellStyle name="常规 26 6" xfId="25842"/>
    <cellStyle name="常规 31 6" xfId="25843"/>
    <cellStyle name="常规 26 7" xfId="25844"/>
    <cellStyle name="常规 31 7" xfId="25845"/>
    <cellStyle name="常规 26 8" xfId="25846"/>
    <cellStyle name="常规 31 8" xfId="25847"/>
    <cellStyle name="常规 26 9" xfId="25848"/>
    <cellStyle name="常规 31 9" xfId="25849"/>
    <cellStyle name="常规 27" xfId="25850"/>
    <cellStyle name="常规 32" xfId="25851"/>
    <cellStyle name="常规 27 2" xfId="25852"/>
    <cellStyle name="常规 32 2" xfId="25853"/>
    <cellStyle name="常规 27 2 10" xfId="25854"/>
    <cellStyle name="常规 32 2 10" xfId="25855"/>
    <cellStyle name="常规 27 2 11" xfId="25856"/>
    <cellStyle name="常规 32 2 11" xfId="25857"/>
    <cellStyle name="常规 27 2 12" xfId="25858"/>
    <cellStyle name="常规 32 2 12" xfId="25859"/>
    <cellStyle name="常规 27 2 13" xfId="25860"/>
    <cellStyle name="常规 32 2 13" xfId="25861"/>
    <cellStyle name="常规 27 2 14" xfId="25862"/>
    <cellStyle name="常规 32 2 14" xfId="25863"/>
    <cellStyle name="常规 27 2 15" xfId="25864"/>
    <cellStyle name="常规 32 2 15" xfId="25865"/>
    <cellStyle name="常规 27 2 16" xfId="25866"/>
    <cellStyle name="常规 32 2 16" xfId="25867"/>
    <cellStyle name="常规 27 2 17" xfId="25868"/>
    <cellStyle name="常规 32 2 17" xfId="25869"/>
    <cellStyle name="常规 27 2 18" xfId="25870"/>
    <cellStyle name="常规 32 2 18" xfId="25871"/>
    <cellStyle name="常规 27 2 19" xfId="25872"/>
    <cellStyle name="常规 32 2 19" xfId="25873"/>
    <cellStyle name="计算 3 3 2 10" xfId="25874"/>
    <cellStyle name="常规 27 2 2" xfId="25875"/>
    <cellStyle name="常规 32 2 2" xfId="25876"/>
    <cellStyle name="常规 27 2 2 10" xfId="25877"/>
    <cellStyle name="常规 32 2 2 10" xfId="25878"/>
    <cellStyle name="常规 27 2 2 11" xfId="25879"/>
    <cellStyle name="常规 32 2 2 11" xfId="25880"/>
    <cellStyle name="常规 27 2 2 12" xfId="25881"/>
    <cellStyle name="常规 32 2 2 12" xfId="25882"/>
    <cellStyle name="常规 27 2 2 13" xfId="25883"/>
    <cellStyle name="常规 32 2 2 13" xfId="25884"/>
    <cellStyle name="输出 3 4 11" xfId="25885"/>
    <cellStyle name="常规 27 2 2 3 2" xfId="25886"/>
    <cellStyle name="常规 32 2 2 3 2" xfId="25887"/>
    <cellStyle name="输出 3 4 12" xfId="25888"/>
    <cellStyle name="常规 27 2 2 3 3" xfId="25889"/>
    <cellStyle name="常规 32 2 2 3 3" xfId="25890"/>
    <cellStyle name="输出 3 8 5" xfId="25891"/>
    <cellStyle name="常规 27 2 2 8" xfId="25892"/>
    <cellStyle name="常规 32 2 2 8" xfId="25893"/>
    <cellStyle name="输出 3 8 6" xfId="25894"/>
    <cellStyle name="常规 27 2 2 9" xfId="25895"/>
    <cellStyle name="常规 32 2 2 9" xfId="25896"/>
    <cellStyle name="计算 3 3 2 11" xfId="25897"/>
    <cellStyle name="常规 27 2 3" xfId="25898"/>
    <cellStyle name="常规 32 2 3" xfId="25899"/>
    <cellStyle name="计算 3 3 2 12" xfId="25900"/>
    <cellStyle name="常规 27 2 4" xfId="25901"/>
    <cellStyle name="常规 32 2 4" xfId="25902"/>
    <cellStyle name="常规 27 2 4 2 2" xfId="25903"/>
    <cellStyle name="常规 32 2 4 2 2" xfId="25904"/>
    <cellStyle name="常规 27 2 4 2 3" xfId="25905"/>
    <cellStyle name="常规 32 2 4 2 3" xfId="25906"/>
    <cellStyle name="计算 3 3 2 13" xfId="25907"/>
    <cellStyle name="常规 27 2 5" xfId="25908"/>
    <cellStyle name="常规 32 2 5" xfId="25909"/>
    <cellStyle name="常规 27 3" xfId="25910"/>
    <cellStyle name="常规 32 3" xfId="25911"/>
    <cellStyle name="常规 27 3 11" xfId="25912"/>
    <cellStyle name="常规 32 3 11" xfId="25913"/>
    <cellStyle name="常规 27 3 12" xfId="25914"/>
    <cellStyle name="常规 32 3 12" xfId="25915"/>
    <cellStyle name="常规 27 3 13" xfId="25916"/>
    <cellStyle name="常规 32 3 13" xfId="25917"/>
    <cellStyle name="常规 27 3 14" xfId="25918"/>
    <cellStyle name="常规 32 3 14" xfId="25919"/>
    <cellStyle name="常规 27 3 15" xfId="25920"/>
    <cellStyle name="常规 32 3 15" xfId="25921"/>
    <cellStyle name="常规 27 3 16" xfId="25922"/>
    <cellStyle name="常规 32 3 16" xfId="25923"/>
    <cellStyle name="常规 27 3 17" xfId="25924"/>
    <cellStyle name="常规 32 3 17" xfId="25925"/>
    <cellStyle name="常规 27 3 18" xfId="25926"/>
    <cellStyle name="常规 32 3 18" xfId="25927"/>
    <cellStyle name="常规 27 3 2" xfId="25928"/>
    <cellStyle name="常规 32 3 2" xfId="25929"/>
    <cellStyle name="常规 27 3 3" xfId="25930"/>
    <cellStyle name="常规 32 3 3" xfId="25931"/>
    <cellStyle name="常规 27 3 3 2" xfId="25932"/>
    <cellStyle name="常规 32 3 3 2" xfId="25933"/>
    <cellStyle name="汇总 2 2 7 15" xfId="25934"/>
    <cellStyle name="常规 27 3 3 2 2" xfId="25935"/>
    <cellStyle name="常规 32 3 3 2 2" xfId="25936"/>
    <cellStyle name="汇总 2 2 7 16" xfId="25937"/>
    <cellStyle name="常规 27 3 3 2 3" xfId="25938"/>
    <cellStyle name="常规 32 3 3 2 3" xfId="25939"/>
    <cellStyle name="常规 27 3 3 3" xfId="25940"/>
    <cellStyle name="常规 32 3 3 3" xfId="25941"/>
    <cellStyle name="汇总 3 2 5 2 2" xfId="25942"/>
    <cellStyle name="常规 27 3 4" xfId="25943"/>
    <cellStyle name="常规 32 3 4" xfId="25944"/>
    <cellStyle name="汇总 3 2 5 2 3" xfId="25945"/>
    <cellStyle name="常规 27 3 5" xfId="25946"/>
    <cellStyle name="常规 32 3 5" xfId="25947"/>
    <cellStyle name="汇总 3 2 5 2 4" xfId="25948"/>
    <cellStyle name="常规 27 3 6" xfId="25949"/>
    <cellStyle name="常规 32 3 6" xfId="25950"/>
    <cellStyle name="汇总 3 2 5 2 5" xfId="25951"/>
    <cellStyle name="常规 27 3 7" xfId="25952"/>
    <cellStyle name="常规 32 3 7" xfId="25953"/>
    <cellStyle name="常规 96 2 4 2 2" xfId="25954"/>
    <cellStyle name="常规 27 4" xfId="25955"/>
    <cellStyle name="常规 32 4" xfId="25956"/>
    <cellStyle name="常规 96 2 4 2 3" xfId="25957"/>
    <cellStyle name="常规 27 5" xfId="25958"/>
    <cellStyle name="常规 32 5" xfId="25959"/>
    <cellStyle name="常规 27 5 3" xfId="25960"/>
    <cellStyle name="常规 32 5 3" xfId="25961"/>
    <cellStyle name="汇总 2 4 14" xfId="25962"/>
    <cellStyle name="常规 27 6" xfId="25963"/>
    <cellStyle name="常规 32 6" xfId="25964"/>
    <cellStyle name="常规 27 7" xfId="25965"/>
    <cellStyle name="常规 32 7" xfId="25966"/>
    <cellStyle name="常规 8 5 2 2" xfId="25967"/>
    <cellStyle name="注释 2 2 10 2" xfId="25968"/>
    <cellStyle name="常规 27 8" xfId="25969"/>
    <cellStyle name="常规 32 8" xfId="25970"/>
    <cellStyle name="常规 8 5 2 3" xfId="25971"/>
    <cellStyle name="注释 2 2 10 3" xfId="25972"/>
    <cellStyle name="常规 27 9" xfId="25973"/>
    <cellStyle name="常规 32 9" xfId="25974"/>
    <cellStyle name="常规 28" xfId="25975"/>
    <cellStyle name="常规 33" xfId="25976"/>
    <cellStyle name="常规 28 16" xfId="25977"/>
    <cellStyle name="常规 28 21" xfId="25978"/>
    <cellStyle name="常规 33 16" xfId="25979"/>
    <cellStyle name="常规 33 21" xfId="25980"/>
    <cellStyle name="常规 28 17" xfId="25981"/>
    <cellStyle name="常规 28 22" xfId="25982"/>
    <cellStyle name="常规 33 17" xfId="25983"/>
    <cellStyle name="常规 33 22" xfId="25984"/>
    <cellStyle name="常规 28 18" xfId="25985"/>
    <cellStyle name="常规 28 23" xfId="25986"/>
    <cellStyle name="常规 33 18" xfId="25987"/>
    <cellStyle name="常规 33 23" xfId="25988"/>
    <cellStyle name="常规 28 19" xfId="25989"/>
    <cellStyle name="常规 33 19" xfId="25990"/>
    <cellStyle name="常规 45 2 4 2" xfId="25991"/>
    <cellStyle name="常规 50 2 4 2" xfId="25992"/>
    <cellStyle name="常规 28 2 10" xfId="25993"/>
    <cellStyle name="常规 33 2 10" xfId="25994"/>
    <cellStyle name="常规 45 2 4 3" xfId="25995"/>
    <cellStyle name="常规 50 2 4 3" xfId="25996"/>
    <cellStyle name="常规 28 2 11" xfId="25997"/>
    <cellStyle name="常规 33 2 11" xfId="25998"/>
    <cellStyle name="常规 28 2 12" xfId="25999"/>
    <cellStyle name="常规 33 2 12" xfId="26000"/>
    <cellStyle name="常规 28 2 13" xfId="26001"/>
    <cellStyle name="常规 33 2 13" xfId="26002"/>
    <cellStyle name="常规 28 2 14" xfId="26003"/>
    <cellStyle name="常规 33 2 14" xfId="26004"/>
    <cellStyle name="常规 28 2 15" xfId="26005"/>
    <cellStyle name="常规 33 2 15" xfId="26006"/>
    <cellStyle name="常规 28 2 16" xfId="26007"/>
    <cellStyle name="常规 33 2 16" xfId="26008"/>
    <cellStyle name="常规 28 2 17" xfId="26009"/>
    <cellStyle name="常规 33 2 17" xfId="26010"/>
    <cellStyle name="常规 28 2 18" xfId="26011"/>
    <cellStyle name="常规 33 2 18" xfId="26012"/>
    <cellStyle name="常规 28 2 2 16" xfId="26013"/>
    <cellStyle name="计算 3 2 11 2 8" xfId="26014"/>
    <cellStyle name="汇总 3 9 16" xfId="26015"/>
    <cellStyle name="常规 28 2 2 17" xfId="26016"/>
    <cellStyle name="计算 3 2 11 2 9" xfId="26017"/>
    <cellStyle name="汇总 3 9 17" xfId="26018"/>
    <cellStyle name="汇总 3 9 18" xfId="26019"/>
    <cellStyle name="常规 28 2 2 18" xfId="26020"/>
    <cellStyle name="汇总 3 9 4" xfId="26021"/>
    <cellStyle name="常规 28 2 2 4" xfId="26022"/>
    <cellStyle name="汇总 3 9 5" xfId="26023"/>
    <cellStyle name="常规 28 2 2 5" xfId="26024"/>
    <cellStyle name="汇总 3 9 6" xfId="26025"/>
    <cellStyle name="常规 28 2 2 6" xfId="26026"/>
    <cellStyle name="汇总 3 9 7" xfId="26027"/>
    <cellStyle name="常规 28 2 2 7" xfId="26028"/>
    <cellStyle name="汇总 3 9 8" xfId="26029"/>
    <cellStyle name="常规 28 2 2 8" xfId="26030"/>
    <cellStyle name="汇总 3 9 9" xfId="26031"/>
    <cellStyle name="常规 28 2 2 9" xfId="26032"/>
    <cellStyle name="常规 28 2 7" xfId="26033"/>
    <cellStyle name="常规 33 2 7" xfId="26034"/>
    <cellStyle name="常规 28 3 10" xfId="26035"/>
    <cellStyle name="常规 33 3 10" xfId="26036"/>
    <cellStyle name="常规 28 3 11" xfId="26037"/>
    <cellStyle name="常规 33 3 11" xfId="26038"/>
    <cellStyle name="常规 28 3 12" xfId="26039"/>
    <cellStyle name="常规 33 3 12" xfId="26040"/>
    <cellStyle name="常规 28 3 15" xfId="26041"/>
    <cellStyle name="常规 33 3 15" xfId="26042"/>
    <cellStyle name="常规 28 3 16" xfId="26043"/>
    <cellStyle name="常规 33 3 16" xfId="26044"/>
    <cellStyle name="常规 28 3 17" xfId="26045"/>
    <cellStyle name="常规 33 3 17" xfId="26046"/>
    <cellStyle name="常规 28 3 18" xfId="26047"/>
    <cellStyle name="常规 33 3 18" xfId="26048"/>
    <cellStyle name="汇总 4 9" xfId="26049"/>
    <cellStyle name="常规 28 3 2" xfId="26050"/>
    <cellStyle name="常规 33 3 2" xfId="26051"/>
    <cellStyle name="常规 28 3 3" xfId="26052"/>
    <cellStyle name="常规 33 3 3" xfId="26053"/>
    <cellStyle name="常规 28 3 3 2" xfId="26054"/>
    <cellStyle name="常规 33 3 3 2" xfId="26055"/>
    <cellStyle name="计算 2 3 2 2 3" xfId="26056"/>
    <cellStyle name="常规 28 3 3 2 2" xfId="26057"/>
    <cellStyle name="常规 33 3 3 2 2" xfId="26058"/>
    <cellStyle name="计算 2 3 2 2 4" xfId="26059"/>
    <cellStyle name="常规 28 3 3 2 3" xfId="26060"/>
    <cellStyle name="常规 33 3 3 2 3" xfId="26061"/>
    <cellStyle name="常规 28 3 3 3" xfId="26062"/>
    <cellStyle name="常规 33 3 3 3" xfId="26063"/>
    <cellStyle name="汇总 3 2 6 2 2" xfId="26064"/>
    <cellStyle name="常规 28 3 4" xfId="26065"/>
    <cellStyle name="常规 33 3 4" xfId="26066"/>
    <cellStyle name="汇总 3 2 6 2 3" xfId="26067"/>
    <cellStyle name="常规 28 3 5" xfId="26068"/>
    <cellStyle name="常规 33 3 5" xfId="26069"/>
    <cellStyle name="汇总 3 2 6 2 4" xfId="26070"/>
    <cellStyle name="常规 28 3 6" xfId="26071"/>
    <cellStyle name="常规 33 3 6" xfId="26072"/>
    <cellStyle name="汇总 3 2 6 2 5" xfId="26073"/>
    <cellStyle name="常规 28 3 7" xfId="26074"/>
    <cellStyle name="常规 33 3 7" xfId="26075"/>
    <cellStyle name="汇总 3 2 6 2 6" xfId="26076"/>
    <cellStyle name="常规 28 3 8" xfId="26077"/>
    <cellStyle name="常规 33 3 8" xfId="26078"/>
    <cellStyle name="汇总 3 2 6 2 7" xfId="26079"/>
    <cellStyle name="常规 28 3 9" xfId="26080"/>
    <cellStyle name="常规 33 3 9" xfId="26081"/>
    <cellStyle name="常规 28 5 2" xfId="26082"/>
    <cellStyle name="常规 33 5 2" xfId="26083"/>
    <cellStyle name="汇总 2 9 13" xfId="26084"/>
    <cellStyle name="常规 28 5 3" xfId="26085"/>
    <cellStyle name="常规 33 5 3" xfId="26086"/>
    <cellStyle name="汇总 2 9 14" xfId="26087"/>
    <cellStyle name="注释 2 2 11 2" xfId="26088"/>
    <cellStyle name="常规 28 8" xfId="26089"/>
    <cellStyle name="常规 33 8" xfId="26090"/>
    <cellStyle name="注释 2 2 11 3" xfId="26091"/>
    <cellStyle name="输出 2 3 5 2 2" xfId="26092"/>
    <cellStyle name="常规 28 9" xfId="26093"/>
    <cellStyle name="常规 33 9" xfId="26094"/>
    <cellStyle name="常规 29" xfId="26095"/>
    <cellStyle name="常规 34" xfId="26096"/>
    <cellStyle name="常规 29 16" xfId="26097"/>
    <cellStyle name="常规 29 21" xfId="26098"/>
    <cellStyle name="常规 34 16" xfId="26099"/>
    <cellStyle name="常规 34 21" xfId="26100"/>
    <cellStyle name="常规 29 17" xfId="26101"/>
    <cellStyle name="常规 29 22" xfId="26102"/>
    <cellStyle name="常规 34 17" xfId="26103"/>
    <cellStyle name="常规 34 22" xfId="26104"/>
    <cellStyle name="常规 29 18" xfId="26105"/>
    <cellStyle name="常规 29 23" xfId="26106"/>
    <cellStyle name="常规 34 18" xfId="26107"/>
    <cellStyle name="常规 34 23" xfId="26108"/>
    <cellStyle name="常规 29 19" xfId="26109"/>
    <cellStyle name="常规 34 19" xfId="26110"/>
    <cellStyle name="常规 29 2 14" xfId="26111"/>
    <cellStyle name="常规 34 2 14" xfId="26112"/>
    <cellStyle name="常规 29 2 15" xfId="26113"/>
    <cellStyle name="常规 34 2 15" xfId="26114"/>
    <cellStyle name="常规 29 2 16" xfId="26115"/>
    <cellStyle name="常规 34 2 16" xfId="26116"/>
    <cellStyle name="常规 29 2 17" xfId="26117"/>
    <cellStyle name="常规 34 2 17" xfId="26118"/>
    <cellStyle name="常规 29 2 18" xfId="26119"/>
    <cellStyle name="常规 34 2 18" xfId="26120"/>
    <cellStyle name="常规 29 2 19" xfId="26121"/>
    <cellStyle name="常规 29 2 2" xfId="26122"/>
    <cellStyle name="常规 34 2 2" xfId="26123"/>
    <cellStyle name="输入 3 8 2 3" xfId="26124"/>
    <cellStyle name="常规 29 2 2 10" xfId="26125"/>
    <cellStyle name="输入 3 8 2 4" xfId="26126"/>
    <cellStyle name="常规 29 2 2 11" xfId="26127"/>
    <cellStyle name="输入 3 8 2 5" xfId="26128"/>
    <cellStyle name="常规 29 2 2 12" xfId="26129"/>
    <cellStyle name="输入 3 8 2 6" xfId="26130"/>
    <cellStyle name="常规 29 2 2 13" xfId="26131"/>
    <cellStyle name="输入 3 8 2 7" xfId="26132"/>
    <cellStyle name="常规 29 2 2 14" xfId="26133"/>
    <cellStyle name="输入 3 8 2 8" xfId="26134"/>
    <cellStyle name="常规 29 2 2 15" xfId="26135"/>
    <cellStyle name="常规 29 2 2 17" xfId="26136"/>
    <cellStyle name="常规 29 2 2 18" xfId="26137"/>
    <cellStyle name="常规 29 2 2 2" xfId="26138"/>
    <cellStyle name="汇总 2 3 2 10" xfId="26139"/>
    <cellStyle name="常规 29 2 2 3" xfId="26140"/>
    <cellStyle name="常规 29 2 2 3 2" xfId="26141"/>
    <cellStyle name="常规 29 2 2 3 2 2" xfId="26142"/>
    <cellStyle name="常规 29 2 2 3 2 3" xfId="26143"/>
    <cellStyle name="常规 29 2 2 3 3" xfId="26144"/>
    <cellStyle name="汇总 2 3 2 11" xfId="26145"/>
    <cellStyle name="常规 29 2 2 4" xfId="26146"/>
    <cellStyle name="汇总 2 3 2 12" xfId="26147"/>
    <cellStyle name="常规 29 2 2 5" xfId="26148"/>
    <cellStyle name="汇总 2 3 2 13" xfId="26149"/>
    <cellStyle name="常规 29 2 2 6" xfId="26150"/>
    <cellStyle name="汇总 2 3 2 14" xfId="26151"/>
    <cellStyle name="常规 29 2 2 7" xfId="26152"/>
    <cellStyle name="汇总 2 3 2 15" xfId="26153"/>
    <cellStyle name="常规 29 2 2 8" xfId="26154"/>
    <cellStyle name="汇总 2 3 2 16" xfId="26155"/>
    <cellStyle name="常规 29 2 2 9" xfId="26156"/>
    <cellStyle name="常规 29 2 3" xfId="26157"/>
    <cellStyle name="常规 34 2 3" xfId="26158"/>
    <cellStyle name="商品名称 8 2 2" xfId="26159"/>
    <cellStyle name="常规 29 2 4" xfId="26160"/>
    <cellStyle name="常规 34 2 4" xfId="26161"/>
    <cellStyle name="常规 29 2 4 2" xfId="26162"/>
    <cellStyle name="计算 3 2 3 2 3" xfId="26163"/>
    <cellStyle name="汇总 3 2 7 12" xfId="26164"/>
    <cellStyle name="常规 29 2 4 2 2" xfId="26165"/>
    <cellStyle name="计算 3 2 3 2 4" xfId="26166"/>
    <cellStyle name="汇总 3 2 7 13" xfId="26167"/>
    <cellStyle name="常规 29 2 4 2 3" xfId="26168"/>
    <cellStyle name="常规 29 2 4 3" xfId="26169"/>
    <cellStyle name="常规 29 2 5" xfId="26170"/>
    <cellStyle name="常规 34 2 5" xfId="26171"/>
    <cellStyle name="常规 29 2 6" xfId="26172"/>
    <cellStyle name="常规 34 2 6" xfId="26173"/>
    <cellStyle name="常规 29 2 7" xfId="26174"/>
    <cellStyle name="常规 34 2 7" xfId="26175"/>
    <cellStyle name="常规 29 2 8" xfId="26176"/>
    <cellStyle name="常规 34 2 8" xfId="26177"/>
    <cellStyle name="常规 29 2 9" xfId="26178"/>
    <cellStyle name="常规 34 2 9" xfId="26179"/>
    <cellStyle name="常规 29 3 17" xfId="26180"/>
    <cellStyle name="常规 34 3 17" xfId="26181"/>
    <cellStyle name="常规 29 3 18" xfId="26182"/>
    <cellStyle name="常规 34 3 18" xfId="26183"/>
    <cellStyle name="常规 29 3 2" xfId="26184"/>
    <cellStyle name="常规 34 3 2" xfId="26185"/>
    <cellStyle name="常规 29 3 3" xfId="26186"/>
    <cellStyle name="常规 34 3 3" xfId="26187"/>
    <cellStyle name="常规 29 3 3 2" xfId="26188"/>
    <cellStyle name="常规 34 3 3 2" xfId="26189"/>
    <cellStyle name="计算 3 3 2 2 3" xfId="26190"/>
    <cellStyle name="汇总 3 7 2 12" xfId="26191"/>
    <cellStyle name="常规 29 3 3 2 2" xfId="26192"/>
    <cellStyle name="常规 34 3 3 2 2" xfId="26193"/>
    <cellStyle name="计算 3 3 2 2 4" xfId="26194"/>
    <cellStyle name="计算 3 9 2" xfId="26195"/>
    <cellStyle name="常规 29 3 3 2 3" xfId="26196"/>
    <cellStyle name="常规 34 3 3 2 3" xfId="26197"/>
    <cellStyle name="常规 29 3 3 3" xfId="26198"/>
    <cellStyle name="常规 34 3 3 3" xfId="26199"/>
    <cellStyle name="汇总 3 2 7 2 2" xfId="26200"/>
    <cellStyle name="常规 29 3 4" xfId="26201"/>
    <cellStyle name="常规 34 3 4" xfId="26202"/>
    <cellStyle name="汇总 3 2 7 2 3" xfId="26203"/>
    <cellStyle name="常规 29 3 5" xfId="26204"/>
    <cellStyle name="常规 34 3 5" xfId="26205"/>
    <cellStyle name="常规 29 5 2" xfId="26206"/>
    <cellStyle name="常规 34 5 2" xfId="26207"/>
    <cellStyle name="常规 35 3 15" xfId="26208"/>
    <cellStyle name="常规 40 3 15" xfId="26209"/>
    <cellStyle name="常规 29 5 2 3" xfId="26210"/>
    <cellStyle name="常规 34 5 2 3" xfId="26211"/>
    <cellStyle name="注释 2 2 12 2" xfId="26212"/>
    <cellStyle name="常规 29 8" xfId="26213"/>
    <cellStyle name="常规 34 8" xfId="26214"/>
    <cellStyle name="注释 2 2 12 3" xfId="26215"/>
    <cellStyle name="常规 29 9" xfId="26216"/>
    <cellStyle name="常规 34 9" xfId="26217"/>
    <cellStyle name="常规 3" xfId="26218"/>
    <cellStyle name="常规 3 10" xfId="26219"/>
    <cellStyle name="常规 3 11" xfId="26220"/>
    <cellStyle name="常规 3 12" xfId="26221"/>
    <cellStyle name="常规 3 13" xfId="26222"/>
    <cellStyle name="常规 3 14" xfId="26223"/>
    <cellStyle name="常规 3 15" xfId="26224"/>
    <cellStyle name="常规 3 20" xfId="26225"/>
    <cellStyle name="常规 3 16" xfId="26226"/>
    <cellStyle name="常规 3 21" xfId="26227"/>
    <cellStyle name="常规 3 17" xfId="26228"/>
    <cellStyle name="常规 3 22" xfId="26229"/>
    <cellStyle name="常规 3 18" xfId="26230"/>
    <cellStyle name="常规 3 23" xfId="26231"/>
    <cellStyle name="常规 3 19" xfId="26232"/>
    <cellStyle name="汇总 3 7 2 7" xfId="26233"/>
    <cellStyle name="常规 3 2" xfId="26234"/>
    <cellStyle name="计算 2 2 5 2 3" xfId="26235"/>
    <cellStyle name="常规 3 2 10" xfId="26236"/>
    <cellStyle name="计算 2 2 5 2 4" xfId="26237"/>
    <cellStyle name="常规 3 2 11" xfId="26238"/>
    <cellStyle name="输出 3 3 4 13" xfId="26239"/>
    <cellStyle name="常规 3 2 2 13" xfId="26240"/>
    <cellStyle name="输出 3 3 4 14" xfId="26241"/>
    <cellStyle name="常规 3 2 2 14" xfId="26242"/>
    <cellStyle name="输出 3 3 4 15" xfId="26243"/>
    <cellStyle name="输出 3 3 4 20" xfId="26244"/>
    <cellStyle name="常规 3 2 2 15" xfId="26245"/>
    <cellStyle name="输出 3 3 4 16" xfId="26246"/>
    <cellStyle name="输出 3 3 4 21" xfId="26247"/>
    <cellStyle name="常规 3 2 2 16" xfId="26248"/>
    <cellStyle name="输出 3 3 4 2" xfId="26249"/>
    <cellStyle name="常规 3 2 2 2" xfId="26250"/>
    <cellStyle name="输出 3 3 4 3" xfId="26251"/>
    <cellStyle name="常规 3 2 2 3" xfId="26252"/>
    <cellStyle name="输出 3 3 4 3 2" xfId="26253"/>
    <cellStyle name="常规 3 2 2 3 2" xfId="26254"/>
    <cellStyle name="输出 3 3 4 3 2 2" xfId="26255"/>
    <cellStyle name="常规 3 2 2 3 2 2" xfId="26256"/>
    <cellStyle name="输出 3 3 4 3 2 3" xfId="26257"/>
    <cellStyle name="常规 3 2 2 3 2 3" xfId="26258"/>
    <cellStyle name="输出 3 3 4 3 3" xfId="26259"/>
    <cellStyle name="常规 3 2 2 3 3" xfId="26260"/>
    <cellStyle name="输出 3 3 4 4" xfId="26261"/>
    <cellStyle name="常规 3 2 2 4" xfId="26262"/>
    <cellStyle name="输出 3 3 4 5" xfId="26263"/>
    <cellStyle name="常规 3 2 2 5" xfId="26264"/>
    <cellStyle name="输出 3 3 4 6" xfId="26265"/>
    <cellStyle name="常规 3 2 2 6" xfId="26266"/>
    <cellStyle name="输出 3 3 4 7" xfId="26267"/>
    <cellStyle name="常规 3 2 2 7" xfId="26268"/>
    <cellStyle name="输出 3 3 4 8" xfId="26269"/>
    <cellStyle name="常规 3 2 2 8" xfId="26270"/>
    <cellStyle name="输出 3 3 4 9" xfId="26271"/>
    <cellStyle name="常规 3 2 2 9" xfId="26272"/>
    <cellStyle name="输出 2 2 12 2 10" xfId="26273"/>
    <cellStyle name="常规 46 2 2 5" xfId="26274"/>
    <cellStyle name="常规 51 2 2 5" xfId="26275"/>
    <cellStyle name="常规 3 2 4 2" xfId="26276"/>
    <cellStyle name="计算 3 5 2 2" xfId="26277"/>
    <cellStyle name="输出 2 2 12 2 11" xfId="26278"/>
    <cellStyle name="常规 46 2 2 6" xfId="26279"/>
    <cellStyle name="常规 51 2 2 6" xfId="26280"/>
    <cellStyle name="常规 3 2 4 3" xfId="26281"/>
    <cellStyle name="常规 65 2 4 2 3" xfId="26282"/>
    <cellStyle name="常规 70 2 4 2 3" xfId="26283"/>
    <cellStyle name="注释 2 3 3 2 11" xfId="26284"/>
    <cellStyle name="常规 3 2 9" xfId="26285"/>
    <cellStyle name="汇总 3 7 2 8" xfId="26286"/>
    <cellStyle name="常规 3 3" xfId="26287"/>
    <cellStyle name="常规 3 3 10" xfId="26288"/>
    <cellStyle name="常规 3 3 11" xfId="26289"/>
    <cellStyle name="常规 3 3 12" xfId="26290"/>
    <cellStyle name="常规 3 3 13" xfId="26291"/>
    <cellStyle name="常规 3 3 14" xfId="26292"/>
    <cellStyle name="常规 3 3 15" xfId="26293"/>
    <cellStyle name="常规 3 3 16" xfId="26294"/>
    <cellStyle name="常规 3 3 17" xfId="26295"/>
    <cellStyle name="常规 3 3 18" xfId="26296"/>
    <cellStyle name="常规 3 3 3 2" xfId="26297"/>
    <cellStyle name="常规 3 3 3 2 2" xfId="26298"/>
    <cellStyle name="常规 3 3 3 3" xfId="26299"/>
    <cellStyle name="输出 3 4 9" xfId="26300"/>
    <cellStyle name="常规 3 3 7" xfId="26301"/>
    <cellStyle name="常规 3 3 8" xfId="26302"/>
    <cellStyle name="常规 3 3 9" xfId="26303"/>
    <cellStyle name="汇总 3 7 2 9" xfId="26304"/>
    <cellStyle name="常规 3 4" xfId="26305"/>
    <cellStyle name="常规 3 5" xfId="26306"/>
    <cellStyle name="常规 89 3 3 2 3" xfId="26307"/>
    <cellStyle name="常规 94 3 3 2 3" xfId="26308"/>
    <cellStyle name="常规 3 5 2 2" xfId="26309"/>
    <cellStyle name="常规 3 5 2 3" xfId="26310"/>
    <cellStyle name="常规 3 6" xfId="26311"/>
    <cellStyle name="常规 3 7" xfId="26312"/>
    <cellStyle name="常规 3 8" xfId="26313"/>
    <cellStyle name="常规 3 9" xfId="26314"/>
    <cellStyle name="常规 33 2 3 2" xfId="26315"/>
    <cellStyle name="计算 2 2 2 2 3" xfId="26316"/>
    <cellStyle name="常规 33 2 3 2 2" xfId="26317"/>
    <cellStyle name="计算 2 2 2 2 4" xfId="26318"/>
    <cellStyle name="常规 33 2 3 2 3" xfId="26319"/>
    <cellStyle name="常规 33 2 3 3" xfId="26320"/>
    <cellStyle name="常规 34 2 3 2" xfId="26321"/>
    <cellStyle name="计算 3 2 2 2 3" xfId="26322"/>
    <cellStyle name="分级显示行_1_Book1" xfId="26323"/>
    <cellStyle name="汇总 3 2 2 12" xfId="26324"/>
    <cellStyle name="常规 34 2 3 2 2" xfId="26325"/>
    <cellStyle name="计算 3 2 2 2 4" xfId="26326"/>
    <cellStyle name="汇总 3 2 2 13" xfId="26327"/>
    <cellStyle name="常规 34 2 3 2 3" xfId="26328"/>
    <cellStyle name="常规 34 2 3 3" xfId="26329"/>
    <cellStyle name="常规 35" xfId="26330"/>
    <cellStyle name="常规 40" xfId="26331"/>
    <cellStyle name="常规 35 16" xfId="26332"/>
    <cellStyle name="常规 35 21" xfId="26333"/>
    <cellStyle name="常规 40 16" xfId="26334"/>
    <cellStyle name="常规 40 21" xfId="26335"/>
    <cellStyle name="常规 68 2 7" xfId="26336"/>
    <cellStyle name="常规 73 2 7" xfId="26337"/>
    <cellStyle name="常规 35 17" xfId="26338"/>
    <cellStyle name="常规 35 22" xfId="26339"/>
    <cellStyle name="常规 40 17" xfId="26340"/>
    <cellStyle name="常规 40 22" xfId="26341"/>
    <cellStyle name="常规 68 2 8" xfId="26342"/>
    <cellStyle name="常规 73 2 8" xfId="26343"/>
    <cellStyle name="常规 35 18" xfId="26344"/>
    <cellStyle name="常规 35 23" xfId="26345"/>
    <cellStyle name="常规 40 18" xfId="26346"/>
    <cellStyle name="常规 40 23" xfId="26347"/>
    <cellStyle name="常规 68 2 9" xfId="26348"/>
    <cellStyle name="常规 73 2 9" xfId="26349"/>
    <cellStyle name="常规 35 19" xfId="26350"/>
    <cellStyle name="常规 40 19" xfId="26351"/>
    <cellStyle name="常规 35 2" xfId="26352"/>
    <cellStyle name="常规 40 2" xfId="26353"/>
    <cellStyle name="常规 35 2 10" xfId="26354"/>
    <cellStyle name="常规 40 2 10" xfId="26355"/>
    <cellStyle name="汇总 3 3 3 3 2 3" xfId="26356"/>
    <cellStyle name="常规 35 2 11" xfId="26357"/>
    <cellStyle name="常规 40 2 11" xfId="26358"/>
    <cellStyle name="常规 35 2 12" xfId="26359"/>
    <cellStyle name="常规 40 2 12" xfId="26360"/>
    <cellStyle name="常规 35 2 13" xfId="26361"/>
    <cellStyle name="常规 40 2 13" xfId="26362"/>
    <cellStyle name="常规 35 2 14" xfId="26363"/>
    <cellStyle name="常规 40 2 14" xfId="26364"/>
    <cellStyle name="常规 35 2 15" xfId="26365"/>
    <cellStyle name="常规 40 2 15" xfId="26366"/>
    <cellStyle name="常规 35 2 16" xfId="26367"/>
    <cellStyle name="常规 40 2 16" xfId="26368"/>
    <cellStyle name="常规 35 2 17" xfId="26369"/>
    <cellStyle name="常规 40 2 17" xfId="26370"/>
    <cellStyle name="常规 35 2 18" xfId="26371"/>
    <cellStyle name="常规 40 2 18" xfId="26372"/>
    <cellStyle name="常规 35 2 3 2" xfId="26373"/>
    <cellStyle name="常规 40 2 3 2" xfId="26374"/>
    <cellStyle name="常规 35 2 3 2 2" xfId="26375"/>
    <cellStyle name="常规 40 2 3 2 2" xfId="26376"/>
    <cellStyle name="常规 35 2 3 2 3" xfId="26377"/>
    <cellStyle name="常规 40 2 3 2 3" xfId="26378"/>
    <cellStyle name="汇总 2 2 11 14" xfId="26379"/>
    <cellStyle name="常规 49 2 2 4" xfId="26380"/>
    <cellStyle name="常规 54 2 2 4" xfId="26381"/>
    <cellStyle name="常规 35 2 7" xfId="26382"/>
    <cellStyle name="常规 40 2 7" xfId="26383"/>
    <cellStyle name="汇总 2 2 11 15" xfId="26384"/>
    <cellStyle name="常规 6 2 4 2" xfId="26385"/>
    <cellStyle name="常规 49 2 2 5" xfId="26386"/>
    <cellStyle name="常规 54 2 2 5" xfId="26387"/>
    <cellStyle name="常规 35 2 8" xfId="26388"/>
    <cellStyle name="常规 40 2 8" xfId="26389"/>
    <cellStyle name="常规 35 3" xfId="26390"/>
    <cellStyle name="常规 40 3" xfId="26391"/>
    <cellStyle name="常规 35 3 16" xfId="26392"/>
    <cellStyle name="常规 40 3 16" xfId="26393"/>
    <cellStyle name="常规 35 3 17" xfId="26394"/>
    <cellStyle name="常规 40 3 17" xfId="26395"/>
    <cellStyle name="常规 35 3 18" xfId="26396"/>
    <cellStyle name="常规 40 3 18" xfId="26397"/>
    <cellStyle name="常规 35 3 3 2" xfId="26398"/>
    <cellStyle name="常规 40 3 3 2" xfId="26399"/>
    <cellStyle name="常规 35 3 3 2 2" xfId="26400"/>
    <cellStyle name="常规 40 3 3 2 2" xfId="26401"/>
    <cellStyle name="常规 35 3 3 2 3" xfId="26402"/>
    <cellStyle name="常规 40 3 3 2 3" xfId="26403"/>
    <cellStyle name="常规 35 3 3 3" xfId="26404"/>
    <cellStyle name="常规 40 3 3 3" xfId="26405"/>
    <cellStyle name="汇总 3 2 8 2 3" xfId="26406"/>
    <cellStyle name="常规 35 3 5" xfId="26407"/>
    <cellStyle name="常规 40 3 5" xfId="26408"/>
    <cellStyle name="汇总 3 2 8 2 4" xfId="26409"/>
    <cellStyle name="常规 35 3 6" xfId="26410"/>
    <cellStyle name="常规 40 3 6" xfId="26411"/>
    <cellStyle name="汇总 3 2 8 2 5" xfId="26412"/>
    <cellStyle name="常规 35 3 7" xfId="26413"/>
    <cellStyle name="常规 40 3 7" xfId="26414"/>
    <cellStyle name="汇总 3 2 8 2 6" xfId="26415"/>
    <cellStyle name="常规 35 3 8" xfId="26416"/>
    <cellStyle name="常规 40 3 8" xfId="26417"/>
    <cellStyle name="常规 35 4" xfId="26418"/>
    <cellStyle name="常规 40 4" xfId="26419"/>
    <cellStyle name="常规 35 5" xfId="26420"/>
    <cellStyle name="常规 40 5" xfId="26421"/>
    <cellStyle name="常规 45 3 15" xfId="26422"/>
    <cellStyle name="常规 50 3 15" xfId="26423"/>
    <cellStyle name="常规 35 5 2 3" xfId="26424"/>
    <cellStyle name="常规 40 5 2 3" xfId="26425"/>
    <cellStyle name="常规 36" xfId="26426"/>
    <cellStyle name="常规 41" xfId="26427"/>
    <cellStyle name="常规 36 19" xfId="26428"/>
    <cellStyle name="常规 41 19" xfId="26429"/>
    <cellStyle name="常规 36 2" xfId="26430"/>
    <cellStyle name="常规 41 2" xfId="26431"/>
    <cellStyle name="常规 36 3" xfId="26432"/>
    <cellStyle name="常规 41 3" xfId="26433"/>
    <cellStyle name="常规 59 2 2 4" xfId="26434"/>
    <cellStyle name="常规 64 2 2 4" xfId="26435"/>
    <cellStyle name="常规 36 3 15" xfId="26436"/>
    <cellStyle name="常规 41 3 15" xfId="26437"/>
    <cellStyle name="常规 59 2 2 5" xfId="26438"/>
    <cellStyle name="常规 64 2 2 5" xfId="26439"/>
    <cellStyle name="常规 36 3 16" xfId="26440"/>
    <cellStyle name="常规 41 3 16" xfId="26441"/>
    <cellStyle name="常规 59 2 2 6" xfId="26442"/>
    <cellStyle name="常规 64 2 2 6" xfId="26443"/>
    <cellStyle name="常规 36 3 17" xfId="26444"/>
    <cellStyle name="常规 41 3 17" xfId="26445"/>
    <cellStyle name="常规 59 2 2 7" xfId="26446"/>
    <cellStyle name="常规 64 2 2 7" xfId="26447"/>
    <cellStyle name="常规 36 3 18" xfId="26448"/>
    <cellStyle name="常规 41 3 18" xfId="26449"/>
    <cellStyle name="常规 36 3 3 2" xfId="26450"/>
    <cellStyle name="常规 41 3 3 2" xfId="26451"/>
    <cellStyle name="常规 36 3 3 3" xfId="26452"/>
    <cellStyle name="常规 41 3 3 3" xfId="26453"/>
    <cellStyle name="汇总 3 2 9 2 3" xfId="26454"/>
    <cellStyle name="常规 49 3 3 2" xfId="26455"/>
    <cellStyle name="常规 54 3 3 2" xfId="26456"/>
    <cellStyle name="常规 36 3 5" xfId="26457"/>
    <cellStyle name="常规 41 3 5" xfId="26458"/>
    <cellStyle name="汇总 3 2 9 2 4" xfId="26459"/>
    <cellStyle name="常规 49 3 3 3" xfId="26460"/>
    <cellStyle name="常规 54 3 3 3" xfId="26461"/>
    <cellStyle name="常规 36 3 6" xfId="26462"/>
    <cellStyle name="常规 41 3 6" xfId="26463"/>
    <cellStyle name="汇总 3 2 9 2 5" xfId="26464"/>
    <cellStyle name="常规 36 3 7" xfId="26465"/>
    <cellStyle name="常规 41 3 7" xfId="26466"/>
    <cellStyle name="输出 2 6 2 10" xfId="26467"/>
    <cellStyle name="汇总 3 2 9 2 6" xfId="26468"/>
    <cellStyle name="常规 36 3 8" xfId="26469"/>
    <cellStyle name="常规 41 3 8" xfId="26470"/>
    <cellStyle name="输出 2 6 2 11" xfId="26471"/>
    <cellStyle name="汇总 3 2 9 2 7" xfId="26472"/>
    <cellStyle name="常规 56 2" xfId="26473"/>
    <cellStyle name="常规 61 2" xfId="26474"/>
    <cellStyle name="常规 36 3 9" xfId="26475"/>
    <cellStyle name="常规 41 3 9" xfId="26476"/>
    <cellStyle name="常规 36 4" xfId="26477"/>
    <cellStyle name="常规 41 4" xfId="26478"/>
    <cellStyle name="常规 36 5" xfId="26479"/>
    <cellStyle name="常规 41 5" xfId="26480"/>
    <cellStyle name="常规 36 6" xfId="26481"/>
    <cellStyle name="常规 41 6" xfId="26482"/>
    <cellStyle name="常规 36 9" xfId="26483"/>
    <cellStyle name="常规 41 9" xfId="26484"/>
    <cellStyle name="输入 3 2 6 2 3" xfId="26485"/>
    <cellStyle name="常规 37 2" xfId="26486"/>
    <cellStyle name="常规 42 2" xfId="26487"/>
    <cellStyle name="常规 37 2 10" xfId="26488"/>
    <cellStyle name="常规 42 2 10" xfId="26489"/>
    <cellStyle name="常规 37 2 11" xfId="26490"/>
    <cellStyle name="常规 42 2 11" xfId="26491"/>
    <cellStyle name="常规 37 2 12" xfId="26492"/>
    <cellStyle name="常规 42 2 12" xfId="26493"/>
    <cellStyle name="常规 37 2 13" xfId="26494"/>
    <cellStyle name="常规 42 2 13" xfId="26495"/>
    <cellStyle name="常规 37 2 14" xfId="26496"/>
    <cellStyle name="常规 42 2 14" xfId="26497"/>
    <cellStyle name="常规 37 2 15" xfId="26498"/>
    <cellStyle name="常规 42 2 15" xfId="26499"/>
    <cellStyle name="常规 37 2 16" xfId="26500"/>
    <cellStyle name="常规 42 2 16" xfId="26501"/>
    <cellStyle name="常规 37 2 17" xfId="26502"/>
    <cellStyle name="常规 42 2 17" xfId="26503"/>
    <cellStyle name="常规 37 2 18" xfId="26504"/>
    <cellStyle name="常规 42 2 18" xfId="26505"/>
    <cellStyle name="计算 2 2 5 9" xfId="26506"/>
    <cellStyle name="输出 3 2 6 15" xfId="26507"/>
    <cellStyle name="计算 3 4 2 10" xfId="26508"/>
    <cellStyle name="常规 37 2 2" xfId="26509"/>
    <cellStyle name="常规 42 2 2" xfId="26510"/>
    <cellStyle name="输出 3 2 6 16" xfId="26511"/>
    <cellStyle name="计算 3 4 2 11" xfId="26512"/>
    <cellStyle name="常规 37 2 3" xfId="26513"/>
    <cellStyle name="常规 42 2 3" xfId="26514"/>
    <cellStyle name="常规 37 2 3 2" xfId="26515"/>
    <cellStyle name="常规 37 2 3 3" xfId="26516"/>
    <cellStyle name="输出 3 2 6 17" xfId="26517"/>
    <cellStyle name="计算 3 4 2 12" xfId="26518"/>
    <cellStyle name="常规 37 2 4" xfId="26519"/>
    <cellStyle name="常规 42 2 4" xfId="26520"/>
    <cellStyle name="常规 37 2 5" xfId="26521"/>
    <cellStyle name="常规 42 2 5" xfId="26522"/>
    <cellStyle name="常规 37 2 6" xfId="26523"/>
    <cellStyle name="常规 42 2 6" xfId="26524"/>
    <cellStyle name="输入 3 2 6 2 4" xfId="26525"/>
    <cellStyle name="常规 37 3" xfId="26526"/>
    <cellStyle name="常规 42 3" xfId="26527"/>
    <cellStyle name="常规 37 3 15" xfId="26528"/>
    <cellStyle name="常规 42 3 15" xfId="26529"/>
    <cellStyle name="常规 37 3 16" xfId="26530"/>
    <cellStyle name="常规 42 3 16" xfId="26531"/>
    <cellStyle name="常规 37 3 17" xfId="26532"/>
    <cellStyle name="常规 42 3 17" xfId="26533"/>
    <cellStyle name="常规 37 3 18" xfId="26534"/>
    <cellStyle name="常规 42 3 18" xfId="26535"/>
    <cellStyle name="常规 37 3 5" xfId="26536"/>
    <cellStyle name="常规 42 3 5" xfId="26537"/>
    <cellStyle name="常规 37 3 6" xfId="26538"/>
    <cellStyle name="常规 42 3 6" xfId="26539"/>
    <cellStyle name="常规 37 3 7" xfId="26540"/>
    <cellStyle name="常规 42 3 7" xfId="26541"/>
    <cellStyle name="常规 37 3 8" xfId="26542"/>
    <cellStyle name="常规 42 3 8" xfId="26543"/>
    <cellStyle name="常规 37 3 9" xfId="26544"/>
    <cellStyle name="常规 42 3 9" xfId="26545"/>
    <cellStyle name="输入 3 2 6 2 5" xfId="26546"/>
    <cellStyle name="常规 37 4" xfId="26547"/>
    <cellStyle name="常规 42 4" xfId="26548"/>
    <cellStyle name="输入 3 2 6 2 6" xfId="26549"/>
    <cellStyle name="常规 37 5" xfId="26550"/>
    <cellStyle name="常规 42 5" xfId="26551"/>
    <cellStyle name="输入 3 2 6 2 7" xfId="26552"/>
    <cellStyle name="常规 37 6" xfId="26553"/>
    <cellStyle name="常规 42 6" xfId="26554"/>
    <cellStyle name="输入 3 2 6 2 8" xfId="26555"/>
    <cellStyle name="常规 37 7" xfId="26556"/>
    <cellStyle name="常规 42 7" xfId="26557"/>
    <cellStyle name="输入 3 2 6 2 9" xfId="26558"/>
    <cellStyle name="常规 37 8" xfId="26559"/>
    <cellStyle name="常规 42 8" xfId="26560"/>
    <cellStyle name="常规 37 9" xfId="26561"/>
    <cellStyle name="常规 42 9" xfId="26562"/>
    <cellStyle name="常规 38" xfId="26563"/>
    <cellStyle name="常规 43" xfId="26564"/>
    <cellStyle name="常规 38 2" xfId="26565"/>
    <cellStyle name="常规 43 2" xfId="26566"/>
    <cellStyle name="常规 38 2 17" xfId="26567"/>
    <cellStyle name="常规 43 2 17" xfId="26568"/>
    <cellStyle name="常规 38 2 18" xfId="26569"/>
    <cellStyle name="常规 43 2 18" xfId="26570"/>
    <cellStyle name="常规 38 2 19" xfId="26571"/>
    <cellStyle name="常规 43 2 19" xfId="26572"/>
    <cellStyle name="常规 38 2 2 10" xfId="26573"/>
    <cellStyle name="常规 43 2 2 10" xfId="26574"/>
    <cellStyle name="常规 38 2 2 11" xfId="26575"/>
    <cellStyle name="常规 43 2 2 11" xfId="26576"/>
    <cellStyle name="常规 38 2 2 12" xfId="26577"/>
    <cellStyle name="常规 43 2 2 12" xfId="26578"/>
    <cellStyle name="常规 38 2 2 13" xfId="26579"/>
    <cellStyle name="常规 43 2 2 13" xfId="26580"/>
    <cellStyle name="常规 38 2 2 14" xfId="26581"/>
    <cellStyle name="常规 43 2 2 14" xfId="26582"/>
    <cellStyle name="常规 38 2 2 15" xfId="26583"/>
    <cellStyle name="常规 43 2 2 15" xfId="26584"/>
    <cellStyle name="常规 38 2 2 16" xfId="26585"/>
    <cellStyle name="常规 43 2 2 16" xfId="26586"/>
    <cellStyle name="常规 38 2 2 17" xfId="26587"/>
    <cellStyle name="常规 43 2 2 17" xfId="26588"/>
    <cellStyle name="常规 38 2 2 2" xfId="26589"/>
    <cellStyle name="常规 43 2 2 2" xfId="26590"/>
    <cellStyle name="常规 38 2 2 3" xfId="26591"/>
    <cellStyle name="常规 43 2 2 3" xfId="26592"/>
    <cellStyle name="常规 38 2 2 4" xfId="26593"/>
    <cellStyle name="常规 43 2 2 4" xfId="26594"/>
    <cellStyle name="常规 38 2 2 5" xfId="26595"/>
    <cellStyle name="常规 43 2 2 5" xfId="26596"/>
    <cellStyle name="常规 38 2 2 6" xfId="26597"/>
    <cellStyle name="常规 43 2 2 6" xfId="26598"/>
    <cellStyle name="常规 38 2 2 7" xfId="26599"/>
    <cellStyle name="常规 43 2 2 7" xfId="26600"/>
    <cellStyle name="常规 38 2 2 8" xfId="26601"/>
    <cellStyle name="常规 43 2 2 8" xfId="26602"/>
    <cellStyle name="常规 38 2 2 9" xfId="26603"/>
    <cellStyle name="常规 43 2 2 9" xfId="26604"/>
    <cellStyle name="常规 38 3" xfId="26605"/>
    <cellStyle name="常规 43 3" xfId="26606"/>
    <cellStyle name="常规 38 3 15" xfId="26607"/>
    <cellStyle name="常规 43 3 15" xfId="26608"/>
    <cellStyle name="常规 38 3 16" xfId="26609"/>
    <cellStyle name="常规 43 3 16" xfId="26610"/>
    <cellStyle name="常规 38 3 17" xfId="26611"/>
    <cellStyle name="常规 43 3 17" xfId="26612"/>
    <cellStyle name="常规 38 3 18" xfId="26613"/>
    <cellStyle name="常规 43 3 18" xfId="26614"/>
    <cellStyle name="输出 3 9 2 6" xfId="26615"/>
    <cellStyle name="常规 38 3 3 2 2" xfId="26616"/>
    <cellStyle name="常规 43 3 3 2 2" xfId="26617"/>
    <cellStyle name="输出 3 9 2 7" xfId="26618"/>
    <cellStyle name="常规 38 3 3 2 3" xfId="26619"/>
    <cellStyle name="常规 43 3 3 2 3" xfId="26620"/>
    <cellStyle name="常规 38 3 5" xfId="26621"/>
    <cellStyle name="常规 43 3 5" xfId="26622"/>
    <cellStyle name="常规 38 4" xfId="26623"/>
    <cellStyle name="常规 43 4" xfId="26624"/>
    <cellStyle name="常规 38 5" xfId="26625"/>
    <cellStyle name="常规 43 5" xfId="26626"/>
    <cellStyle name="常规 75 3 14" xfId="26627"/>
    <cellStyle name="常规 80 3 14" xfId="26628"/>
    <cellStyle name="常规 38 5 2 2" xfId="26629"/>
    <cellStyle name="常规 43 5 2 2" xfId="26630"/>
    <cellStyle name="常规 75 3 15" xfId="26631"/>
    <cellStyle name="常规 80 3 15" xfId="26632"/>
    <cellStyle name="常规 38 5 2 3" xfId="26633"/>
    <cellStyle name="常规 43 5 2 3" xfId="26634"/>
    <cellStyle name="常规 38 6" xfId="26635"/>
    <cellStyle name="常规 43 6" xfId="26636"/>
    <cellStyle name="常规 38 7" xfId="26637"/>
    <cellStyle name="常规 43 7" xfId="26638"/>
    <cellStyle name="常规 39" xfId="26639"/>
    <cellStyle name="常规 44" xfId="26640"/>
    <cellStyle name="常规 39 2" xfId="26641"/>
    <cellStyle name="常规 44 2" xfId="26642"/>
    <cellStyle name="输出 2 2 2 2 11" xfId="26643"/>
    <cellStyle name="常规 39 2 10" xfId="26644"/>
    <cellStyle name="常规 44 2 10" xfId="26645"/>
    <cellStyle name="输出 2 2 2 2 12" xfId="26646"/>
    <cellStyle name="常规 39 2 11" xfId="26647"/>
    <cellStyle name="常规 44 2 11" xfId="26648"/>
    <cellStyle name="常规 39 2 12" xfId="26649"/>
    <cellStyle name="常规 44 2 12" xfId="26650"/>
    <cellStyle name="常规 39 2 13" xfId="26651"/>
    <cellStyle name="常规 44 2 13" xfId="26652"/>
    <cellStyle name="常规 39 2 14" xfId="26653"/>
    <cellStyle name="常规 44 2 14" xfId="26654"/>
    <cellStyle name="常规 39 2 15" xfId="26655"/>
    <cellStyle name="常规 44 2 15" xfId="26656"/>
    <cellStyle name="常规 39 2 16" xfId="26657"/>
    <cellStyle name="常规 44 2 16" xfId="26658"/>
    <cellStyle name="常规 39 2 17" xfId="26659"/>
    <cellStyle name="常规 44 2 17" xfId="26660"/>
    <cellStyle name="常规 39 2 18" xfId="26661"/>
    <cellStyle name="常规 44 2 18" xfId="26662"/>
    <cellStyle name="常规 39 2 2" xfId="26663"/>
    <cellStyle name="常规 44 2 2" xfId="26664"/>
    <cellStyle name="常规 39 2 3" xfId="26665"/>
    <cellStyle name="常规 44 2 3" xfId="26666"/>
    <cellStyle name="常规 39 2 3 2" xfId="26667"/>
    <cellStyle name="常规 39 2 3 3" xfId="26668"/>
    <cellStyle name="常规 39 2 4" xfId="26669"/>
    <cellStyle name="常规 44 2 4" xfId="26670"/>
    <cellStyle name="常规 39 2 5" xfId="26671"/>
    <cellStyle name="常规 44 2 5" xfId="26672"/>
    <cellStyle name="常规 39 2 6" xfId="26673"/>
    <cellStyle name="常规 44 2 6" xfId="26674"/>
    <cellStyle name="常规 39 2 8" xfId="26675"/>
    <cellStyle name="常规 44 2 8" xfId="26676"/>
    <cellStyle name="计算 2 3 2 2 2" xfId="26677"/>
    <cellStyle name="常规 39 2 9" xfId="26678"/>
    <cellStyle name="常规 44 2 9" xfId="26679"/>
    <cellStyle name="常规 39 3" xfId="26680"/>
    <cellStyle name="常规 44 3" xfId="26681"/>
    <cellStyle name="常规 39 3 15" xfId="26682"/>
    <cellStyle name="常规 44 3 15" xfId="26683"/>
    <cellStyle name="常规 39 3 16" xfId="26684"/>
    <cellStyle name="常规 44 3 16" xfId="26685"/>
    <cellStyle name="常规 39 3 17" xfId="26686"/>
    <cellStyle name="常规 44 3 17" xfId="26687"/>
    <cellStyle name="常规 39 3 18" xfId="26688"/>
    <cellStyle name="常规 44 3 18" xfId="26689"/>
    <cellStyle name="常规 39 3 3 2" xfId="26690"/>
    <cellStyle name="常规 44 3 3 2" xfId="26691"/>
    <cellStyle name="常规 39 3 3 2 2" xfId="26692"/>
    <cellStyle name="常规 44 3 3 2 2" xfId="26693"/>
    <cellStyle name="常规 39 3 3 2 3" xfId="26694"/>
    <cellStyle name="常规 44 3 3 2 3" xfId="26695"/>
    <cellStyle name="常规 39 3 3 3" xfId="26696"/>
    <cellStyle name="常规 44 3 3 3" xfId="26697"/>
    <cellStyle name="常规 39 3 5" xfId="26698"/>
    <cellStyle name="常规 44 3 5" xfId="26699"/>
    <cellStyle name="常规 39 3 6" xfId="26700"/>
    <cellStyle name="常规 44 3 6" xfId="26701"/>
    <cellStyle name="常规 39 3 9" xfId="26702"/>
    <cellStyle name="常规 44 3 9" xfId="26703"/>
    <cellStyle name="常规 39 4" xfId="26704"/>
    <cellStyle name="常规 44 4" xfId="26705"/>
    <cellStyle name="常规 39 5" xfId="26706"/>
    <cellStyle name="常规 44 5" xfId="26707"/>
    <cellStyle name="常规 39 6" xfId="26708"/>
    <cellStyle name="常规 44 6" xfId="26709"/>
    <cellStyle name="常规 39 7" xfId="26710"/>
    <cellStyle name="常规 44 7" xfId="26711"/>
    <cellStyle name="常规 39 8" xfId="26712"/>
    <cellStyle name="常规 44 8" xfId="26713"/>
    <cellStyle name="常规 39 9" xfId="26714"/>
    <cellStyle name="常规 44 9" xfId="26715"/>
    <cellStyle name="常规 4" xfId="26716"/>
    <cellStyle name="常规 4 10" xfId="26717"/>
    <cellStyle name="常规 4 11" xfId="26718"/>
    <cellStyle name="常规 4 12" xfId="26719"/>
    <cellStyle name="常规 4 13" xfId="26720"/>
    <cellStyle name="常规 4 14" xfId="26721"/>
    <cellStyle name="常规 4 2" xfId="26722"/>
    <cellStyle name="常规 4 2 10" xfId="26723"/>
    <cellStyle name="常规 4 2 11" xfId="26724"/>
    <cellStyle name="常规 4 2 12" xfId="26725"/>
    <cellStyle name="常规 4 2 13" xfId="26726"/>
    <cellStyle name="常规 4 2 2 10" xfId="26727"/>
    <cellStyle name="常规 4 2 2 11" xfId="26728"/>
    <cellStyle name="常规 4 2 2 12" xfId="26729"/>
    <cellStyle name="常规 4 2 2 13" xfId="26730"/>
    <cellStyle name="常规 4 2 2 14" xfId="26731"/>
    <cellStyle name="常规 4 2 2 15" xfId="26732"/>
    <cellStyle name="常规 4 2 2 16" xfId="26733"/>
    <cellStyle name="常规 4 2 2 17" xfId="26734"/>
    <cellStyle name="常规 4 2 2 18" xfId="26735"/>
    <cellStyle name="常规 4 2 2 3" xfId="26736"/>
    <cellStyle name="常规 4 2 2 3 2" xfId="26737"/>
    <cellStyle name="常规 4 2 2 3 2 2" xfId="26738"/>
    <cellStyle name="常规 4 2 2 3 3" xfId="26739"/>
    <cellStyle name="常规 4 2 2 4" xfId="26740"/>
    <cellStyle name="常规 4 2 2 5" xfId="26741"/>
    <cellStyle name="常规 4 2 2 6" xfId="26742"/>
    <cellStyle name="常规 4 2 2 7" xfId="26743"/>
    <cellStyle name="常规 4 2 2 8" xfId="26744"/>
    <cellStyle name="常规 4 2 2 9" xfId="26745"/>
    <cellStyle name="常规 47 2 2 5" xfId="26746"/>
    <cellStyle name="常规 52 2 2 5" xfId="26747"/>
    <cellStyle name="常规 4 2 4 2" xfId="26748"/>
    <cellStyle name="常规 4 2 4 2 2" xfId="26749"/>
    <cellStyle name="常规 4 2 4 2 3" xfId="26750"/>
    <cellStyle name="常规 47 2 2 6" xfId="26751"/>
    <cellStyle name="常规 52 2 2 6" xfId="26752"/>
    <cellStyle name="常规 4 2 4 3" xfId="26753"/>
    <cellStyle name="常规 4 2 7" xfId="26754"/>
    <cellStyle name="常规 4 2 8" xfId="26755"/>
    <cellStyle name="常规 4 2 9" xfId="26756"/>
    <cellStyle name="常规 4 3" xfId="26757"/>
    <cellStyle name="常规 4 3 10" xfId="26758"/>
    <cellStyle name="常规 4 3 11" xfId="26759"/>
    <cellStyle name="常规 4 3 12" xfId="26760"/>
    <cellStyle name="常规 4 3 13" xfId="26761"/>
    <cellStyle name="常规 4 3 14" xfId="26762"/>
    <cellStyle name="常规 4 3 15" xfId="26763"/>
    <cellStyle name="常规 4 3 2" xfId="26764"/>
    <cellStyle name="常规 4 3 3" xfId="26765"/>
    <cellStyle name="输入 2 6 11" xfId="26766"/>
    <cellStyle name="常规 4 3 3 2 2" xfId="26767"/>
    <cellStyle name="输入 2 6 12" xfId="26768"/>
    <cellStyle name="常规 4 3 3 2 3" xfId="26769"/>
    <cellStyle name="汇总 3 2 8 10" xfId="26770"/>
    <cellStyle name="常规 4 4" xfId="26771"/>
    <cellStyle name="常规 42 2 19" xfId="26772"/>
    <cellStyle name="常规 42 2 2 10" xfId="26773"/>
    <cellStyle name="常规 42 2 2 11" xfId="26774"/>
    <cellStyle name="常规 42 2 2 12" xfId="26775"/>
    <cellStyle name="常规 42 2 2 13" xfId="26776"/>
    <cellStyle name="常规 42 2 2 14" xfId="26777"/>
    <cellStyle name="常规 42 2 2 15" xfId="26778"/>
    <cellStyle name="常规 42 2 2 16" xfId="26779"/>
    <cellStyle name="常规 42 2 2 17" xfId="26780"/>
    <cellStyle name="常规 42 2 2 18" xfId="26781"/>
    <cellStyle name="常规 42 2 2 2" xfId="26782"/>
    <cellStyle name="常规 42 2 2 3" xfId="26783"/>
    <cellStyle name="常规 42 2 2 4" xfId="26784"/>
    <cellStyle name="常规 42 2 2 5" xfId="26785"/>
    <cellStyle name="常规 42 2 2 6" xfId="26786"/>
    <cellStyle name="常规 42 2 2 7" xfId="26787"/>
    <cellStyle name="常规 42 2 2 8" xfId="26788"/>
    <cellStyle name="常规 42 2 2 9" xfId="26789"/>
    <cellStyle name="常规 42 2 4 2" xfId="26790"/>
    <cellStyle name="好 2 3 3 2 3" xfId="26791"/>
    <cellStyle name="常规 42 2 4 3" xfId="26792"/>
    <cellStyle name="常规 44 2 19" xfId="26793"/>
    <cellStyle name="常规 44 2 2 2" xfId="26794"/>
    <cellStyle name="汇总 3 3 2 10" xfId="26795"/>
    <cellStyle name="常规 44 2 2 3" xfId="26796"/>
    <cellStyle name="汇总 3 3 2 11" xfId="26797"/>
    <cellStyle name="计算 3 2 7 2 2" xfId="26798"/>
    <cellStyle name="常规 44 2 2 4" xfId="26799"/>
    <cellStyle name="汇总 3 3 2 12" xfId="26800"/>
    <cellStyle name="计算 3 2 7 2 3" xfId="26801"/>
    <cellStyle name="常规 44 2 2 5" xfId="26802"/>
    <cellStyle name="汇总 3 3 2 13" xfId="26803"/>
    <cellStyle name="计算 3 2 7 2 4" xfId="26804"/>
    <cellStyle name="常规 44 2 2 6" xfId="26805"/>
    <cellStyle name="汇总 3 3 2 14" xfId="26806"/>
    <cellStyle name="计算 3 2 7 2 5" xfId="26807"/>
    <cellStyle name="常规 44 2 2 7" xfId="26808"/>
    <cellStyle name="汇总 3 3 2 15" xfId="26809"/>
    <cellStyle name="计算 3 2 7 2 6" xfId="26810"/>
    <cellStyle name="常规 44 2 2 8" xfId="26811"/>
    <cellStyle name="汇总 3 3 2 16" xfId="26812"/>
    <cellStyle name="计算 3 2 7 2 7" xfId="26813"/>
    <cellStyle name="常规 44 2 2 9" xfId="26814"/>
    <cellStyle name="常规 44 2 4 2 2" xfId="26815"/>
    <cellStyle name="常规 44 2 4 2 3" xfId="26816"/>
    <cellStyle name="计算 3 2 12 2 5" xfId="26817"/>
    <cellStyle name="常规 44 5 2" xfId="26818"/>
    <cellStyle name="常规 45 10" xfId="26819"/>
    <cellStyle name="常规 50 10" xfId="26820"/>
    <cellStyle name="常规 45 11" xfId="26821"/>
    <cellStyle name="常规 50 11" xfId="26822"/>
    <cellStyle name="常规 69 2 2" xfId="26823"/>
    <cellStyle name="常规 74 2 2" xfId="26824"/>
    <cellStyle name="常规 45 12" xfId="26825"/>
    <cellStyle name="常规 50 12" xfId="26826"/>
    <cellStyle name="常规 69 2 3" xfId="26827"/>
    <cellStyle name="常规 74 2 3" xfId="26828"/>
    <cellStyle name="常规 45 2" xfId="26829"/>
    <cellStyle name="常规 50 2" xfId="26830"/>
    <cellStyle name="输出 2 2 3 2 11" xfId="26831"/>
    <cellStyle name="常规 45 2 10" xfId="26832"/>
    <cellStyle name="常规 50 2 10" xfId="26833"/>
    <cellStyle name="汇总 3 3 4 3 2 3" xfId="26834"/>
    <cellStyle name="输出 2 2 3 2 12" xfId="26835"/>
    <cellStyle name="常规 45 2 11" xfId="26836"/>
    <cellStyle name="常规 50 2 11" xfId="26837"/>
    <cellStyle name="常规 45 2 12" xfId="26838"/>
    <cellStyle name="常规 50 2 12" xfId="26839"/>
    <cellStyle name="常规 45 2 13" xfId="26840"/>
    <cellStyle name="常规 50 2 13" xfId="26841"/>
    <cellStyle name="常规 45 2 15" xfId="26842"/>
    <cellStyle name="常规 50 2 15" xfId="26843"/>
    <cellStyle name="常规 45 2 16" xfId="26844"/>
    <cellStyle name="常规 50 2 16" xfId="26845"/>
    <cellStyle name="常规 76 9" xfId="26846"/>
    <cellStyle name="常规 81 9" xfId="26847"/>
    <cellStyle name="常规 45 2 2 3 2" xfId="26848"/>
    <cellStyle name="常规 50 2 2 3 2" xfId="26849"/>
    <cellStyle name="常规 45 2 2 3 2 2" xfId="26850"/>
    <cellStyle name="常规 50 2 2 3 2 2" xfId="26851"/>
    <cellStyle name="常规 45 2 2 3 2 3" xfId="26852"/>
    <cellStyle name="常规 50 2 2 3 2 3" xfId="26853"/>
    <cellStyle name="常规 45 2 2 3 3" xfId="26854"/>
    <cellStyle name="常规 50 2 2 3 3" xfId="26855"/>
    <cellStyle name="计算 2 5 2 3" xfId="26856"/>
    <cellStyle name="输出 2 3 6 4" xfId="26857"/>
    <cellStyle name="常规 45 2 2 7" xfId="26858"/>
    <cellStyle name="常规 50 2 2 7" xfId="26859"/>
    <cellStyle name="计算 2 5 2 4" xfId="26860"/>
    <cellStyle name="输出 2 3 6 5" xfId="26861"/>
    <cellStyle name="常规 45 2 2 8" xfId="26862"/>
    <cellStyle name="常规 50 2 2 8" xfId="26863"/>
    <cellStyle name="常规 45 2 7" xfId="26864"/>
    <cellStyle name="常规 50 2 7" xfId="26865"/>
    <cellStyle name="常规 45 2 8" xfId="26866"/>
    <cellStyle name="常规 50 2 8" xfId="26867"/>
    <cellStyle name="计算 2 3 3 2 2" xfId="26868"/>
    <cellStyle name="常规 45 2 9" xfId="26869"/>
    <cellStyle name="常规 50 2 9" xfId="26870"/>
    <cellStyle name="常规 45 3" xfId="26871"/>
    <cellStyle name="常规 50 3" xfId="26872"/>
    <cellStyle name="常规 45 3 16" xfId="26873"/>
    <cellStyle name="常规 50 3 16" xfId="26874"/>
    <cellStyle name="常规 45 3 17" xfId="26875"/>
    <cellStyle name="常规 50 3 17" xfId="26876"/>
    <cellStyle name="常规 45 3 18" xfId="26877"/>
    <cellStyle name="常规 50 3 18" xfId="26878"/>
    <cellStyle name="常规 45 3 3 2" xfId="26879"/>
    <cellStyle name="常规 50 3 3 2" xfId="26880"/>
    <cellStyle name="常规 45 3 3 2 2" xfId="26881"/>
    <cellStyle name="常规 50 3 3 2 2" xfId="26882"/>
    <cellStyle name="常规 45 3 3 2 3" xfId="26883"/>
    <cellStyle name="常规 50 3 3 2 3" xfId="26884"/>
    <cellStyle name="常规 45 3 3 3" xfId="26885"/>
    <cellStyle name="常规 50 3 3 3" xfId="26886"/>
    <cellStyle name="常规 45 3 5" xfId="26887"/>
    <cellStyle name="常规 50 3 5" xfId="26888"/>
    <cellStyle name="常规 45 3 6" xfId="26889"/>
    <cellStyle name="常规 50 3 6" xfId="26890"/>
    <cellStyle name="常规 45 3 7" xfId="26891"/>
    <cellStyle name="常规 50 3 7" xfId="26892"/>
    <cellStyle name="常规 45 3 8" xfId="26893"/>
    <cellStyle name="常规 50 3 8" xfId="26894"/>
    <cellStyle name="常规 45 3 9" xfId="26895"/>
    <cellStyle name="常规 50 3 9" xfId="26896"/>
    <cellStyle name="常规 45 4" xfId="26897"/>
    <cellStyle name="常规 50 4" xfId="26898"/>
    <cellStyle name="常规 45 5" xfId="26899"/>
    <cellStyle name="常规 50 5" xfId="26900"/>
    <cellStyle name="常规 45 5 2" xfId="26901"/>
    <cellStyle name="常规 50 5 2" xfId="26902"/>
    <cellStyle name="常规 45 5 3" xfId="26903"/>
    <cellStyle name="常规 50 5 3" xfId="26904"/>
    <cellStyle name="常规 45 6" xfId="26905"/>
    <cellStyle name="常规 50 6" xfId="26906"/>
    <cellStyle name="常规 45 7" xfId="26907"/>
    <cellStyle name="常规 50 7" xfId="26908"/>
    <cellStyle name="常规 45 8" xfId="26909"/>
    <cellStyle name="常规 50 8" xfId="26910"/>
    <cellStyle name="常规 45 9" xfId="26911"/>
    <cellStyle name="常规 50 9" xfId="26912"/>
    <cellStyle name="常规 46" xfId="26913"/>
    <cellStyle name="常规 51" xfId="26914"/>
    <cellStyle name="常规 46 18" xfId="26915"/>
    <cellStyle name="常规 46 23" xfId="26916"/>
    <cellStyle name="常规 51 18" xfId="26917"/>
    <cellStyle name="常规 51 23" xfId="26918"/>
    <cellStyle name="输出 3 2 3 2 10" xfId="26919"/>
    <cellStyle name="常规 46 19" xfId="26920"/>
    <cellStyle name="常规 51 19" xfId="26921"/>
    <cellStyle name="常规 46 2" xfId="26922"/>
    <cellStyle name="常规 51 2" xfId="26923"/>
    <cellStyle name="常规 46 2 18" xfId="26924"/>
    <cellStyle name="常规 51 2 18" xfId="26925"/>
    <cellStyle name="常规 46 2 19" xfId="26926"/>
    <cellStyle name="常规 51 2 19" xfId="26927"/>
    <cellStyle name="常规 46 2 2 2" xfId="26928"/>
    <cellStyle name="常规 51 2 2 2" xfId="26929"/>
    <cellStyle name="常规 46 2 2 3" xfId="26930"/>
    <cellStyle name="常规 51 2 2 3" xfId="26931"/>
    <cellStyle name="汇总 2 5 11" xfId="26932"/>
    <cellStyle name="常规 46 2 2 3 2" xfId="26933"/>
    <cellStyle name="常规 51 2 2 3 2" xfId="26934"/>
    <cellStyle name="常规 46 2 2 3 2 2" xfId="26935"/>
    <cellStyle name="常规 51 2 2 3 2 2" xfId="26936"/>
    <cellStyle name="常规 46 2 2 3 2 3" xfId="26937"/>
    <cellStyle name="常规 51 2 2 3 2 3" xfId="26938"/>
    <cellStyle name="汇总 2 5 12" xfId="26939"/>
    <cellStyle name="常规 46 2 2 3 3" xfId="26940"/>
    <cellStyle name="常规 51 2 2 3 3" xfId="26941"/>
    <cellStyle name="常规 46 2 2 4" xfId="26942"/>
    <cellStyle name="常规 51 2 2 4" xfId="26943"/>
    <cellStyle name="计算 3 5 2 3" xfId="26944"/>
    <cellStyle name="输出 2 2 12 2 12" xfId="26945"/>
    <cellStyle name="常规 46 2 2 7" xfId="26946"/>
    <cellStyle name="常规 51 2 2 7" xfId="26947"/>
    <cellStyle name="计算 3 5 2 4" xfId="26948"/>
    <cellStyle name="常规 46 2 2 8" xfId="26949"/>
    <cellStyle name="常规 51 2 2 8" xfId="26950"/>
    <cellStyle name="常规 46 2 4 2 2" xfId="26951"/>
    <cellStyle name="常规 51 2 4 2 2" xfId="26952"/>
    <cellStyle name="常规 46 2 4 2 3" xfId="26953"/>
    <cellStyle name="常规 51 2 4 2 3" xfId="26954"/>
    <cellStyle name="常规 46 3" xfId="26955"/>
    <cellStyle name="常规 51 3" xfId="26956"/>
    <cellStyle name="常规 65 2 2 4" xfId="26957"/>
    <cellStyle name="常规 70 2 2 4" xfId="26958"/>
    <cellStyle name="常规 46 3 15" xfId="26959"/>
    <cellStyle name="常规 51 3 15" xfId="26960"/>
    <cellStyle name="常规 65 2 2 5" xfId="26961"/>
    <cellStyle name="常规 70 2 2 5" xfId="26962"/>
    <cellStyle name="常规 46 3 16" xfId="26963"/>
    <cellStyle name="常规 51 3 16" xfId="26964"/>
    <cellStyle name="常规 65 2 2 6" xfId="26965"/>
    <cellStyle name="常规 70 2 2 6" xfId="26966"/>
    <cellStyle name="常规 46 3 17" xfId="26967"/>
    <cellStyle name="常规 51 3 17" xfId="26968"/>
    <cellStyle name="常规 65 2 2 7" xfId="26969"/>
    <cellStyle name="常规 70 2 2 7" xfId="26970"/>
    <cellStyle name="常规 46 3 18" xfId="26971"/>
    <cellStyle name="常规 51 3 18" xfId="26972"/>
    <cellStyle name="常规 46 3 3 2 2" xfId="26973"/>
    <cellStyle name="常规 51 3 3 2 2" xfId="26974"/>
    <cellStyle name="常规 46 3 3 2 3" xfId="26975"/>
    <cellStyle name="常规 51 3 3 2 3" xfId="26976"/>
    <cellStyle name="常规 46 3 3 3" xfId="26977"/>
    <cellStyle name="常规 51 3 3 3" xfId="26978"/>
    <cellStyle name="常规 46 3 5" xfId="26979"/>
    <cellStyle name="常规 51 3 5" xfId="26980"/>
    <cellStyle name="常规 46 3 6" xfId="26981"/>
    <cellStyle name="常规 51 3 6" xfId="26982"/>
    <cellStyle name="常规 46 3 7" xfId="26983"/>
    <cellStyle name="常规 51 3 7" xfId="26984"/>
    <cellStyle name="输出 2 7 2 10" xfId="26985"/>
    <cellStyle name="常规 46 3 8" xfId="26986"/>
    <cellStyle name="常规 51 3 8" xfId="26987"/>
    <cellStyle name="常规 46 4" xfId="26988"/>
    <cellStyle name="常规 51 4" xfId="26989"/>
    <cellStyle name="常规 46 5" xfId="26990"/>
    <cellStyle name="常规 51 5" xfId="26991"/>
    <cellStyle name="常规 46 5 2" xfId="26992"/>
    <cellStyle name="常规 51 5 2" xfId="26993"/>
    <cellStyle name="常规 46 5 2 2" xfId="26994"/>
    <cellStyle name="常规 51 5 2 2" xfId="26995"/>
    <cellStyle name="常规 46 5 2 3" xfId="26996"/>
    <cellStyle name="常规 51 5 2 3" xfId="26997"/>
    <cellStyle name="常规 46 6" xfId="26998"/>
    <cellStyle name="常规 51 6" xfId="26999"/>
    <cellStyle name="常规 46 7" xfId="27000"/>
    <cellStyle name="常规 51 7" xfId="27001"/>
    <cellStyle name="常规 46 8" xfId="27002"/>
    <cellStyle name="常规 51 8" xfId="27003"/>
    <cellStyle name="常规 46 9" xfId="27004"/>
    <cellStyle name="常规 51 9" xfId="27005"/>
    <cellStyle name="常规 47" xfId="27006"/>
    <cellStyle name="常规 52" xfId="27007"/>
    <cellStyle name="常规 47 18" xfId="27008"/>
    <cellStyle name="常规 47 23" xfId="27009"/>
    <cellStyle name="常规 52 18" xfId="27010"/>
    <cellStyle name="常规 52 23" xfId="27011"/>
    <cellStyle name="常规 47 19" xfId="27012"/>
    <cellStyle name="常规 52 19" xfId="27013"/>
    <cellStyle name="常规 47 2" xfId="27014"/>
    <cellStyle name="常规 52 2" xfId="27015"/>
    <cellStyle name="输出 2 2 5 2 11" xfId="27016"/>
    <cellStyle name="常规 47 2 10" xfId="27017"/>
    <cellStyle name="常规 52 2 10" xfId="27018"/>
    <cellStyle name="输出 2 2 5 2 12" xfId="27019"/>
    <cellStyle name="汇总 2 6 10" xfId="27020"/>
    <cellStyle name="常规 47 2 11" xfId="27021"/>
    <cellStyle name="常规 52 2 11" xfId="27022"/>
    <cellStyle name="汇总 2 6 11" xfId="27023"/>
    <cellStyle name="常规 47 2 12" xfId="27024"/>
    <cellStyle name="常规 52 2 12" xfId="27025"/>
    <cellStyle name="汇总 2 6 12" xfId="27026"/>
    <cellStyle name="常规 47 2 13" xfId="27027"/>
    <cellStyle name="常规 52 2 13" xfId="27028"/>
    <cellStyle name="汇总 2 6 13" xfId="27029"/>
    <cellStyle name="常规 47 2 14" xfId="27030"/>
    <cellStyle name="常规 52 2 14" xfId="27031"/>
    <cellStyle name="汇总 2 6 14" xfId="27032"/>
    <cellStyle name="常规 47 2 15" xfId="27033"/>
    <cellStyle name="常规 52 2 15" xfId="27034"/>
    <cellStyle name="汇总 2 6 15" xfId="27035"/>
    <cellStyle name="汇总 2 6 20" xfId="27036"/>
    <cellStyle name="常规 47 2 16" xfId="27037"/>
    <cellStyle name="常规 52 2 16" xfId="27038"/>
    <cellStyle name="汇总 2 6 16" xfId="27039"/>
    <cellStyle name="汇总 2 6 21" xfId="27040"/>
    <cellStyle name="常规 47 2 17" xfId="27041"/>
    <cellStyle name="常规 52 2 17" xfId="27042"/>
    <cellStyle name="汇总 2 6 17" xfId="27043"/>
    <cellStyle name="常规 47 2 18" xfId="27044"/>
    <cellStyle name="常规 52 2 18" xfId="27045"/>
    <cellStyle name="汇总 2 6 18" xfId="27046"/>
    <cellStyle name="常规 47 2 19" xfId="27047"/>
    <cellStyle name="常规 52 2 19" xfId="27048"/>
    <cellStyle name="计算 3 5 2 10" xfId="27049"/>
    <cellStyle name="常规 47 2 2" xfId="27050"/>
    <cellStyle name="常规 52 2 2" xfId="27051"/>
    <cellStyle name="输入 2 2 10 2 5" xfId="27052"/>
    <cellStyle name="计算 3 2 8 3" xfId="27053"/>
    <cellStyle name="常规 47 2 2 10" xfId="27054"/>
    <cellStyle name="常规 52 2 2 10" xfId="27055"/>
    <cellStyle name="输入 2 2 10 2 6" xfId="27056"/>
    <cellStyle name="计算 3 2 8 4" xfId="27057"/>
    <cellStyle name="常规 47 2 2 11" xfId="27058"/>
    <cellStyle name="常规 52 2 2 11" xfId="27059"/>
    <cellStyle name="输入 2 2 10 2 7" xfId="27060"/>
    <cellStyle name="计算 3 2 8 5" xfId="27061"/>
    <cellStyle name="常规 47 2 2 12" xfId="27062"/>
    <cellStyle name="常规 52 2 2 12" xfId="27063"/>
    <cellStyle name="输入 2 2 10 2 8" xfId="27064"/>
    <cellStyle name="计算 3 2 8 6" xfId="27065"/>
    <cellStyle name="常规 47 2 2 13" xfId="27066"/>
    <cellStyle name="常规 52 2 2 13" xfId="27067"/>
    <cellStyle name="输入 2 2 10 2 9" xfId="27068"/>
    <cellStyle name="计算 3 2 8 7" xfId="27069"/>
    <cellStyle name="常规 47 2 2 14" xfId="27070"/>
    <cellStyle name="常规 52 2 2 14" xfId="27071"/>
    <cellStyle name="计算 3 2 8 8" xfId="27072"/>
    <cellStyle name="常规 47 2 2 15" xfId="27073"/>
    <cellStyle name="常规 52 2 2 15" xfId="27074"/>
    <cellStyle name="常规 87 5 2" xfId="27075"/>
    <cellStyle name="常规 92 5 2" xfId="27076"/>
    <cellStyle name="计算 3 2 8 9" xfId="27077"/>
    <cellStyle name="常规 47 2 2 16" xfId="27078"/>
    <cellStyle name="常规 52 2 2 16" xfId="27079"/>
    <cellStyle name="常规 87 5 3" xfId="27080"/>
    <cellStyle name="常规 92 5 3" xfId="27081"/>
    <cellStyle name="常规 47 2 2 17" xfId="27082"/>
    <cellStyle name="常规 52 2 2 17" xfId="27083"/>
    <cellStyle name="常规 47 2 2 18" xfId="27084"/>
    <cellStyle name="常规 52 2 2 18" xfId="27085"/>
    <cellStyle name="常规 47 2 2 2" xfId="27086"/>
    <cellStyle name="常规 52 2 2 2" xfId="27087"/>
    <cellStyle name="常规 47 2 2 3" xfId="27088"/>
    <cellStyle name="常规 52 2 2 3" xfId="27089"/>
    <cellStyle name="常规 47 2 2 3 2" xfId="27090"/>
    <cellStyle name="常规 52 2 2 3 2" xfId="27091"/>
    <cellStyle name="常规 47 2 2 3 2 2" xfId="27092"/>
    <cellStyle name="常规 52 2 2 3 2 2" xfId="27093"/>
    <cellStyle name="常规 47 2 2 3 2 3" xfId="27094"/>
    <cellStyle name="常规 52 2 2 3 2 3" xfId="27095"/>
    <cellStyle name="常规 47 2 2 3 3" xfId="27096"/>
    <cellStyle name="常规 52 2 2 3 3" xfId="27097"/>
    <cellStyle name="常规 47 2 2 4" xfId="27098"/>
    <cellStyle name="常规 52 2 2 4" xfId="27099"/>
    <cellStyle name="汇总 2 6 2 2" xfId="27100"/>
    <cellStyle name="常规 47 2 2 7" xfId="27101"/>
    <cellStyle name="常规 52 2 2 7" xfId="27102"/>
    <cellStyle name="汇总 2 6 2 3" xfId="27103"/>
    <cellStyle name="常规 47 2 2 8" xfId="27104"/>
    <cellStyle name="常规 52 2 2 8" xfId="27105"/>
    <cellStyle name="计算 2 3 5 2 2" xfId="27106"/>
    <cellStyle name="常规 47 2 9" xfId="27107"/>
    <cellStyle name="常规 52 2 9" xfId="27108"/>
    <cellStyle name="常规 47 3" xfId="27109"/>
    <cellStyle name="常规 52 3" xfId="27110"/>
    <cellStyle name="汇总 2 7 15" xfId="27111"/>
    <cellStyle name="汇总 2 7 20" xfId="27112"/>
    <cellStyle name="常规 47 3 16" xfId="27113"/>
    <cellStyle name="常规 52 3 16" xfId="27114"/>
    <cellStyle name="汇总 2 7 16" xfId="27115"/>
    <cellStyle name="汇总 2 7 21" xfId="27116"/>
    <cellStyle name="常规 47 3 17" xfId="27117"/>
    <cellStyle name="常规 52 3 17" xfId="27118"/>
    <cellStyle name="汇总 2 7 17" xfId="27119"/>
    <cellStyle name="常规 47 3 18" xfId="27120"/>
    <cellStyle name="常规 52 3 18" xfId="27121"/>
    <cellStyle name="常规 47 3 2" xfId="27122"/>
    <cellStyle name="常规 52 3 2" xfId="27123"/>
    <cellStyle name="常规 47 3 3" xfId="27124"/>
    <cellStyle name="常规 52 3 3" xfId="27125"/>
    <cellStyle name="常规 47 3 3 2" xfId="27126"/>
    <cellStyle name="常规 52 3 3 2" xfId="27127"/>
    <cellStyle name="常规 47 3 3 3" xfId="27128"/>
    <cellStyle name="常规 52 3 3 3" xfId="27129"/>
    <cellStyle name="常规 47 3 4" xfId="27130"/>
    <cellStyle name="常规 52 3 4" xfId="27131"/>
    <cellStyle name="常规 47 4" xfId="27132"/>
    <cellStyle name="常规 52 4" xfId="27133"/>
    <cellStyle name="常规 47 5" xfId="27134"/>
    <cellStyle name="常规 52 5" xfId="27135"/>
    <cellStyle name="常规 47 5 2" xfId="27136"/>
    <cellStyle name="常规 52 5 2" xfId="27137"/>
    <cellStyle name="常规 47 5 3" xfId="27138"/>
    <cellStyle name="常规 52 5 3" xfId="27139"/>
    <cellStyle name="常规 47 6" xfId="27140"/>
    <cellStyle name="常规 52 6" xfId="27141"/>
    <cellStyle name="常规 47 7" xfId="27142"/>
    <cellStyle name="常规 52 7" xfId="27143"/>
    <cellStyle name="常规 47 8" xfId="27144"/>
    <cellStyle name="常规 52 8" xfId="27145"/>
    <cellStyle name="常规 47 9" xfId="27146"/>
    <cellStyle name="常规 52 9" xfId="27147"/>
    <cellStyle name="常规 48" xfId="27148"/>
    <cellStyle name="常规 53" xfId="27149"/>
    <cellStyle name="常规 48 17" xfId="27150"/>
    <cellStyle name="常规 48 22" xfId="27151"/>
    <cellStyle name="常规 53 17" xfId="27152"/>
    <cellStyle name="常规 53 22" xfId="27153"/>
    <cellStyle name="常规 48 18" xfId="27154"/>
    <cellStyle name="常规 48 23" xfId="27155"/>
    <cellStyle name="常规 53 18" xfId="27156"/>
    <cellStyle name="常规 53 23" xfId="27157"/>
    <cellStyle name="常规 48 19" xfId="27158"/>
    <cellStyle name="常规 53 19" xfId="27159"/>
    <cellStyle name="常规 48 2" xfId="27160"/>
    <cellStyle name="常规 53 2" xfId="27161"/>
    <cellStyle name="汇总 3 6 12" xfId="27162"/>
    <cellStyle name="常规 48 2 13" xfId="27163"/>
    <cellStyle name="常规 53 2 13" xfId="27164"/>
    <cellStyle name="汇总 3 6 13" xfId="27165"/>
    <cellStyle name="常规 48 2 14" xfId="27166"/>
    <cellStyle name="常规 53 2 14" xfId="27167"/>
    <cellStyle name="汇总 3 6 14" xfId="27168"/>
    <cellStyle name="常规 48 2 15" xfId="27169"/>
    <cellStyle name="常规 53 2 15" xfId="27170"/>
    <cellStyle name="汇总 3 6 15" xfId="27171"/>
    <cellStyle name="常规 48 2 16" xfId="27172"/>
    <cellStyle name="常规 53 2 16" xfId="27173"/>
    <cellStyle name="汇总 3 6 16" xfId="27174"/>
    <cellStyle name="常规 48 2 17" xfId="27175"/>
    <cellStyle name="常规 53 2 17" xfId="27176"/>
    <cellStyle name="汇总 3 6 17" xfId="27177"/>
    <cellStyle name="常规 48 2 18" xfId="27178"/>
    <cellStyle name="常规 53 2 18" xfId="27179"/>
    <cellStyle name="常规 48 2 19" xfId="27180"/>
    <cellStyle name="常规 53 2 19" xfId="27181"/>
    <cellStyle name="常规 48 2 2 18" xfId="27182"/>
    <cellStyle name="常规 53 2 2 18" xfId="27183"/>
    <cellStyle name="常规 48 2 2 2" xfId="27184"/>
    <cellStyle name="常规 53 2 2 2" xfId="27185"/>
    <cellStyle name="常规 48 2 2 3" xfId="27186"/>
    <cellStyle name="常规 53 2 2 3" xfId="27187"/>
    <cellStyle name="常规 48 2 2 3 2 2" xfId="27188"/>
    <cellStyle name="常规 53 2 2 3 2 2" xfId="27189"/>
    <cellStyle name="常规 48 2 2 3 2 3" xfId="27190"/>
    <cellStyle name="常规 53 2 2 3 2 3" xfId="27191"/>
    <cellStyle name="常规 48 2 2 4" xfId="27192"/>
    <cellStyle name="常规 53 2 2 4" xfId="27193"/>
    <cellStyle name="常规 48 2 2 5" xfId="27194"/>
    <cellStyle name="常规 53 2 2 5" xfId="27195"/>
    <cellStyle name="常规 5 2 4 2" xfId="27196"/>
    <cellStyle name="常规 48 2 2 6" xfId="27197"/>
    <cellStyle name="常规 53 2 2 6" xfId="27198"/>
    <cellStyle name="常规 5 2 4 3" xfId="27199"/>
    <cellStyle name="汇总 3 6 2 2" xfId="27200"/>
    <cellStyle name="常规 48 2 2 7" xfId="27201"/>
    <cellStyle name="常规 53 2 2 7" xfId="27202"/>
    <cellStyle name="汇总 3 6 2 3" xfId="27203"/>
    <cellStyle name="常规 48 2 2 8" xfId="27204"/>
    <cellStyle name="常规 53 2 2 8" xfId="27205"/>
    <cellStyle name="常规 58 2 10" xfId="27206"/>
    <cellStyle name="常规 63 2 10" xfId="27207"/>
    <cellStyle name="常规 48 2 4 2" xfId="27208"/>
    <cellStyle name="常规 53 2 4 2" xfId="27209"/>
    <cellStyle name="常规 58 2 11" xfId="27210"/>
    <cellStyle name="常规 63 2 11" xfId="27211"/>
    <cellStyle name="常规 48 2 4 3" xfId="27212"/>
    <cellStyle name="常规 53 2 4 3" xfId="27213"/>
    <cellStyle name="常规 79 2 2 5" xfId="27214"/>
    <cellStyle name="常规 84 2 2 5" xfId="27215"/>
    <cellStyle name="常规 48 2 7" xfId="27216"/>
    <cellStyle name="常规 53 2 7" xfId="27217"/>
    <cellStyle name="常规 79 2 2 6" xfId="27218"/>
    <cellStyle name="常规 84 2 2 6" xfId="27219"/>
    <cellStyle name="常规 48 2 8" xfId="27220"/>
    <cellStyle name="常规 53 2 8" xfId="27221"/>
    <cellStyle name="常规 79 2 2 7" xfId="27222"/>
    <cellStyle name="常规 84 2 2 7" xfId="27223"/>
    <cellStyle name="常规 48 2 9" xfId="27224"/>
    <cellStyle name="常规 53 2 9" xfId="27225"/>
    <cellStyle name="常规 48 3" xfId="27226"/>
    <cellStyle name="常规 53 3" xfId="27227"/>
    <cellStyle name="常规 48 3 2" xfId="27228"/>
    <cellStyle name="常规 53 3 2" xfId="27229"/>
    <cellStyle name="常规 48 3 3" xfId="27230"/>
    <cellStyle name="常规 53 3 3" xfId="27231"/>
    <cellStyle name="常规 48 3 3 2" xfId="27232"/>
    <cellStyle name="常规 53 3 3 2" xfId="27233"/>
    <cellStyle name="常规 48 3 3 2 2" xfId="27234"/>
    <cellStyle name="常规 53 3 3 2 2" xfId="27235"/>
    <cellStyle name="常规 48 3 3 2 3" xfId="27236"/>
    <cellStyle name="常规 53 3 3 2 3" xfId="27237"/>
    <cellStyle name="常规 48 3 3 3" xfId="27238"/>
    <cellStyle name="常规 53 3 3 3" xfId="27239"/>
    <cellStyle name="常规 48 4" xfId="27240"/>
    <cellStyle name="常规 53 4" xfId="27241"/>
    <cellStyle name="常规 48 5" xfId="27242"/>
    <cellStyle name="常规 53 5" xfId="27243"/>
    <cellStyle name="常规 48 5 2" xfId="27244"/>
    <cellStyle name="常规 53 5 2" xfId="27245"/>
    <cellStyle name="常规 48 5 2 2" xfId="27246"/>
    <cellStyle name="常规 53 5 2 2" xfId="27247"/>
    <cellStyle name="输出 2 8 15" xfId="27248"/>
    <cellStyle name="输出 2 8 20" xfId="27249"/>
    <cellStyle name="常规 48 5 2 3" xfId="27250"/>
    <cellStyle name="常规 53 5 2 3" xfId="27251"/>
    <cellStyle name="输出 2 8 16" xfId="27252"/>
    <cellStyle name="输出 2 8 21" xfId="27253"/>
    <cellStyle name="常规 48 5 3" xfId="27254"/>
    <cellStyle name="常规 53 5 3" xfId="27255"/>
    <cellStyle name="常规 48 6" xfId="27256"/>
    <cellStyle name="常规 53 6" xfId="27257"/>
    <cellStyle name="常规 48 7" xfId="27258"/>
    <cellStyle name="常规 53 7" xfId="27259"/>
    <cellStyle name="常规 48 8" xfId="27260"/>
    <cellStyle name="常规 53 8" xfId="27261"/>
    <cellStyle name="常规 48 9" xfId="27262"/>
    <cellStyle name="常规 53 9" xfId="27263"/>
    <cellStyle name="常规 49" xfId="27264"/>
    <cellStyle name="常规 54" xfId="27265"/>
    <cellStyle name="常规 6 3 3 3" xfId="27266"/>
    <cellStyle name="常规 49 2" xfId="27267"/>
    <cellStyle name="常规 54 2" xfId="27268"/>
    <cellStyle name="输出 2 2 7 2 11" xfId="27269"/>
    <cellStyle name="常规 49 2 10" xfId="27270"/>
    <cellStyle name="常规 54 2 10" xfId="27271"/>
    <cellStyle name="输出 2 2 7 2 12" xfId="27272"/>
    <cellStyle name="常规 49 2 11" xfId="27273"/>
    <cellStyle name="常规 54 2 11" xfId="27274"/>
    <cellStyle name="常规 49 2 14" xfId="27275"/>
    <cellStyle name="常规 54 2 14" xfId="27276"/>
    <cellStyle name="常规 49 2 15" xfId="27277"/>
    <cellStyle name="常规 54 2 15" xfId="27278"/>
    <cellStyle name="常规 49 2 16" xfId="27279"/>
    <cellStyle name="常规 54 2 16" xfId="27280"/>
    <cellStyle name="常规 49 2 17" xfId="27281"/>
    <cellStyle name="常规 54 2 17" xfId="27282"/>
    <cellStyle name="常规 49 2 18" xfId="27283"/>
    <cellStyle name="常规 54 2 18" xfId="27284"/>
    <cellStyle name="常规 49 2 19" xfId="27285"/>
    <cellStyle name="常规 54 2 19" xfId="27286"/>
    <cellStyle name="常规 49 2 2" xfId="27287"/>
    <cellStyle name="常规 54 2 2" xfId="27288"/>
    <cellStyle name="常规 49 2 2 18" xfId="27289"/>
    <cellStyle name="常规 54 2 2 18" xfId="27290"/>
    <cellStyle name="常规 49 2 2 3 2" xfId="27291"/>
    <cellStyle name="常规 54 2 2 3 2" xfId="27292"/>
    <cellStyle name="常规 49 2 2 3 2 2" xfId="27293"/>
    <cellStyle name="常规 54 2 2 3 2 2" xfId="27294"/>
    <cellStyle name="常规 49 2 2 3 2 3" xfId="27295"/>
    <cellStyle name="常规 54 2 2 3 2 3" xfId="27296"/>
    <cellStyle name="常规 49 2 2 3 3" xfId="27297"/>
    <cellStyle name="常规 54 2 2 3 3" xfId="27298"/>
    <cellStyle name="常规 49 2 3" xfId="27299"/>
    <cellStyle name="常规 54 2 3" xfId="27300"/>
    <cellStyle name="常规 49 2 4" xfId="27301"/>
    <cellStyle name="常规 54 2 4" xfId="27302"/>
    <cellStyle name="常规 49 2 4 2 2" xfId="27303"/>
    <cellStyle name="常规 54 2 4 2 2" xfId="27304"/>
    <cellStyle name="常规 49 2 4 2 3" xfId="27305"/>
    <cellStyle name="常规 54 2 4 2 3" xfId="27306"/>
    <cellStyle name="常规 49 2 5" xfId="27307"/>
    <cellStyle name="常规 54 2 5" xfId="27308"/>
    <cellStyle name="常规 49 2 6" xfId="27309"/>
    <cellStyle name="常规 54 2 6" xfId="27310"/>
    <cellStyle name="常规 49 3" xfId="27311"/>
    <cellStyle name="常规 54 3" xfId="27312"/>
    <cellStyle name="输出 2 6 2 6" xfId="27313"/>
    <cellStyle name="常规 49 3 10" xfId="27314"/>
    <cellStyle name="常规 54 3 10" xfId="27315"/>
    <cellStyle name="输出 2 6 2 7" xfId="27316"/>
    <cellStyle name="常规 49 3 11" xfId="27317"/>
    <cellStyle name="常规 54 3 11" xfId="27318"/>
    <cellStyle name="输出 2 6 2 8" xfId="27319"/>
    <cellStyle name="常规 49 3 12" xfId="27320"/>
    <cellStyle name="常规 54 3 12" xfId="27321"/>
    <cellStyle name="输出 2 6 2 9" xfId="27322"/>
    <cellStyle name="常规 49 3 13" xfId="27323"/>
    <cellStyle name="常规 54 3 13" xfId="27324"/>
    <cellStyle name="常规 49 3 14" xfId="27325"/>
    <cellStyle name="常规 54 3 14" xfId="27326"/>
    <cellStyle name="常规 49 3 15" xfId="27327"/>
    <cellStyle name="常规 54 3 15" xfId="27328"/>
    <cellStyle name="常规 49 3 16" xfId="27329"/>
    <cellStyle name="常规 54 3 16" xfId="27330"/>
    <cellStyle name="常规 49 3 17" xfId="27331"/>
    <cellStyle name="常规 54 3 17" xfId="27332"/>
    <cellStyle name="常规 49 3 18" xfId="27333"/>
    <cellStyle name="常规 54 3 18" xfId="27334"/>
    <cellStyle name="常规 49 3 2" xfId="27335"/>
    <cellStyle name="常规 54 3 2" xfId="27336"/>
    <cellStyle name="常规 49 3 3" xfId="27337"/>
    <cellStyle name="常规 54 3 3" xfId="27338"/>
    <cellStyle name="常规 49 3 3 2 2" xfId="27339"/>
    <cellStyle name="常规 54 3 3 2 2" xfId="27340"/>
    <cellStyle name="常规 49 3 3 2 3" xfId="27341"/>
    <cellStyle name="常规 54 3 3 2 3" xfId="27342"/>
    <cellStyle name="常规 79 3 3 2" xfId="27343"/>
    <cellStyle name="常规 84 3 3 2" xfId="27344"/>
    <cellStyle name="常规 49 3 4" xfId="27345"/>
    <cellStyle name="常规 54 3 4" xfId="27346"/>
    <cellStyle name="常规 49 3 7" xfId="27347"/>
    <cellStyle name="常规 54 3 7" xfId="27348"/>
    <cellStyle name="常规 49 3 8" xfId="27349"/>
    <cellStyle name="常规 54 3 8" xfId="27350"/>
    <cellStyle name="常规 49 3 9" xfId="27351"/>
    <cellStyle name="常规 54 3 9" xfId="27352"/>
    <cellStyle name="常规 49 4" xfId="27353"/>
    <cellStyle name="常规 54 4" xfId="27354"/>
    <cellStyle name="常规 49 5" xfId="27355"/>
    <cellStyle name="常规 54 5" xfId="27356"/>
    <cellStyle name="常规 49 5 2" xfId="27357"/>
    <cellStyle name="常规 54 5 2" xfId="27358"/>
    <cellStyle name="常规 49 5 3" xfId="27359"/>
    <cellStyle name="常规 54 5 3" xfId="27360"/>
    <cellStyle name="常规 49 6" xfId="27361"/>
    <cellStyle name="常规 54 6" xfId="27362"/>
    <cellStyle name="常规 49 7" xfId="27363"/>
    <cellStyle name="常规 54 7" xfId="27364"/>
    <cellStyle name="常规 49 8" xfId="27365"/>
    <cellStyle name="常规 54 8" xfId="27366"/>
    <cellStyle name="常规 5" xfId="27367"/>
    <cellStyle name="常规 5 10" xfId="27368"/>
    <cellStyle name="常规 5 11" xfId="27369"/>
    <cellStyle name="常规 5 12" xfId="27370"/>
    <cellStyle name="常规 5 13" xfId="27371"/>
    <cellStyle name="常规 5 14" xfId="27372"/>
    <cellStyle name="常规 5 15" xfId="27373"/>
    <cellStyle name="常规 5 20" xfId="27374"/>
    <cellStyle name="常规 5 16" xfId="27375"/>
    <cellStyle name="常规 5 21" xfId="27376"/>
    <cellStyle name="常规 5 17" xfId="27377"/>
    <cellStyle name="常规 5 22" xfId="27378"/>
    <cellStyle name="常规 5 18" xfId="27379"/>
    <cellStyle name="常规 5 23" xfId="27380"/>
    <cellStyle name="常规 5 19" xfId="27381"/>
    <cellStyle name="常规 5 2 2 3 2" xfId="27382"/>
    <cellStyle name="常规 5 2 2 3 3" xfId="27383"/>
    <cellStyle name="常规 5 2 4 2 2" xfId="27384"/>
    <cellStyle name="常规 5 2 4 2 3" xfId="27385"/>
    <cellStyle name="常规 55" xfId="27386"/>
    <cellStyle name="常规 60" xfId="27387"/>
    <cellStyle name="常规 55 17" xfId="27388"/>
    <cellStyle name="常规 55 22" xfId="27389"/>
    <cellStyle name="常规 60 17" xfId="27390"/>
    <cellStyle name="常规 60 22" xfId="27391"/>
    <cellStyle name="常规 75 2 8" xfId="27392"/>
    <cellStyle name="常规 80 2 8" xfId="27393"/>
    <cellStyle name="常规 55 18" xfId="27394"/>
    <cellStyle name="常规 55 23" xfId="27395"/>
    <cellStyle name="常规 60 18" xfId="27396"/>
    <cellStyle name="常规 60 23" xfId="27397"/>
    <cellStyle name="常规 75 2 9" xfId="27398"/>
    <cellStyle name="常规 80 2 9" xfId="27399"/>
    <cellStyle name="常规 55 19" xfId="27400"/>
    <cellStyle name="常规 60 19" xfId="27401"/>
    <cellStyle name="常规 55 2 16" xfId="27402"/>
    <cellStyle name="常规 60 2 16" xfId="27403"/>
    <cellStyle name="常规 55 2 2 14" xfId="27404"/>
    <cellStyle name="常规 60 2 2 14" xfId="27405"/>
    <cellStyle name="常规 55 2 2 15" xfId="27406"/>
    <cellStyle name="常规 60 2 2 15" xfId="27407"/>
    <cellStyle name="常规 55 2 2 16" xfId="27408"/>
    <cellStyle name="常规 60 2 2 16" xfId="27409"/>
    <cellStyle name="常规 55 2 2 3 2" xfId="27410"/>
    <cellStyle name="常规 60 2 2 3 2" xfId="27411"/>
    <cellStyle name="常规 55 2 2 3 3" xfId="27412"/>
    <cellStyle name="常规 60 2 2 3 3" xfId="27413"/>
    <cellStyle name="常规 85 2 7" xfId="27414"/>
    <cellStyle name="常规 90 2 7" xfId="27415"/>
    <cellStyle name="常规 55 2 2 4" xfId="27416"/>
    <cellStyle name="常规 60 2 2 4" xfId="27417"/>
    <cellStyle name="常规 85 2 8" xfId="27418"/>
    <cellStyle name="常规 90 2 8" xfId="27419"/>
    <cellStyle name="常规 55 2 2 5" xfId="27420"/>
    <cellStyle name="常规 60 2 2 5" xfId="27421"/>
    <cellStyle name="常规 85 2 9" xfId="27422"/>
    <cellStyle name="常规 90 2 9" xfId="27423"/>
    <cellStyle name="常规 55 2 2 6" xfId="27424"/>
    <cellStyle name="常规 60 2 2 6" xfId="27425"/>
    <cellStyle name="常规 55 2 2 7" xfId="27426"/>
    <cellStyle name="常规 60 2 2 7" xfId="27427"/>
    <cellStyle name="常规 55 2 2 8" xfId="27428"/>
    <cellStyle name="常规 60 2 2 8" xfId="27429"/>
    <cellStyle name="常规 55 2 2 9" xfId="27430"/>
    <cellStyle name="常规 60 2 2 9" xfId="27431"/>
    <cellStyle name="常规 78 2 10" xfId="27432"/>
    <cellStyle name="常规 83 2 10" xfId="27433"/>
    <cellStyle name="常规 55 2 4 2" xfId="27434"/>
    <cellStyle name="常规 60 2 4 2" xfId="27435"/>
    <cellStyle name="常规 55 2 4 2 2" xfId="27436"/>
    <cellStyle name="常规 60 2 4 2 2" xfId="27437"/>
    <cellStyle name="常规 55 2 4 2 3" xfId="27438"/>
    <cellStyle name="常规 60 2 4 2 3" xfId="27439"/>
    <cellStyle name="计算 2 2 6 10" xfId="27440"/>
    <cellStyle name="常规 78 2 11" xfId="27441"/>
    <cellStyle name="常规 83 2 11" xfId="27442"/>
    <cellStyle name="常规 55 2 4 3" xfId="27443"/>
    <cellStyle name="常规 60 2 4 3" xfId="27444"/>
    <cellStyle name="常规 55 2 7" xfId="27445"/>
    <cellStyle name="常规 60 2 7" xfId="27446"/>
    <cellStyle name="常规 55 2 8" xfId="27447"/>
    <cellStyle name="常规 60 2 8" xfId="27448"/>
    <cellStyle name="常规 55 2 9" xfId="27449"/>
    <cellStyle name="常规 60 2 9" xfId="27450"/>
    <cellStyle name="常规 55 3" xfId="27451"/>
    <cellStyle name="常规 60 3" xfId="27452"/>
    <cellStyle name="常规 55 3 16" xfId="27453"/>
    <cellStyle name="常规 60 3 16" xfId="27454"/>
    <cellStyle name="常规 55 3 17" xfId="27455"/>
    <cellStyle name="常规 60 3 17" xfId="27456"/>
    <cellStyle name="常规 55 3 18" xfId="27457"/>
    <cellStyle name="常规 60 3 18" xfId="27458"/>
    <cellStyle name="常规 86 3 5" xfId="27459"/>
    <cellStyle name="常规 91 3 5" xfId="27460"/>
    <cellStyle name="常规 55 3 3 2" xfId="27461"/>
    <cellStyle name="常规 60 3 3 2" xfId="27462"/>
    <cellStyle name="常规 55 3 3 2 2" xfId="27463"/>
    <cellStyle name="常规 60 3 3 2 2" xfId="27464"/>
    <cellStyle name="常规 55 3 3 2 3" xfId="27465"/>
    <cellStyle name="常规 60 3 3 2 3" xfId="27466"/>
    <cellStyle name="常规 86 3 6" xfId="27467"/>
    <cellStyle name="常规 91 3 6" xfId="27468"/>
    <cellStyle name="常规 55 3 3 3" xfId="27469"/>
    <cellStyle name="常规 60 3 3 3" xfId="27470"/>
    <cellStyle name="常规 55 3 5" xfId="27471"/>
    <cellStyle name="常规 60 3 5" xfId="27472"/>
    <cellStyle name="常规 55 3 6" xfId="27473"/>
    <cellStyle name="常规 60 3 6" xfId="27474"/>
    <cellStyle name="常规 55 3 7" xfId="27475"/>
    <cellStyle name="常规 60 3 7" xfId="27476"/>
    <cellStyle name="常规 55 3 8" xfId="27477"/>
    <cellStyle name="常规 60 3 8" xfId="27478"/>
    <cellStyle name="常规 55 3 9" xfId="27479"/>
    <cellStyle name="常规 60 3 9" xfId="27480"/>
    <cellStyle name="常规 55 4" xfId="27481"/>
    <cellStyle name="常规 60 4" xfId="27482"/>
    <cellStyle name="常规 88 2 5" xfId="27483"/>
    <cellStyle name="常规 93 2 5" xfId="27484"/>
    <cellStyle name="常规 55 5 2 2" xfId="27485"/>
    <cellStyle name="常规 60 5 2 2" xfId="27486"/>
    <cellStyle name="常规 55 5 2 3" xfId="27487"/>
    <cellStyle name="常规 60 5 2 3" xfId="27488"/>
    <cellStyle name="常规 55 7" xfId="27489"/>
    <cellStyle name="常规 60 7" xfId="27490"/>
    <cellStyle name="常规 55 8" xfId="27491"/>
    <cellStyle name="常规 60 8" xfId="27492"/>
    <cellStyle name="常规 56" xfId="27493"/>
    <cellStyle name="常规 61" xfId="27494"/>
    <cellStyle name="常规 56 17" xfId="27495"/>
    <cellStyle name="常规 56 22" xfId="27496"/>
    <cellStyle name="常规 61 17" xfId="27497"/>
    <cellStyle name="常规 61 22" xfId="27498"/>
    <cellStyle name="常规 56 18" xfId="27499"/>
    <cellStyle name="常规 56 23" xfId="27500"/>
    <cellStyle name="常规 61 18" xfId="27501"/>
    <cellStyle name="常规 61 23" xfId="27502"/>
    <cellStyle name="常规 56 19" xfId="27503"/>
    <cellStyle name="常规 61 19" xfId="27504"/>
    <cellStyle name="输出 2 2 9 2 11" xfId="27505"/>
    <cellStyle name="常规 56 2 10" xfId="27506"/>
    <cellStyle name="常规 61 2 10" xfId="27507"/>
    <cellStyle name="输出 2 2 9 2 12" xfId="27508"/>
    <cellStyle name="常规 56 2 11" xfId="27509"/>
    <cellStyle name="常规 61 2 11" xfId="27510"/>
    <cellStyle name="常规 56 2 12" xfId="27511"/>
    <cellStyle name="常规 61 2 12" xfId="27512"/>
    <cellStyle name="常规 56 2 13" xfId="27513"/>
    <cellStyle name="常规 61 2 13" xfId="27514"/>
    <cellStyle name="常规 56 2 14" xfId="27515"/>
    <cellStyle name="常规 61 2 14" xfId="27516"/>
    <cellStyle name="常规 56 2 15" xfId="27517"/>
    <cellStyle name="常规 61 2 15" xfId="27518"/>
    <cellStyle name="常规 56 2 16" xfId="27519"/>
    <cellStyle name="常规 61 2 16" xfId="27520"/>
    <cellStyle name="常规 56 2 2 13" xfId="27521"/>
    <cellStyle name="常规 61 2 2 13" xfId="27522"/>
    <cellStyle name="常规 56 2 2 14" xfId="27523"/>
    <cellStyle name="常规 61 2 2 14" xfId="27524"/>
    <cellStyle name="常规 56 2 2 17" xfId="27525"/>
    <cellStyle name="常规 61 2 2 17" xfId="27526"/>
    <cellStyle name="输入 2 2 4 2 2" xfId="27527"/>
    <cellStyle name="常规 56 2 2 18" xfId="27528"/>
    <cellStyle name="常规 61 2 2 18" xfId="27529"/>
    <cellStyle name="常规 56 2 2 3 2" xfId="27530"/>
    <cellStyle name="常规 61 2 2 3 2" xfId="27531"/>
    <cellStyle name="常规 56 2 2 3 2 2" xfId="27532"/>
    <cellStyle name="常规 61 2 2 3 2 2" xfId="27533"/>
    <cellStyle name="常规 56 2 2 3 2 3" xfId="27534"/>
    <cellStyle name="常规 61 2 2 3 2 3" xfId="27535"/>
    <cellStyle name="常规 56 2 2 3 3" xfId="27536"/>
    <cellStyle name="常规 61 2 2 3 3" xfId="27537"/>
    <cellStyle name="输出 2 2 8 2 6" xfId="27538"/>
    <cellStyle name="常规 56 2 4 2 2" xfId="27539"/>
    <cellStyle name="常规 61 2 4 2 2" xfId="27540"/>
    <cellStyle name="输出 2 2 8 2 7" xfId="27541"/>
    <cellStyle name="常规 56 2 4 2 3" xfId="27542"/>
    <cellStyle name="常规 61 2 4 2 3" xfId="27543"/>
    <cellStyle name="输出 2 6 2 12" xfId="27544"/>
    <cellStyle name="汇总 3 2 9 2 8" xfId="27545"/>
    <cellStyle name="常规 56 3" xfId="27546"/>
    <cellStyle name="常规 61 3" xfId="27547"/>
    <cellStyle name="常规 56 3 10" xfId="27548"/>
    <cellStyle name="常规 61 3 10" xfId="27549"/>
    <cellStyle name="常规 56 3 11" xfId="27550"/>
    <cellStyle name="常规 61 3 11" xfId="27551"/>
    <cellStyle name="常规 56 3 12" xfId="27552"/>
    <cellStyle name="常规 61 3 12" xfId="27553"/>
    <cellStyle name="常规 66 2 2 2" xfId="27554"/>
    <cellStyle name="常规 71 2 2 2" xfId="27555"/>
    <cellStyle name="常规 56 3 13" xfId="27556"/>
    <cellStyle name="常规 61 3 13" xfId="27557"/>
    <cellStyle name="常规 66 2 2 3" xfId="27558"/>
    <cellStyle name="常规 71 2 2 3" xfId="27559"/>
    <cellStyle name="常规 56 3 14" xfId="27560"/>
    <cellStyle name="常规 61 3 14" xfId="27561"/>
    <cellStyle name="常规 66 2 2 4" xfId="27562"/>
    <cellStyle name="常规 71 2 2 4" xfId="27563"/>
    <cellStyle name="常规 56 3 15" xfId="27564"/>
    <cellStyle name="常规 61 3 15" xfId="27565"/>
    <cellStyle name="常规 66 2 2 5" xfId="27566"/>
    <cellStyle name="常规 71 2 2 5" xfId="27567"/>
    <cellStyle name="常规 56 3 16" xfId="27568"/>
    <cellStyle name="常规 61 3 16" xfId="27569"/>
    <cellStyle name="常规 66 2 2 6" xfId="27570"/>
    <cellStyle name="常规 71 2 2 6" xfId="27571"/>
    <cellStyle name="常规 56 3 17" xfId="27572"/>
    <cellStyle name="常规 61 3 17" xfId="27573"/>
    <cellStyle name="常规 66 2 2 7" xfId="27574"/>
    <cellStyle name="常规 71 2 2 7" xfId="27575"/>
    <cellStyle name="常规 56 3 18" xfId="27576"/>
    <cellStyle name="常规 61 3 18" xfId="27577"/>
    <cellStyle name="常规 56 3 2" xfId="27578"/>
    <cellStyle name="常规 61 3 2" xfId="27579"/>
    <cellStyle name="常规 56 3 3" xfId="27580"/>
    <cellStyle name="常规 61 3 3" xfId="27581"/>
    <cellStyle name="常规 56 3 3 2" xfId="27582"/>
    <cellStyle name="常规 61 3 3 2" xfId="27583"/>
    <cellStyle name="常规 56 3 3 3" xfId="27584"/>
    <cellStyle name="常规 61 3 3 3" xfId="27585"/>
    <cellStyle name="常规 56 3 4" xfId="27586"/>
    <cellStyle name="常规 61 3 4" xfId="27587"/>
    <cellStyle name="常规 56 3 5" xfId="27588"/>
    <cellStyle name="常规 61 3 5" xfId="27589"/>
    <cellStyle name="常规 56 3 6" xfId="27590"/>
    <cellStyle name="常规 61 3 6" xfId="27591"/>
    <cellStyle name="常规 56 3 7" xfId="27592"/>
    <cellStyle name="常规 61 3 7" xfId="27593"/>
    <cellStyle name="输出 2 8 2 10" xfId="27594"/>
    <cellStyle name="常规 56 3 8" xfId="27595"/>
    <cellStyle name="常规 61 3 8" xfId="27596"/>
    <cellStyle name="输出 2 8 2 11" xfId="27597"/>
    <cellStyle name="常规 56 3 9" xfId="27598"/>
    <cellStyle name="常规 61 3 9" xfId="27599"/>
    <cellStyle name="汇总 3 2 9 2 9" xfId="27600"/>
    <cellStyle name="常规 56 4" xfId="27601"/>
    <cellStyle name="常规 61 4" xfId="27602"/>
    <cellStyle name="常规 56 5" xfId="27603"/>
    <cellStyle name="常规 61 5" xfId="27604"/>
    <cellStyle name="常规 56 5 2" xfId="27605"/>
    <cellStyle name="常规 61 5 2" xfId="27606"/>
    <cellStyle name="常规 56 5 3" xfId="27607"/>
    <cellStyle name="常规 61 5 3" xfId="27608"/>
    <cellStyle name="常规 56 6" xfId="27609"/>
    <cellStyle name="常规 61 6" xfId="27610"/>
    <cellStyle name="常规 56 7" xfId="27611"/>
    <cellStyle name="常规 61 7" xfId="27612"/>
    <cellStyle name="常规 56 8" xfId="27613"/>
    <cellStyle name="常规 61 8" xfId="27614"/>
    <cellStyle name="常规 56 9" xfId="27615"/>
    <cellStyle name="常规 61 9" xfId="27616"/>
    <cellStyle name="常规 57" xfId="27617"/>
    <cellStyle name="常规 62" xfId="27618"/>
    <cellStyle name="常规 57 18" xfId="27619"/>
    <cellStyle name="常规 57 23" xfId="27620"/>
    <cellStyle name="常规 62 18" xfId="27621"/>
    <cellStyle name="常规 62 23" xfId="27622"/>
    <cellStyle name="常规 57 19" xfId="27623"/>
    <cellStyle name="常规 62 19" xfId="27624"/>
    <cellStyle name="常规 57 2" xfId="27625"/>
    <cellStyle name="常规 62 2" xfId="27626"/>
    <cellStyle name="常规 57 2 10" xfId="27627"/>
    <cellStyle name="常规 62 2 10" xfId="27628"/>
    <cellStyle name="常规 57 2 11" xfId="27629"/>
    <cellStyle name="常规 62 2 11" xfId="27630"/>
    <cellStyle name="常规 57 2 12" xfId="27631"/>
    <cellStyle name="常规 62 2 12" xfId="27632"/>
    <cellStyle name="常规 57 2 13" xfId="27633"/>
    <cellStyle name="常规 62 2 13" xfId="27634"/>
    <cellStyle name="常规 57 2 14" xfId="27635"/>
    <cellStyle name="常规 62 2 14" xfId="27636"/>
    <cellStyle name="常规 57 2 15" xfId="27637"/>
    <cellStyle name="常规 62 2 15" xfId="27638"/>
    <cellStyle name="常规 57 2 16" xfId="27639"/>
    <cellStyle name="常规 62 2 16" xfId="27640"/>
    <cellStyle name="常规 57 2 17" xfId="27641"/>
    <cellStyle name="常规 62 2 17" xfId="27642"/>
    <cellStyle name="常规 57 2 18" xfId="27643"/>
    <cellStyle name="常规 62 2 18" xfId="27644"/>
    <cellStyle name="常规 57 2 19" xfId="27645"/>
    <cellStyle name="常规 62 2 19" xfId="27646"/>
    <cellStyle name="计算 3 6 2 10" xfId="27647"/>
    <cellStyle name="常规 57 2 2" xfId="27648"/>
    <cellStyle name="常规 62 2 2" xfId="27649"/>
    <cellStyle name="常规 57 2 2 10" xfId="27650"/>
    <cellStyle name="常规 62 2 2 10" xfId="27651"/>
    <cellStyle name="常规 57 2 2 11" xfId="27652"/>
    <cellStyle name="常规 62 2 2 11" xfId="27653"/>
    <cellStyle name="常规 57 2 2 12" xfId="27654"/>
    <cellStyle name="常规 62 2 2 12" xfId="27655"/>
    <cellStyle name="常规 57 2 2 13" xfId="27656"/>
    <cellStyle name="常规 62 2 2 13" xfId="27657"/>
    <cellStyle name="常规 57 2 2 14" xfId="27658"/>
    <cellStyle name="常规 62 2 2 14" xfId="27659"/>
    <cellStyle name="常规 57 2 2 17" xfId="27660"/>
    <cellStyle name="常规 62 2 2 17" xfId="27661"/>
    <cellStyle name="常规 57 2 2 18" xfId="27662"/>
    <cellStyle name="常规 62 2 2 18" xfId="27663"/>
    <cellStyle name="计算 3 6 2 11" xfId="27664"/>
    <cellStyle name="常规 57 2 3" xfId="27665"/>
    <cellStyle name="常规 62 2 3" xfId="27666"/>
    <cellStyle name="计算 3 6 2 12" xfId="27667"/>
    <cellStyle name="常规 57 2 4" xfId="27668"/>
    <cellStyle name="常规 62 2 4" xfId="27669"/>
    <cellStyle name="常规 57 2 5" xfId="27670"/>
    <cellStyle name="常规 62 2 5" xfId="27671"/>
    <cellStyle name="常规 57 2 6" xfId="27672"/>
    <cellStyle name="常规 62 2 6" xfId="27673"/>
    <cellStyle name="常规 57 2 7" xfId="27674"/>
    <cellStyle name="常规 62 2 7" xfId="27675"/>
    <cellStyle name="常规 57 2 8" xfId="27676"/>
    <cellStyle name="常规 62 2 8" xfId="27677"/>
    <cellStyle name="常规 57 2 9" xfId="27678"/>
    <cellStyle name="常规 62 2 9" xfId="27679"/>
    <cellStyle name="常规 57 3" xfId="27680"/>
    <cellStyle name="常规 62 3" xfId="27681"/>
    <cellStyle name="常规 57 3 10" xfId="27682"/>
    <cellStyle name="常规 62 3 10" xfId="27683"/>
    <cellStyle name="常规 57 3 11" xfId="27684"/>
    <cellStyle name="常规 62 3 11" xfId="27685"/>
    <cellStyle name="常规 57 3 12" xfId="27686"/>
    <cellStyle name="常规 62 3 12" xfId="27687"/>
    <cellStyle name="常规 57 3 13" xfId="27688"/>
    <cellStyle name="常规 62 3 13" xfId="27689"/>
    <cellStyle name="常规 57 3 14" xfId="27690"/>
    <cellStyle name="常规 62 3 14" xfId="27691"/>
    <cellStyle name="常规 57 3 15" xfId="27692"/>
    <cellStyle name="常规 62 3 15" xfId="27693"/>
    <cellStyle name="常规 57 3 16" xfId="27694"/>
    <cellStyle name="常规 62 3 16" xfId="27695"/>
    <cellStyle name="常规 57 3 17" xfId="27696"/>
    <cellStyle name="常规 62 3 17" xfId="27697"/>
    <cellStyle name="常规 57 3 18" xfId="27698"/>
    <cellStyle name="常规 62 3 18" xfId="27699"/>
    <cellStyle name="常规 57 3 2" xfId="27700"/>
    <cellStyle name="常规 62 3 2" xfId="27701"/>
    <cellStyle name="常规 57 3 3" xfId="27702"/>
    <cellStyle name="常规 62 3 3" xfId="27703"/>
    <cellStyle name="常规 57 3 4" xfId="27704"/>
    <cellStyle name="常规 62 3 4" xfId="27705"/>
    <cellStyle name="常规 57 3 5" xfId="27706"/>
    <cellStyle name="常规 62 3 5" xfId="27707"/>
    <cellStyle name="常规 57 3 6" xfId="27708"/>
    <cellStyle name="常规 62 3 6" xfId="27709"/>
    <cellStyle name="常规 57 3 7" xfId="27710"/>
    <cellStyle name="常规 62 3 7" xfId="27711"/>
    <cellStyle name="常规 57 3 8" xfId="27712"/>
    <cellStyle name="常规 62 3 8" xfId="27713"/>
    <cellStyle name="常规 57 3 9" xfId="27714"/>
    <cellStyle name="常规 62 3 9" xfId="27715"/>
    <cellStyle name="常规 57 4" xfId="27716"/>
    <cellStyle name="常规 62 4" xfId="27717"/>
    <cellStyle name="常规 57 5" xfId="27718"/>
    <cellStyle name="常规 62 5" xfId="27719"/>
    <cellStyle name="常规 57 5 2" xfId="27720"/>
    <cellStyle name="常规 62 5 2" xfId="27721"/>
    <cellStyle name="常规 57 5 2 2" xfId="27722"/>
    <cellStyle name="常规 62 5 2 2" xfId="27723"/>
    <cellStyle name="常规 57 5 2 3" xfId="27724"/>
    <cellStyle name="常规 62 5 2 3" xfId="27725"/>
    <cellStyle name="常规 57 5 3" xfId="27726"/>
    <cellStyle name="常规 62 5 3" xfId="27727"/>
    <cellStyle name="常规 57 6" xfId="27728"/>
    <cellStyle name="常规 62 6" xfId="27729"/>
    <cellStyle name="常规 57 7" xfId="27730"/>
    <cellStyle name="常规 62 7" xfId="27731"/>
    <cellStyle name="常规 57 8" xfId="27732"/>
    <cellStyle name="常规 62 8" xfId="27733"/>
    <cellStyle name="常规 58" xfId="27734"/>
    <cellStyle name="常规 63" xfId="27735"/>
    <cellStyle name="常规 58 10" xfId="27736"/>
    <cellStyle name="常规 63 10" xfId="27737"/>
    <cellStyle name="常规 58 11" xfId="27738"/>
    <cellStyle name="常规 63 11" xfId="27739"/>
    <cellStyle name="常规 58 12" xfId="27740"/>
    <cellStyle name="常规 63 12" xfId="27741"/>
    <cellStyle name="常规 58 13" xfId="27742"/>
    <cellStyle name="常规 63 13" xfId="27743"/>
    <cellStyle name="常规 58 14" xfId="27744"/>
    <cellStyle name="常规 63 14" xfId="27745"/>
    <cellStyle name="常规 58 15" xfId="27746"/>
    <cellStyle name="常规 58 20" xfId="27747"/>
    <cellStyle name="常规 63 15" xfId="27748"/>
    <cellStyle name="常规 63 20" xfId="27749"/>
    <cellStyle name="常规 58 16" xfId="27750"/>
    <cellStyle name="常规 58 21" xfId="27751"/>
    <cellStyle name="常规 63 16" xfId="27752"/>
    <cellStyle name="常规 63 21" xfId="27753"/>
    <cellStyle name="常规 58 17" xfId="27754"/>
    <cellStyle name="常规 58 22" xfId="27755"/>
    <cellStyle name="常规 63 17" xfId="27756"/>
    <cellStyle name="常规 63 22" xfId="27757"/>
    <cellStyle name="常规 58 18" xfId="27758"/>
    <cellStyle name="常规 58 23" xfId="27759"/>
    <cellStyle name="常规 63 18" xfId="27760"/>
    <cellStyle name="常规 63 23" xfId="27761"/>
    <cellStyle name="常规 58 19" xfId="27762"/>
    <cellStyle name="常规 63 19" xfId="27763"/>
    <cellStyle name="常规 58 2" xfId="27764"/>
    <cellStyle name="常规 63 2" xfId="27765"/>
    <cellStyle name="常规 58 2 12" xfId="27766"/>
    <cellStyle name="常规 63 2 12" xfId="27767"/>
    <cellStyle name="常规 58 2 13" xfId="27768"/>
    <cellStyle name="常规 63 2 13" xfId="27769"/>
    <cellStyle name="常规 58 2 14" xfId="27770"/>
    <cellStyle name="常规 63 2 14" xfId="27771"/>
    <cellStyle name="常规 58 2 15" xfId="27772"/>
    <cellStyle name="常规 63 2 15" xfId="27773"/>
    <cellStyle name="常规 58 2 16" xfId="27774"/>
    <cellStyle name="常规 63 2 16" xfId="27775"/>
    <cellStyle name="常规 58 2 17" xfId="27776"/>
    <cellStyle name="常规 63 2 17" xfId="27777"/>
    <cellStyle name="常规 58 2 18" xfId="27778"/>
    <cellStyle name="常规 63 2 18" xfId="27779"/>
    <cellStyle name="常规 58 2 19" xfId="27780"/>
    <cellStyle name="常规 63 2 19" xfId="27781"/>
    <cellStyle name="常规 58 2 2 11" xfId="27782"/>
    <cellStyle name="常规 63 2 2 11" xfId="27783"/>
    <cellStyle name="常规 58 2 2 12" xfId="27784"/>
    <cellStyle name="常规 63 2 2 12" xfId="27785"/>
    <cellStyle name="常规 58 2 2 13" xfId="27786"/>
    <cellStyle name="常规 63 2 2 13" xfId="27787"/>
    <cellStyle name="常规 58 2 2 14" xfId="27788"/>
    <cellStyle name="常规 63 2 2 14" xfId="27789"/>
    <cellStyle name="常规 58 2 2 15" xfId="27790"/>
    <cellStyle name="常规 63 2 2 15" xfId="27791"/>
    <cellStyle name="常规 58 2 2 16" xfId="27792"/>
    <cellStyle name="常规 63 2 2 16" xfId="27793"/>
    <cellStyle name="常规 58 2 2 17" xfId="27794"/>
    <cellStyle name="常规 63 2 2 17" xfId="27795"/>
    <cellStyle name="常规 58 2 2 18" xfId="27796"/>
    <cellStyle name="常规 63 2 2 18" xfId="27797"/>
    <cellStyle name="汇总 3 2 12 2 3" xfId="27798"/>
    <cellStyle name="常规 58 2 2 2" xfId="27799"/>
    <cellStyle name="常规 63 2 2 2" xfId="27800"/>
    <cellStyle name="汇总 3 2 12 2 4" xfId="27801"/>
    <cellStyle name="常规 58 2 2 3" xfId="27802"/>
    <cellStyle name="常规 63 2 2 3" xfId="27803"/>
    <cellStyle name="常规 58 2 2 3 2" xfId="27804"/>
    <cellStyle name="常规 63 2 2 3 2" xfId="27805"/>
    <cellStyle name="常规 58 2 2 3 2 2" xfId="27806"/>
    <cellStyle name="常规 63 2 2 3 2 2" xfId="27807"/>
    <cellStyle name="常规 58 2 2 3 2 3" xfId="27808"/>
    <cellStyle name="常规 63 2 2 3 2 3" xfId="27809"/>
    <cellStyle name="常规 58 2 2 3 3" xfId="27810"/>
    <cellStyle name="常规 63 2 2 3 3" xfId="27811"/>
    <cellStyle name="汇总 3 2 12 2 5" xfId="27812"/>
    <cellStyle name="常规 58 2 2 4" xfId="27813"/>
    <cellStyle name="常规 63 2 2 4" xfId="27814"/>
    <cellStyle name="汇总 3 2 12 2 6" xfId="27815"/>
    <cellStyle name="常规 58 2 2 5" xfId="27816"/>
    <cellStyle name="常规 63 2 2 5" xfId="27817"/>
    <cellStyle name="汇总 3 2 12 2 7" xfId="27818"/>
    <cellStyle name="常规 58 2 2 6" xfId="27819"/>
    <cellStyle name="常规 63 2 2 6" xfId="27820"/>
    <cellStyle name="汇总 3 2 12 2 8" xfId="27821"/>
    <cellStyle name="常规 58 2 2 7" xfId="27822"/>
    <cellStyle name="常规 63 2 2 7" xfId="27823"/>
    <cellStyle name="汇总 3 2 12 2 9" xfId="27824"/>
    <cellStyle name="常规 58 2 2 8" xfId="27825"/>
    <cellStyle name="常规 63 2 2 8" xfId="27826"/>
    <cellStyle name="汇总 3 2 4 2 10" xfId="27827"/>
    <cellStyle name="常规 58 2 2 9" xfId="27828"/>
    <cellStyle name="常规 63 2 2 9" xfId="27829"/>
    <cellStyle name="常规 58 2 4 2 2" xfId="27830"/>
    <cellStyle name="常规 63 2 4 2 2" xfId="27831"/>
    <cellStyle name="常规 58 2 4 2 3" xfId="27832"/>
    <cellStyle name="常规 63 2 4 2 3" xfId="27833"/>
    <cellStyle name="常规 58 2 4 3" xfId="27834"/>
    <cellStyle name="常规 63 2 4 3" xfId="27835"/>
    <cellStyle name="常规 58 2 7" xfId="27836"/>
    <cellStyle name="常规 63 2 7" xfId="27837"/>
    <cellStyle name="常规 58 2 8" xfId="27838"/>
    <cellStyle name="常规 63 2 8" xfId="27839"/>
    <cellStyle name="汇总 2 2 7 3 2 2" xfId="27840"/>
    <cellStyle name="常规 58 2 9" xfId="27841"/>
    <cellStyle name="常规 63 2 9" xfId="27842"/>
    <cellStyle name="常规 58 3" xfId="27843"/>
    <cellStyle name="常规 63 3" xfId="27844"/>
    <cellStyle name="常规 58 3 10" xfId="27845"/>
    <cellStyle name="常规 63 3 10" xfId="27846"/>
    <cellStyle name="常规 58 3 11" xfId="27847"/>
    <cellStyle name="常规 63 3 11" xfId="27848"/>
    <cellStyle name="常规 58 3 12" xfId="27849"/>
    <cellStyle name="常规 63 3 12" xfId="27850"/>
    <cellStyle name="汇总 3 2 13 3" xfId="27851"/>
    <cellStyle name="常规 58 3 15" xfId="27852"/>
    <cellStyle name="常规 63 3 15" xfId="27853"/>
    <cellStyle name="汇总 3 2 13 4" xfId="27854"/>
    <cellStyle name="常规 58 3 16" xfId="27855"/>
    <cellStyle name="常规 63 3 16" xfId="27856"/>
    <cellStyle name="汇总 3 2 13 5" xfId="27857"/>
    <cellStyle name="常规 58 3 17" xfId="27858"/>
    <cellStyle name="常规 63 3 17" xfId="27859"/>
    <cellStyle name="汇总 3 2 13 6" xfId="27860"/>
    <cellStyle name="常规 58 3 18" xfId="27861"/>
    <cellStyle name="常规 63 3 18" xfId="27862"/>
    <cellStyle name="常规 58 3 2" xfId="27863"/>
    <cellStyle name="常规 63 3 2" xfId="27864"/>
    <cellStyle name="常规 58 3 3" xfId="27865"/>
    <cellStyle name="常规 63 3 3" xfId="27866"/>
    <cellStyle name="常规 58 3 3 2" xfId="27867"/>
    <cellStyle name="常规 63 3 3 2" xfId="27868"/>
    <cellStyle name="输入 2 4 2 3" xfId="27869"/>
    <cellStyle name="常规 58 3 3 2 2" xfId="27870"/>
    <cellStyle name="常规 63 3 3 2 2" xfId="27871"/>
    <cellStyle name="输入 2 4 2 4" xfId="27872"/>
    <cellStyle name="常规 58 3 3 2 3" xfId="27873"/>
    <cellStyle name="常规 63 3 3 2 3" xfId="27874"/>
    <cellStyle name="常规 58 3 3 3" xfId="27875"/>
    <cellStyle name="常规 63 3 3 3" xfId="27876"/>
    <cellStyle name="常规 58 3 4" xfId="27877"/>
    <cellStyle name="常规 63 3 4" xfId="27878"/>
    <cellStyle name="常规 58 3 5" xfId="27879"/>
    <cellStyle name="常规 63 3 5" xfId="27880"/>
    <cellStyle name="常规 58 3 6" xfId="27881"/>
    <cellStyle name="常规 63 3 6" xfId="27882"/>
    <cellStyle name="常规 58 3 7" xfId="27883"/>
    <cellStyle name="常规 63 3 7" xfId="27884"/>
    <cellStyle name="常规 58 3 8" xfId="27885"/>
    <cellStyle name="常规 63 3 8" xfId="27886"/>
    <cellStyle name="常规 58 3 9" xfId="27887"/>
    <cellStyle name="常规 63 3 9" xfId="27888"/>
    <cellStyle name="常规 58 4" xfId="27889"/>
    <cellStyle name="常规 63 4" xfId="27890"/>
    <cellStyle name="常规 58 5" xfId="27891"/>
    <cellStyle name="常规 63 5" xfId="27892"/>
    <cellStyle name="常规 58 5 2" xfId="27893"/>
    <cellStyle name="常规 63 5 2" xfId="27894"/>
    <cellStyle name="常规 58 5 2 2" xfId="27895"/>
    <cellStyle name="常规 63 5 2 2" xfId="27896"/>
    <cellStyle name="常规 58 5 2 3" xfId="27897"/>
    <cellStyle name="常规 63 5 2 3" xfId="27898"/>
    <cellStyle name="常规 58 5 3" xfId="27899"/>
    <cellStyle name="常规 63 5 3" xfId="27900"/>
    <cellStyle name="常规 58 6" xfId="27901"/>
    <cellStyle name="常规 63 6" xfId="27902"/>
    <cellStyle name="常规 58 7" xfId="27903"/>
    <cellStyle name="常规 63 7" xfId="27904"/>
    <cellStyle name="常规 58 8" xfId="27905"/>
    <cellStyle name="常规 63 8" xfId="27906"/>
    <cellStyle name="注释 2 2 10 2 10" xfId="27907"/>
    <cellStyle name="常规 58 9" xfId="27908"/>
    <cellStyle name="常规 63 9" xfId="27909"/>
    <cellStyle name="常规 59" xfId="27910"/>
    <cellStyle name="常规 64" xfId="27911"/>
    <cellStyle name="常规 59 10" xfId="27912"/>
    <cellStyle name="常规 64 10" xfId="27913"/>
    <cellStyle name="常规 59 11" xfId="27914"/>
    <cellStyle name="常规 64 11" xfId="27915"/>
    <cellStyle name="常规 59 12" xfId="27916"/>
    <cellStyle name="常规 64 12" xfId="27917"/>
    <cellStyle name="常规 59 13" xfId="27918"/>
    <cellStyle name="常规 64 13" xfId="27919"/>
    <cellStyle name="常规 59 14" xfId="27920"/>
    <cellStyle name="常规 64 14" xfId="27921"/>
    <cellStyle name="常规 59 15" xfId="27922"/>
    <cellStyle name="常规 59 20" xfId="27923"/>
    <cellStyle name="常规 64 15" xfId="27924"/>
    <cellStyle name="常规 64 20" xfId="27925"/>
    <cellStyle name="常规 59 16" xfId="27926"/>
    <cellStyle name="常规 59 21" xfId="27927"/>
    <cellStyle name="常规 64 16" xfId="27928"/>
    <cellStyle name="常规 64 21" xfId="27929"/>
    <cellStyle name="常规 59 17" xfId="27930"/>
    <cellStyle name="常规 59 22" xfId="27931"/>
    <cellStyle name="常规 64 17" xfId="27932"/>
    <cellStyle name="常规 64 22" xfId="27933"/>
    <cellStyle name="常规 59 18" xfId="27934"/>
    <cellStyle name="常规 59 23" xfId="27935"/>
    <cellStyle name="常规 64 18" xfId="27936"/>
    <cellStyle name="常规 64 23" xfId="27937"/>
    <cellStyle name="常规 59 19" xfId="27938"/>
    <cellStyle name="常规 64 19" xfId="27939"/>
    <cellStyle name="常规 59 2" xfId="27940"/>
    <cellStyle name="常规 64 2" xfId="27941"/>
    <cellStyle name="计算 2 2 10 3 2 3" xfId="27942"/>
    <cellStyle name="常规 59 2 10" xfId="27943"/>
    <cellStyle name="常规 64 2 10" xfId="27944"/>
    <cellStyle name="常规 59 2 11" xfId="27945"/>
    <cellStyle name="常规 64 2 11" xfId="27946"/>
    <cellStyle name="常规 59 2 12" xfId="27947"/>
    <cellStyle name="常规 64 2 12" xfId="27948"/>
    <cellStyle name="常规 59 2 13" xfId="27949"/>
    <cellStyle name="常规 64 2 13" xfId="27950"/>
    <cellStyle name="常规 59 2 14" xfId="27951"/>
    <cellStyle name="常规 64 2 14" xfId="27952"/>
    <cellStyle name="常规 59 2 15" xfId="27953"/>
    <cellStyle name="常规 64 2 15" xfId="27954"/>
    <cellStyle name="常规 59 2 16" xfId="27955"/>
    <cellStyle name="常规 64 2 16" xfId="27956"/>
    <cellStyle name="常规 59 2 2" xfId="27957"/>
    <cellStyle name="常规 64 2 2" xfId="27958"/>
    <cellStyle name="常规 59 2 2 16" xfId="27959"/>
    <cellStyle name="常规 64 2 2 16" xfId="27960"/>
    <cellStyle name="常规 59 2 2 17" xfId="27961"/>
    <cellStyle name="常规 64 2 2 17" xfId="27962"/>
    <cellStyle name="常规 59 2 2 18" xfId="27963"/>
    <cellStyle name="常规 64 2 2 18" xfId="27964"/>
    <cellStyle name="常规 59 2 2 8" xfId="27965"/>
    <cellStyle name="常规 64 2 2 8" xfId="27966"/>
    <cellStyle name="汇总 3 2 9 2 10" xfId="27967"/>
    <cellStyle name="常规 59 2 2 9" xfId="27968"/>
    <cellStyle name="常规 64 2 2 9" xfId="27969"/>
    <cellStyle name="常规 59 2 3" xfId="27970"/>
    <cellStyle name="常规 64 2 3" xfId="27971"/>
    <cellStyle name="常规 59 2 4" xfId="27972"/>
    <cellStyle name="常规 64 2 4" xfId="27973"/>
    <cellStyle name="常规 59 2 4 2" xfId="27974"/>
    <cellStyle name="常规 64 2 4 2" xfId="27975"/>
    <cellStyle name="常规 59 2 4 2 2" xfId="27976"/>
    <cellStyle name="常规 64 2 4 2 2" xfId="27977"/>
    <cellStyle name="常规 59 2 4 2 3" xfId="27978"/>
    <cellStyle name="常规 64 2 4 2 3" xfId="27979"/>
    <cellStyle name="常规 59 2 4 3" xfId="27980"/>
    <cellStyle name="常规 64 2 4 3" xfId="27981"/>
    <cellStyle name="常规 59 2 5" xfId="27982"/>
    <cellStyle name="常规 64 2 5" xfId="27983"/>
    <cellStyle name="常规 59 2 6" xfId="27984"/>
    <cellStyle name="常规 64 2 6" xfId="27985"/>
    <cellStyle name="常规 59 2 7" xfId="27986"/>
    <cellStyle name="常规 64 2 7" xfId="27987"/>
    <cellStyle name="常规 59 2 8" xfId="27988"/>
    <cellStyle name="常规 64 2 8" xfId="27989"/>
    <cellStyle name="常规 59 2 9" xfId="27990"/>
    <cellStyle name="常规 64 2 9" xfId="27991"/>
    <cellStyle name="常规 59 3" xfId="27992"/>
    <cellStyle name="常规 64 3" xfId="27993"/>
    <cellStyle name="输出 3 6 2 6" xfId="27994"/>
    <cellStyle name="常规 59 3 10" xfId="27995"/>
    <cellStyle name="常规 64 3 10" xfId="27996"/>
    <cellStyle name="输出 3 6 2 7" xfId="27997"/>
    <cellStyle name="常规 59 3 11" xfId="27998"/>
    <cellStyle name="常规 64 3 11" xfId="27999"/>
    <cellStyle name="输出 3 6 2 8" xfId="28000"/>
    <cellStyle name="常规 59 3 12" xfId="28001"/>
    <cellStyle name="常规 64 3 12" xfId="28002"/>
    <cellStyle name="输出 3 6 2 9" xfId="28003"/>
    <cellStyle name="常规 59 3 13" xfId="28004"/>
    <cellStyle name="常规 64 3 13" xfId="28005"/>
    <cellStyle name="常规 59 3 14" xfId="28006"/>
    <cellStyle name="常规 64 3 14" xfId="28007"/>
    <cellStyle name="常规 59 3 15" xfId="28008"/>
    <cellStyle name="常规 64 3 15" xfId="28009"/>
    <cellStyle name="常规 59 3 16" xfId="28010"/>
    <cellStyle name="常规 64 3 16" xfId="28011"/>
    <cellStyle name="常规 59 3 17" xfId="28012"/>
    <cellStyle name="常规 64 3 17" xfId="28013"/>
    <cellStyle name="常规 59 3 18" xfId="28014"/>
    <cellStyle name="常规 64 3 18" xfId="28015"/>
    <cellStyle name="常规 59 3 2" xfId="28016"/>
    <cellStyle name="常规 64 3 2" xfId="28017"/>
    <cellStyle name="常规 59 3 3" xfId="28018"/>
    <cellStyle name="常规 64 3 3" xfId="28019"/>
    <cellStyle name="常规 59 3 3 2" xfId="28020"/>
    <cellStyle name="常规 64 3 3 2" xfId="28021"/>
    <cellStyle name="常规 59 3 3 2 2" xfId="28022"/>
    <cellStyle name="常规 64 3 3 2 2" xfId="28023"/>
    <cellStyle name="常规 59 3 3 2 3" xfId="28024"/>
    <cellStyle name="常规 64 3 3 2 3" xfId="28025"/>
    <cellStyle name="常规 59 3 3 3" xfId="28026"/>
    <cellStyle name="常规 64 3 3 3" xfId="28027"/>
    <cellStyle name="常规 59 3 4" xfId="28028"/>
    <cellStyle name="常规 64 3 4" xfId="28029"/>
    <cellStyle name="常规 59 3 5" xfId="28030"/>
    <cellStyle name="常规 64 3 5" xfId="28031"/>
    <cellStyle name="常规 59 3 6" xfId="28032"/>
    <cellStyle name="常规 64 3 6" xfId="28033"/>
    <cellStyle name="常规 59 3 7" xfId="28034"/>
    <cellStyle name="常规 64 3 7" xfId="28035"/>
    <cellStyle name="常规 59 3 8" xfId="28036"/>
    <cellStyle name="常规 64 3 8" xfId="28037"/>
    <cellStyle name="常规 59 3 9" xfId="28038"/>
    <cellStyle name="常规 64 3 9" xfId="28039"/>
    <cellStyle name="常规 59 4" xfId="28040"/>
    <cellStyle name="常规 64 4" xfId="28041"/>
    <cellStyle name="常规 59 5" xfId="28042"/>
    <cellStyle name="常规 64 5" xfId="28043"/>
    <cellStyle name="常规 59 5 2" xfId="28044"/>
    <cellStyle name="常规 64 5 2" xfId="28045"/>
    <cellStyle name="常规 59 5 2 2" xfId="28046"/>
    <cellStyle name="常规 64 5 2 2" xfId="28047"/>
    <cellStyle name="常规 59 5 2 3" xfId="28048"/>
    <cellStyle name="常规 64 5 2 3" xfId="28049"/>
    <cellStyle name="常规 59 5 3" xfId="28050"/>
    <cellStyle name="常规 64 5 3" xfId="28051"/>
    <cellStyle name="常规 59 6" xfId="28052"/>
    <cellStyle name="常规 64 6" xfId="28053"/>
    <cellStyle name="常规 59 7" xfId="28054"/>
    <cellStyle name="常规 64 7" xfId="28055"/>
    <cellStyle name="常规 59 8" xfId="28056"/>
    <cellStyle name="常规 64 8" xfId="28057"/>
    <cellStyle name="常规 59 9" xfId="28058"/>
    <cellStyle name="常规 64 9" xfId="28059"/>
    <cellStyle name="常规 6" xfId="28060"/>
    <cellStyle name="注释 2 2 10 4" xfId="28061"/>
    <cellStyle name="常规 6 10" xfId="28062"/>
    <cellStyle name="注释 2 2 10 5" xfId="28063"/>
    <cellStyle name="常规 6 11" xfId="28064"/>
    <cellStyle name="注释 2 2 10 6" xfId="28065"/>
    <cellStyle name="常规 6 12" xfId="28066"/>
    <cellStyle name="常规 96 2 2 3 2 2" xfId="28067"/>
    <cellStyle name="注释 2 2 10 7" xfId="28068"/>
    <cellStyle name="常规 6 13" xfId="28069"/>
    <cellStyle name="常规 96 2 2 3 2 3" xfId="28070"/>
    <cellStyle name="注释 2 2 10 8" xfId="28071"/>
    <cellStyle name="常规 6 14" xfId="28072"/>
    <cellStyle name="注释 2 2 10 9" xfId="28073"/>
    <cellStyle name="常规 6 15" xfId="28074"/>
    <cellStyle name="常规 6 20" xfId="28075"/>
    <cellStyle name="常规 6 16" xfId="28076"/>
    <cellStyle name="常规 6 21" xfId="28077"/>
    <cellStyle name="常规 6 17" xfId="28078"/>
    <cellStyle name="常规 6 22" xfId="28079"/>
    <cellStyle name="常规 6 18" xfId="28080"/>
    <cellStyle name="常规 6 23" xfId="28081"/>
    <cellStyle name="常规 6 19" xfId="28082"/>
    <cellStyle name="输入 3 2 5 8" xfId="28083"/>
    <cellStyle name="常规 6 2 2" xfId="28084"/>
    <cellStyle name="输出 3 8 7" xfId="28085"/>
    <cellStyle name="常规 6 2 2 10" xfId="28086"/>
    <cellStyle name="输出 3 8 8" xfId="28087"/>
    <cellStyle name="常规 6 2 2 11" xfId="28088"/>
    <cellStyle name="输出 3 8 9" xfId="28089"/>
    <cellStyle name="常规 6 2 2 12" xfId="28090"/>
    <cellStyle name="常规 6 2 2 13" xfId="28091"/>
    <cellStyle name="常规 6 2 2 14" xfId="28092"/>
    <cellStyle name="常规 6 2 2 15" xfId="28093"/>
    <cellStyle name="常规 6 2 2 16" xfId="28094"/>
    <cellStyle name="常规 6 2 2 17" xfId="28095"/>
    <cellStyle name="常规 6 2 2 18" xfId="28096"/>
    <cellStyle name="常规 6 2 2 2" xfId="28097"/>
    <cellStyle name="常规 6 2 2 3" xfId="28098"/>
    <cellStyle name="输出 3 8 12" xfId="28099"/>
    <cellStyle name="常规 6 2 2 3 2" xfId="28100"/>
    <cellStyle name="常规 6 2 2 3 2 2" xfId="28101"/>
    <cellStyle name="常规 6 2 2 3 2 3" xfId="28102"/>
    <cellStyle name="输出 3 8 13" xfId="28103"/>
    <cellStyle name="常规 6 2 2 3 3" xfId="28104"/>
    <cellStyle name="常规 6 2 2 4" xfId="28105"/>
    <cellStyle name="常规 6 2 2 5" xfId="28106"/>
    <cellStyle name="常规 6 2 2 6" xfId="28107"/>
    <cellStyle name="常规 6 2 2 9" xfId="28108"/>
    <cellStyle name="输入 3 2 5 9" xfId="28109"/>
    <cellStyle name="常规 6 2 3" xfId="28110"/>
    <cellStyle name="常规 6 2 4" xfId="28111"/>
    <cellStyle name="常规 6 2 4 2 2" xfId="28112"/>
    <cellStyle name="常规 6 2 4 2 3" xfId="28113"/>
    <cellStyle name="常规 6 2 5" xfId="28114"/>
    <cellStyle name="常规 6 2 6" xfId="28115"/>
    <cellStyle name="常规 6 3 17" xfId="28116"/>
    <cellStyle name="常规 6 3 18" xfId="28117"/>
    <cellStyle name="输入 3 2 6 8" xfId="28118"/>
    <cellStyle name="常规 6 3 2" xfId="28119"/>
    <cellStyle name="输入 3 2 6 9" xfId="28120"/>
    <cellStyle name="常规 6 3 3" xfId="28121"/>
    <cellStyle name="常规 6 3 3 2" xfId="28122"/>
    <cellStyle name="常规 6 3 3 2 2" xfId="28123"/>
    <cellStyle name="常规 6 3 3 2 3" xfId="28124"/>
    <cellStyle name="常规 6 3 4" xfId="28125"/>
    <cellStyle name="常规 6 3 5" xfId="28126"/>
    <cellStyle name="常规 6 3 6" xfId="28127"/>
    <cellStyle name="常规 6 3 7" xfId="28128"/>
    <cellStyle name="常规 6 3 8" xfId="28129"/>
    <cellStyle name="常规 6 3 9" xfId="28130"/>
    <cellStyle name="常规 6 5" xfId="28131"/>
    <cellStyle name="常规 6 5 2 2" xfId="28132"/>
    <cellStyle name="常规 6 5 2 3" xfId="28133"/>
    <cellStyle name="常规 6 6" xfId="28134"/>
    <cellStyle name="常规 6 7" xfId="28135"/>
    <cellStyle name="常规 6 8" xfId="28136"/>
    <cellStyle name="常规 6 9" xfId="28137"/>
    <cellStyle name="常规 65" xfId="28138"/>
    <cellStyle name="常规 70" xfId="28139"/>
    <cellStyle name="常规 65 10" xfId="28140"/>
    <cellStyle name="常规 70 10" xfId="28141"/>
    <cellStyle name="常规 65 11" xfId="28142"/>
    <cellStyle name="常规 70 11" xfId="28143"/>
    <cellStyle name="常规 76 2 2" xfId="28144"/>
    <cellStyle name="常规 81 2 2" xfId="28145"/>
    <cellStyle name="常规 65 12" xfId="28146"/>
    <cellStyle name="常规 70 12" xfId="28147"/>
    <cellStyle name="常规 76 2 3" xfId="28148"/>
    <cellStyle name="常规 81 2 3" xfId="28149"/>
    <cellStyle name="常规 65 13" xfId="28150"/>
    <cellStyle name="常规 70 13" xfId="28151"/>
    <cellStyle name="常规 76 2 4" xfId="28152"/>
    <cellStyle name="常规 81 2 4" xfId="28153"/>
    <cellStyle name="常规 65 14" xfId="28154"/>
    <cellStyle name="常规 70 14" xfId="28155"/>
    <cellStyle name="常规 76 2 5" xfId="28156"/>
    <cellStyle name="常规 81 2 5" xfId="28157"/>
    <cellStyle name="常规 65 15" xfId="28158"/>
    <cellStyle name="常规 65 20" xfId="28159"/>
    <cellStyle name="常规 70 15" xfId="28160"/>
    <cellStyle name="常规 70 20" xfId="28161"/>
    <cellStyle name="常规 76 2 6" xfId="28162"/>
    <cellStyle name="常规 81 2 6" xfId="28163"/>
    <cellStyle name="常规 65 16" xfId="28164"/>
    <cellStyle name="常规 65 21" xfId="28165"/>
    <cellStyle name="常规 70 16" xfId="28166"/>
    <cellStyle name="常规 70 21" xfId="28167"/>
    <cellStyle name="常规 76 2 7" xfId="28168"/>
    <cellStyle name="常规 81 2 7" xfId="28169"/>
    <cellStyle name="常规 65 17" xfId="28170"/>
    <cellStyle name="常规 65 22" xfId="28171"/>
    <cellStyle name="常规 70 17" xfId="28172"/>
    <cellStyle name="常规 70 22" xfId="28173"/>
    <cellStyle name="常规 76 2 8" xfId="28174"/>
    <cellStyle name="常规 81 2 8" xfId="28175"/>
    <cellStyle name="常规 65 18" xfId="28176"/>
    <cellStyle name="常规 65 23" xfId="28177"/>
    <cellStyle name="常规 70 18" xfId="28178"/>
    <cellStyle name="常规 70 23" xfId="28179"/>
    <cellStyle name="常规 76 2 9" xfId="28180"/>
    <cellStyle name="常规 81 2 9" xfId="28181"/>
    <cellStyle name="常规 65 19" xfId="28182"/>
    <cellStyle name="常规 70 19" xfId="28183"/>
    <cellStyle name="常规 65 2" xfId="28184"/>
    <cellStyle name="常规 70 2" xfId="28185"/>
    <cellStyle name="常规 65 2 16" xfId="28186"/>
    <cellStyle name="常规 70 2 16" xfId="28187"/>
    <cellStyle name="常规 65 2 2 10" xfId="28188"/>
    <cellStyle name="常规 70 2 2 10" xfId="28189"/>
    <cellStyle name="常规 65 2 2 11" xfId="28190"/>
    <cellStyle name="常规 70 2 2 11" xfId="28191"/>
    <cellStyle name="常规 65 2 2 12" xfId="28192"/>
    <cellStyle name="常规 70 2 2 12" xfId="28193"/>
    <cellStyle name="千位分隔 2 2 3 2" xfId="28194"/>
    <cellStyle name="常规 65 2 2 13" xfId="28195"/>
    <cellStyle name="常规 70 2 2 13" xfId="28196"/>
    <cellStyle name="千位分隔 2 2 3 3" xfId="28197"/>
    <cellStyle name="常规 65 2 2 14" xfId="28198"/>
    <cellStyle name="常规 70 2 2 14" xfId="28199"/>
    <cellStyle name="输出 2 2 8 2 2" xfId="28200"/>
    <cellStyle name="常规 65 2 2 15" xfId="28201"/>
    <cellStyle name="常规 70 2 2 15" xfId="28202"/>
    <cellStyle name="输出 2 2 8 2 3" xfId="28203"/>
    <cellStyle name="常规 65 2 2 16" xfId="28204"/>
    <cellStyle name="常规 70 2 2 16" xfId="28205"/>
    <cellStyle name="计算 2 2 12 13" xfId="28206"/>
    <cellStyle name="常规 65 2 2 3 2 3" xfId="28207"/>
    <cellStyle name="常规 70 2 2 3 2 3" xfId="28208"/>
    <cellStyle name="常规 65 2 2 8" xfId="28209"/>
    <cellStyle name="常规 70 2 2 8" xfId="28210"/>
    <cellStyle name="常规 65 2 2 9" xfId="28211"/>
    <cellStyle name="常规 70 2 2 9" xfId="28212"/>
    <cellStyle name="常规 65 2 4 2" xfId="28213"/>
    <cellStyle name="常规 70 2 4 2" xfId="28214"/>
    <cellStyle name="计算 3 2 6 10" xfId="28215"/>
    <cellStyle name="常规 65 2 4 3" xfId="28216"/>
    <cellStyle name="常规 70 2 4 3" xfId="28217"/>
    <cellStyle name="常规 65 3" xfId="28218"/>
    <cellStyle name="常规 70 3" xfId="28219"/>
    <cellStyle name="常规 65 3 16" xfId="28220"/>
    <cellStyle name="常规 70 3 16" xfId="28221"/>
    <cellStyle name="常规 65 3 17" xfId="28222"/>
    <cellStyle name="常规 70 3 17" xfId="28223"/>
    <cellStyle name="常规 65 3 18" xfId="28224"/>
    <cellStyle name="常规 70 3 18" xfId="28225"/>
    <cellStyle name="常规 65 3 2" xfId="28226"/>
    <cellStyle name="常规 70 3 2" xfId="28227"/>
    <cellStyle name="常规 65 3 3" xfId="28228"/>
    <cellStyle name="常规 70 3 3" xfId="28229"/>
    <cellStyle name="常规 65 3 3 2" xfId="28230"/>
    <cellStyle name="常规 70 3 3 2" xfId="28231"/>
    <cellStyle name="常规 65 3 3 3" xfId="28232"/>
    <cellStyle name="常规 70 3 3 3" xfId="28233"/>
    <cellStyle name="常规 65 4" xfId="28234"/>
    <cellStyle name="常规 70 4" xfId="28235"/>
    <cellStyle name="常规 65 5" xfId="28236"/>
    <cellStyle name="常规 70 5" xfId="28237"/>
    <cellStyle name="常规 65 5 2 2" xfId="28238"/>
    <cellStyle name="常规 70 5 2 2" xfId="28239"/>
    <cellStyle name="常规 65 5 2 3" xfId="28240"/>
    <cellStyle name="常规 70 5 2 3" xfId="28241"/>
    <cellStyle name="常规 65 6" xfId="28242"/>
    <cellStyle name="常规 70 6" xfId="28243"/>
    <cellStyle name="常规 65 7" xfId="28244"/>
    <cellStyle name="常规 70 7" xfId="28245"/>
    <cellStyle name="常规 65 8" xfId="28246"/>
    <cellStyle name="常规 70 8" xfId="28247"/>
    <cellStyle name="输入 2 7 2 10" xfId="28248"/>
    <cellStyle name="常规 65 9" xfId="28249"/>
    <cellStyle name="常规 70 9" xfId="28250"/>
    <cellStyle name="常规 66" xfId="28251"/>
    <cellStyle name="常规 71" xfId="28252"/>
    <cellStyle name="常规 66 10" xfId="28253"/>
    <cellStyle name="常规 71 10" xfId="28254"/>
    <cellStyle name="常规 66 11" xfId="28255"/>
    <cellStyle name="常规 71 11" xfId="28256"/>
    <cellStyle name="常规 66 12" xfId="28257"/>
    <cellStyle name="常规 71 12" xfId="28258"/>
    <cellStyle name="常规 66 13" xfId="28259"/>
    <cellStyle name="常规 71 13" xfId="28260"/>
    <cellStyle name="常规 66 14" xfId="28261"/>
    <cellStyle name="常规 71 14" xfId="28262"/>
    <cellStyle name="常规 66 15" xfId="28263"/>
    <cellStyle name="常规 66 20" xfId="28264"/>
    <cellStyle name="常规 71 15" xfId="28265"/>
    <cellStyle name="常规 71 20" xfId="28266"/>
    <cellStyle name="常规 66 16" xfId="28267"/>
    <cellStyle name="常规 66 21" xfId="28268"/>
    <cellStyle name="常规 71 16" xfId="28269"/>
    <cellStyle name="常规 71 21" xfId="28270"/>
    <cellStyle name="常规 66 17" xfId="28271"/>
    <cellStyle name="常规 66 22" xfId="28272"/>
    <cellStyle name="常规 71 17" xfId="28273"/>
    <cellStyle name="常规 71 22" xfId="28274"/>
    <cellStyle name="常规 66 18" xfId="28275"/>
    <cellStyle name="常规 66 23" xfId="28276"/>
    <cellStyle name="常规 71 18" xfId="28277"/>
    <cellStyle name="常规 71 23" xfId="28278"/>
    <cellStyle name="常规 66 19" xfId="28279"/>
    <cellStyle name="常规 71 19" xfId="28280"/>
    <cellStyle name="常规 66 2" xfId="28281"/>
    <cellStyle name="常规 71 2" xfId="28282"/>
    <cellStyle name="常规 66 2 11" xfId="28283"/>
    <cellStyle name="常规 71 2 11" xfId="28284"/>
    <cellStyle name="常规 66 2 12" xfId="28285"/>
    <cellStyle name="常规 71 2 12" xfId="28286"/>
    <cellStyle name="常规 66 2 13" xfId="28287"/>
    <cellStyle name="常规 71 2 13" xfId="28288"/>
    <cellStyle name="常规 66 2 14" xfId="28289"/>
    <cellStyle name="常规 71 2 14" xfId="28290"/>
    <cellStyle name="常规 66 2 15" xfId="28291"/>
    <cellStyle name="常规 71 2 15" xfId="28292"/>
    <cellStyle name="常规 66 2 16" xfId="28293"/>
    <cellStyle name="常规 71 2 16" xfId="28294"/>
    <cellStyle name="常规 66 2 17" xfId="28295"/>
    <cellStyle name="常规 71 2 17" xfId="28296"/>
    <cellStyle name="计算 2 4 7" xfId="28297"/>
    <cellStyle name="常规 66 2 2 10" xfId="28298"/>
    <cellStyle name="常规 71 2 2 10" xfId="28299"/>
    <cellStyle name="计算 2 4 8" xfId="28300"/>
    <cellStyle name="常规 66 2 2 11" xfId="28301"/>
    <cellStyle name="常规 71 2 2 11" xfId="28302"/>
    <cellStyle name="计算 2 4 9" xfId="28303"/>
    <cellStyle name="常规 66 2 2 12" xfId="28304"/>
    <cellStyle name="常规 71 2 2 12" xfId="28305"/>
    <cellStyle name="汇总 2 2 8 2" xfId="28306"/>
    <cellStyle name="常规 66 2 2 13" xfId="28307"/>
    <cellStyle name="常规 71 2 2 13" xfId="28308"/>
    <cellStyle name="汇总 2 2 8 3" xfId="28309"/>
    <cellStyle name="常规 66 2 2 14" xfId="28310"/>
    <cellStyle name="常规 71 2 2 14" xfId="28311"/>
    <cellStyle name="汇总 2 2 8 4" xfId="28312"/>
    <cellStyle name="常规 66 2 2 15" xfId="28313"/>
    <cellStyle name="常规 71 2 2 15" xfId="28314"/>
    <cellStyle name="汇总 2 2 8 5" xfId="28315"/>
    <cellStyle name="常规 66 2 2 16" xfId="28316"/>
    <cellStyle name="常规 71 2 2 16" xfId="28317"/>
    <cellStyle name="汇总 2 2 8 6" xfId="28318"/>
    <cellStyle name="常规 66 2 2 17" xfId="28319"/>
    <cellStyle name="常规 71 2 2 17" xfId="28320"/>
    <cellStyle name="输入 3 2 4 2 2" xfId="28321"/>
    <cellStyle name="汇总 2 2 8 7" xfId="28322"/>
    <cellStyle name="常规 66 2 2 18" xfId="28323"/>
    <cellStyle name="常规 71 2 2 18" xfId="28324"/>
    <cellStyle name="常规 66 2 2 3 2 2" xfId="28325"/>
    <cellStyle name="常规 71 2 2 3 2 2" xfId="28326"/>
    <cellStyle name="常规 66 2 2 3 2 3" xfId="28327"/>
    <cellStyle name="常规 71 2 2 3 2 3" xfId="28328"/>
    <cellStyle name="常规 66 2 2 8" xfId="28329"/>
    <cellStyle name="常规 71 2 2 8" xfId="28330"/>
    <cellStyle name="常规 66 2 2 9" xfId="28331"/>
    <cellStyle name="常规 71 2 2 9" xfId="28332"/>
    <cellStyle name="常规 66 3" xfId="28333"/>
    <cellStyle name="常规 71 3" xfId="28334"/>
    <cellStyle name="常规 66 3 10" xfId="28335"/>
    <cellStyle name="常规 71 3 10" xfId="28336"/>
    <cellStyle name="常规 66 3 11" xfId="28337"/>
    <cellStyle name="常规 71 3 11" xfId="28338"/>
    <cellStyle name="常规 66 3 12" xfId="28339"/>
    <cellStyle name="常规 71 3 12" xfId="28340"/>
    <cellStyle name="常规 67 2 2 2" xfId="28341"/>
    <cellStyle name="常规 72 2 2 2" xfId="28342"/>
    <cellStyle name="常规 66 3 13" xfId="28343"/>
    <cellStyle name="常规 71 3 13" xfId="28344"/>
    <cellStyle name="常规 67 2 2 3" xfId="28345"/>
    <cellStyle name="常规 72 2 2 3" xfId="28346"/>
    <cellStyle name="常规 66 3 14" xfId="28347"/>
    <cellStyle name="常规 71 3 14" xfId="28348"/>
    <cellStyle name="常规 67 2 2 4" xfId="28349"/>
    <cellStyle name="常规 72 2 2 4" xfId="28350"/>
    <cellStyle name="常规 66 3 15" xfId="28351"/>
    <cellStyle name="常规 71 3 15" xfId="28352"/>
    <cellStyle name="常规 67 2 2 5" xfId="28353"/>
    <cellStyle name="常规 72 2 2 5" xfId="28354"/>
    <cellStyle name="常规 66 3 16" xfId="28355"/>
    <cellStyle name="常规 71 3 16" xfId="28356"/>
    <cellStyle name="警告文本 2 4" xfId="28357"/>
    <cellStyle name="常规 66 3 2" xfId="28358"/>
    <cellStyle name="常规 71 3 2" xfId="28359"/>
    <cellStyle name="警告文本 2 5" xfId="28360"/>
    <cellStyle name="常规 66 3 3" xfId="28361"/>
    <cellStyle name="常规 71 3 3" xfId="28362"/>
    <cellStyle name="常规 66 3 3 2 2" xfId="28363"/>
    <cellStyle name="常规 71 3 3 2 2" xfId="28364"/>
    <cellStyle name="输入 2 3 5 10" xfId="28365"/>
    <cellStyle name="常规 66 3 3 2 3" xfId="28366"/>
    <cellStyle name="常规 71 3 3 2 3" xfId="28367"/>
    <cellStyle name="警告文本 2 6" xfId="28368"/>
    <cellStyle name="常规 66 3 4" xfId="28369"/>
    <cellStyle name="常规 71 3 4" xfId="28370"/>
    <cellStyle name="警告文本 2 7" xfId="28371"/>
    <cellStyle name="常规 66 3 5" xfId="28372"/>
    <cellStyle name="常规 71 3 5" xfId="28373"/>
    <cellStyle name="警告文本 2 8" xfId="28374"/>
    <cellStyle name="常规 66 3 6" xfId="28375"/>
    <cellStyle name="常规 71 3 6" xfId="28376"/>
    <cellStyle name="警告文本 2 9" xfId="28377"/>
    <cellStyle name="常规 66 3 7" xfId="28378"/>
    <cellStyle name="常规 71 3 7" xfId="28379"/>
    <cellStyle name="输出 2 9 2 10" xfId="28380"/>
    <cellStyle name="常规 66 3 8" xfId="28381"/>
    <cellStyle name="常规 71 3 8" xfId="28382"/>
    <cellStyle name="输出 2 9 2 11" xfId="28383"/>
    <cellStyle name="常规 66 3 9" xfId="28384"/>
    <cellStyle name="常规 71 3 9" xfId="28385"/>
    <cellStyle name="常规 66 4" xfId="28386"/>
    <cellStyle name="常规 71 4" xfId="28387"/>
    <cellStyle name="常规 66 5" xfId="28388"/>
    <cellStyle name="常规 71 5" xfId="28389"/>
    <cellStyle name="警告文本 4 4" xfId="28390"/>
    <cellStyle name="常规 66 5 2" xfId="28391"/>
    <cellStyle name="常规 71 5 2" xfId="28392"/>
    <cellStyle name="常规 66 5 2 2" xfId="28393"/>
    <cellStyle name="常规 71 5 2 2" xfId="28394"/>
    <cellStyle name="常规 66 5 2 3" xfId="28395"/>
    <cellStyle name="常规 71 5 2 3" xfId="28396"/>
    <cellStyle name="常规 66 5 3" xfId="28397"/>
    <cellStyle name="常规 71 5 3" xfId="28398"/>
    <cellStyle name="常规 66 6" xfId="28399"/>
    <cellStyle name="常规 71 6" xfId="28400"/>
    <cellStyle name="常规 66 7" xfId="28401"/>
    <cellStyle name="常规 71 7" xfId="28402"/>
    <cellStyle name="常规 66 8" xfId="28403"/>
    <cellStyle name="常规 71 8" xfId="28404"/>
    <cellStyle name="常规 66 9" xfId="28405"/>
    <cellStyle name="常规 71 9" xfId="28406"/>
    <cellStyle name="常规 67" xfId="28407"/>
    <cellStyle name="常规 72" xfId="28408"/>
    <cellStyle name="常规 67 18" xfId="28409"/>
    <cellStyle name="常规 67 23" xfId="28410"/>
    <cellStyle name="常规 72 18" xfId="28411"/>
    <cellStyle name="常规 72 23" xfId="28412"/>
    <cellStyle name="常规 67 19" xfId="28413"/>
    <cellStyle name="常规 72 19" xfId="28414"/>
    <cellStyle name="汇总 3 2 3 3 3" xfId="28415"/>
    <cellStyle name="常规 67 2 10" xfId="28416"/>
    <cellStyle name="常规 72 2 10" xfId="28417"/>
    <cellStyle name="常规 67 2 11" xfId="28418"/>
    <cellStyle name="常规 72 2 11" xfId="28419"/>
    <cellStyle name="常规 67 2 12" xfId="28420"/>
    <cellStyle name="常规 72 2 12" xfId="28421"/>
    <cellStyle name="常规 67 2 13" xfId="28422"/>
    <cellStyle name="常规 72 2 13" xfId="28423"/>
    <cellStyle name="常规 67 2 14" xfId="28424"/>
    <cellStyle name="常规 72 2 14" xfId="28425"/>
    <cellStyle name="常规 67 2 15" xfId="28426"/>
    <cellStyle name="常规 72 2 15" xfId="28427"/>
    <cellStyle name="常规 67 2 16" xfId="28428"/>
    <cellStyle name="常规 72 2 16" xfId="28429"/>
    <cellStyle name="常规 67 2 17" xfId="28430"/>
    <cellStyle name="常规 72 2 17" xfId="28431"/>
    <cellStyle name="常规 67 2 18" xfId="28432"/>
    <cellStyle name="常规 72 2 18" xfId="28433"/>
    <cellStyle name="常规 67 2 19" xfId="28434"/>
    <cellStyle name="常规 72 2 19" xfId="28435"/>
    <cellStyle name="常规 67 2 2 16" xfId="28436"/>
    <cellStyle name="常规 72 2 2 16" xfId="28437"/>
    <cellStyle name="常规 67 2 2 17" xfId="28438"/>
    <cellStyle name="常规 72 2 2 17" xfId="28439"/>
    <cellStyle name="常规 67 2 2 3 2" xfId="28440"/>
    <cellStyle name="常规 72 2 2 3 2" xfId="28441"/>
    <cellStyle name="常规 67 2 2 3 2 2" xfId="28442"/>
    <cellStyle name="常规 72 2 2 3 2 2" xfId="28443"/>
    <cellStyle name="常规 67 2 2 3 2 3" xfId="28444"/>
    <cellStyle name="常规 72 2 2 3 2 3" xfId="28445"/>
    <cellStyle name="常规 67 2 4 2 2" xfId="28446"/>
    <cellStyle name="常规 72 2 4 2 2" xfId="28447"/>
    <cellStyle name="常规 67 2 4 2 3" xfId="28448"/>
    <cellStyle name="常规 72 2 4 2 3" xfId="28449"/>
    <cellStyle name="常规 67 3" xfId="28450"/>
    <cellStyle name="常规 72 3" xfId="28451"/>
    <cellStyle name="常规 67 3 10" xfId="28452"/>
    <cellStyle name="常规 72 3 10" xfId="28453"/>
    <cellStyle name="常规 67 3 2" xfId="28454"/>
    <cellStyle name="常规 72 3 2" xfId="28455"/>
    <cellStyle name="常规 67 3 3" xfId="28456"/>
    <cellStyle name="常规 72 3 3" xfId="28457"/>
    <cellStyle name="常规 67 3 3 2" xfId="28458"/>
    <cellStyle name="常规 72 3 3 2" xfId="28459"/>
    <cellStyle name="常规 67 3 3 3" xfId="28460"/>
    <cellStyle name="常规 72 3 3 3" xfId="28461"/>
    <cellStyle name="常规 67 3 6" xfId="28462"/>
    <cellStyle name="常规 72 3 6" xfId="28463"/>
    <cellStyle name="常规 67 3 7" xfId="28464"/>
    <cellStyle name="常规 72 3 7" xfId="28465"/>
    <cellStyle name="输入 2 5 10" xfId="28466"/>
    <cellStyle name="常规 67 3 8" xfId="28467"/>
    <cellStyle name="常规 72 3 8" xfId="28468"/>
    <cellStyle name="输入 2 5 11" xfId="28469"/>
    <cellStyle name="常规 67 3 9" xfId="28470"/>
    <cellStyle name="常规 72 3 9" xfId="28471"/>
    <cellStyle name="常规 67 4" xfId="28472"/>
    <cellStyle name="常规 72 4" xfId="28473"/>
    <cellStyle name="常规 67 5" xfId="28474"/>
    <cellStyle name="常规 72 5" xfId="28475"/>
    <cellStyle name="常规 67 5 2" xfId="28476"/>
    <cellStyle name="常规 72 5 2" xfId="28477"/>
    <cellStyle name="常规 67 5 2 2" xfId="28478"/>
    <cellStyle name="常规 72 5 2 2" xfId="28479"/>
    <cellStyle name="常规 67 5 2 3" xfId="28480"/>
    <cellStyle name="常规 72 5 2 3" xfId="28481"/>
    <cellStyle name="常规 67 5 3" xfId="28482"/>
    <cellStyle name="常规 72 5 3" xfId="28483"/>
    <cellStyle name="常规 67 6" xfId="28484"/>
    <cellStyle name="常规 72 6" xfId="28485"/>
    <cellStyle name="常规 67 7" xfId="28486"/>
    <cellStyle name="常规 72 7" xfId="28487"/>
    <cellStyle name="常规 67 8" xfId="28488"/>
    <cellStyle name="常规 72 8" xfId="28489"/>
    <cellStyle name="常规 67 9" xfId="28490"/>
    <cellStyle name="常规 72 9" xfId="28491"/>
    <cellStyle name="常规 68 10" xfId="28492"/>
    <cellStyle name="常规 73 10" xfId="28493"/>
    <cellStyle name="常规 68 11" xfId="28494"/>
    <cellStyle name="常规 73 11" xfId="28495"/>
    <cellStyle name="常规 68 12" xfId="28496"/>
    <cellStyle name="常规 73 12" xfId="28497"/>
    <cellStyle name="常规 68 13" xfId="28498"/>
    <cellStyle name="常规 73 13" xfId="28499"/>
    <cellStyle name="常规 68 14" xfId="28500"/>
    <cellStyle name="常规 73 14" xfId="28501"/>
    <cellStyle name="常规 68 15" xfId="28502"/>
    <cellStyle name="常规 68 20" xfId="28503"/>
    <cellStyle name="常规 73 15" xfId="28504"/>
    <cellStyle name="常规 73 20" xfId="28505"/>
    <cellStyle name="常规 68 16" xfId="28506"/>
    <cellStyle name="常规 68 21" xfId="28507"/>
    <cellStyle name="常规 73 16" xfId="28508"/>
    <cellStyle name="常规 73 21" xfId="28509"/>
    <cellStyle name="常规 68 17" xfId="28510"/>
    <cellStyle name="常规 68 22" xfId="28511"/>
    <cellStyle name="常规 73 17" xfId="28512"/>
    <cellStyle name="常规 73 22" xfId="28513"/>
    <cellStyle name="常规 68 18" xfId="28514"/>
    <cellStyle name="常规 68 23" xfId="28515"/>
    <cellStyle name="常规 73 18" xfId="28516"/>
    <cellStyle name="常规 73 23" xfId="28517"/>
    <cellStyle name="常规 68 19" xfId="28518"/>
    <cellStyle name="常规 73 19" xfId="28519"/>
    <cellStyle name="常规 76 3 13" xfId="28520"/>
    <cellStyle name="常规 81 3 13" xfId="28521"/>
    <cellStyle name="常规 68 2 2 2" xfId="28522"/>
    <cellStyle name="常规 73 2 2 2" xfId="28523"/>
    <cellStyle name="常规 76 3 14" xfId="28524"/>
    <cellStyle name="常规 81 3 14" xfId="28525"/>
    <cellStyle name="常规 68 2 2 3" xfId="28526"/>
    <cellStyle name="常规 73 2 2 3" xfId="28527"/>
    <cellStyle name="常规 76 3 15" xfId="28528"/>
    <cellStyle name="常规 81 3 15" xfId="28529"/>
    <cellStyle name="常规 68 2 2 4" xfId="28530"/>
    <cellStyle name="常规 73 2 2 4" xfId="28531"/>
    <cellStyle name="常规 76 3 16" xfId="28532"/>
    <cellStyle name="常规 81 3 16" xfId="28533"/>
    <cellStyle name="常规 68 2 2 5" xfId="28534"/>
    <cellStyle name="常规 73 2 2 5" xfId="28535"/>
    <cellStyle name="常规 76 3 18" xfId="28536"/>
    <cellStyle name="常规 81 3 18" xfId="28537"/>
    <cellStyle name="常规 68 2 2 7" xfId="28538"/>
    <cellStyle name="常规 73 2 2 7" xfId="28539"/>
    <cellStyle name="常规 68 2 2 8" xfId="28540"/>
    <cellStyle name="常规 73 2 2 8" xfId="28541"/>
    <cellStyle name="汇总 3 3 4 2 10" xfId="28542"/>
    <cellStyle name="常规 68 2 2 9" xfId="28543"/>
    <cellStyle name="常规 73 2 2 9" xfId="28544"/>
    <cellStyle name="计算 2 2 4 8" xfId="28545"/>
    <cellStyle name="常规 68 2 4 2 2" xfId="28546"/>
    <cellStyle name="常规 73 2 4 2 2" xfId="28547"/>
    <cellStyle name="计算 2 2 4 9" xfId="28548"/>
    <cellStyle name="常规 68 2 4 2 3" xfId="28549"/>
    <cellStyle name="常规 73 2 4 2 3" xfId="28550"/>
    <cellStyle name="常规 68 3 10" xfId="28551"/>
    <cellStyle name="常规 73 3 10" xfId="28552"/>
    <cellStyle name="常规 68 3 11" xfId="28553"/>
    <cellStyle name="常规 73 3 11" xfId="28554"/>
    <cellStyle name="常规 68 3 12" xfId="28555"/>
    <cellStyle name="常规 73 3 12" xfId="28556"/>
    <cellStyle name="常规 68 3 3 2" xfId="28557"/>
    <cellStyle name="常规 73 3 3 2" xfId="28558"/>
    <cellStyle name="强调文字颜色 4 3" xfId="28559"/>
    <cellStyle name="常规 68 3 3 2 2" xfId="28560"/>
    <cellStyle name="常规 73 3 3 2 2" xfId="28561"/>
    <cellStyle name="强调文字颜色 4 4" xfId="28562"/>
    <cellStyle name="常规 68 3 3 2 3" xfId="28563"/>
    <cellStyle name="常规 73 3 3 2 3" xfId="28564"/>
    <cellStyle name="常规 68 3 3 3" xfId="28565"/>
    <cellStyle name="常规 73 3 3 3" xfId="28566"/>
    <cellStyle name="常规 68 3 5" xfId="28567"/>
    <cellStyle name="常规 73 3 5" xfId="28568"/>
    <cellStyle name="常规 68 3 8" xfId="28569"/>
    <cellStyle name="常规 73 3 8" xfId="28570"/>
    <cellStyle name="常规 68 4" xfId="28571"/>
    <cellStyle name="常规 73 4" xfId="28572"/>
    <cellStyle name="常规 68 5 2" xfId="28573"/>
    <cellStyle name="常规 73 5 2" xfId="28574"/>
    <cellStyle name="常规 68 5 2 2" xfId="28575"/>
    <cellStyle name="常规 73 5 2 2" xfId="28576"/>
    <cellStyle name="常规 68 5 2 3" xfId="28577"/>
    <cellStyle name="常规 73 5 2 3" xfId="28578"/>
    <cellStyle name="常规 68 5 3" xfId="28579"/>
    <cellStyle name="常规 73 5 3" xfId="28580"/>
    <cellStyle name="常规 69 18" xfId="28581"/>
    <cellStyle name="常规 69 23" xfId="28582"/>
    <cellStyle name="常规 74 18" xfId="28583"/>
    <cellStyle name="常规 74 23" xfId="28584"/>
    <cellStyle name="常规 69 3 3 2 2" xfId="28585"/>
    <cellStyle name="常规 74 3 3 2 2" xfId="28586"/>
    <cellStyle name="常规 69 19" xfId="28587"/>
    <cellStyle name="常规 74 19" xfId="28588"/>
    <cellStyle name="输入 3 3 2 14" xfId="28589"/>
    <cellStyle name="常规 69 2" xfId="28590"/>
    <cellStyle name="常规 74 2" xfId="28591"/>
    <cellStyle name="常规 69 2 10" xfId="28592"/>
    <cellStyle name="常规 74 2 10" xfId="28593"/>
    <cellStyle name="常规 69 2 11" xfId="28594"/>
    <cellStyle name="常规 74 2 11" xfId="28595"/>
    <cellStyle name="汇总 4 10" xfId="28596"/>
    <cellStyle name="常规 69 2 14" xfId="28597"/>
    <cellStyle name="常规 74 2 14" xfId="28598"/>
    <cellStyle name="汇总 4 13" xfId="28599"/>
    <cellStyle name="常规 69 2 15" xfId="28600"/>
    <cellStyle name="常规 74 2 15" xfId="28601"/>
    <cellStyle name="汇总 4 14" xfId="28602"/>
    <cellStyle name="常规 69 2 16" xfId="28603"/>
    <cellStyle name="常规 74 2 16" xfId="28604"/>
    <cellStyle name="汇总 4 15" xfId="28605"/>
    <cellStyle name="常规 69 2 17" xfId="28606"/>
    <cellStyle name="常规 74 2 17" xfId="28607"/>
    <cellStyle name="汇总 4 16" xfId="28608"/>
    <cellStyle name="常规 69 2 18" xfId="28609"/>
    <cellStyle name="常规 74 2 18" xfId="28610"/>
    <cellStyle name="汇总 4 17" xfId="28611"/>
    <cellStyle name="常规 69 2 19" xfId="28612"/>
    <cellStyle name="常规 74 2 19" xfId="28613"/>
    <cellStyle name="汇总 4 18" xfId="28614"/>
    <cellStyle name="常规 69 2 2 10" xfId="28615"/>
    <cellStyle name="常规 74 2 2 10" xfId="28616"/>
    <cellStyle name="常规 86 3 16" xfId="28617"/>
    <cellStyle name="常规 91 3 16" xfId="28618"/>
    <cellStyle name="常规 69 2 2 5" xfId="28619"/>
    <cellStyle name="常规 74 2 2 5" xfId="28620"/>
    <cellStyle name="常规 86 3 17" xfId="28621"/>
    <cellStyle name="常规 91 3 17" xfId="28622"/>
    <cellStyle name="常规 69 2 2 6" xfId="28623"/>
    <cellStyle name="常规 74 2 2 6" xfId="28624"/>
    <cellStyle name="常规 69 2 2 7" xfId="28625"/>
    <cellStyle name="常规 74 2 2 7" xfId="28626"/>
    <cellStyle name="汇总 4 2 2" xfId="28627"/>
    <cellStyle name="常规 86 3 18" xfId="28628"/>
    <cellStyle name="常规 91 3 18" xfId="28629"/>
    <cellStyle name="常规 69 2 2 8" xfId="28630"/>
    <cellStyle name="常规 74 2 2 8" xfId="28631"/>
    <cellStyle name="汇总 4 2 3" xfId="28632"/>
    <cellStyle name="常规 69 2 2 9" xfId="28633"/>
    <cellStyle name="常规 74 2 2 9" xfId="28634"/>
    <cellStyle name="汇总 4 2 4" xfId="28635"/>
    <cellStyle name="常规 69 2 4 2 2" xfId="28636"/>
    <cellStyle name="常规 74 2 4 2 2" xfId="28637"/>
    <cellStyle name="常规 69 2 4 2 3" xfId="28638"/>
    <cellStyle name="常规 74 2 4 2 3" xfId="28639"/>
    <cellStyle name="常规 69 2 4 3" xfId="28640"/>
    <cellStyle name="常规 74 2 4 3" xfId="28641"/>
    <cellStyle name="输入 3 3 2 15" xfId="28642"/>
    <cellStyle name="常规 69 3" xfId="28643"/>
    <cellStyle name="常规 74 3" xfId="28644"/>
    <cellStyle name="常规 69 3 10" xfId="28645"/>
    <cellStyle name="常规 74 3 10" xfId="28646"/>
    <cellStyle name="常规 69 3 11" xfId="28647"/>
    <cellStyle name="常规 74 3 11" xfId="28648"/>
    <cellStyle name="常规 69 3 12" xfId="28649"/>
    <cellStyle name="常规 74 3 12" xfId="28650"/>
    <cellStyle name="常规 69 3 13" xfId="28651"/>
    <cellStyle name="常规 74 3 13" xfId="28652"/>
    <cellStyle name="常规 69 3 14" xfId="28653"/>
    <cellStyle name="常规 74 3 14" xfId="28654"/>
    <cellStyle name="常规 69 3 15" xfId="28655"/>
    <cellStyle name="常规 74 3 15" xfId="28656"/>
    <cellStyle name="常规 69 3 16" xfId="28657"/>
    <cellStyle name="常规 74 3 16" xfId="28658"/>
    <cellStyle name="常规 69 3 17" xfId="28659"/>
    <cellStyle name="常规 74 3 17" xfId="28660"/>
    <cellStyle name="常规 69 3 18" xfId="28661"/>
    <cellStyle name="常规 74 3 18" xfId="28662"/>
    <cellStyle name="常规 69 3 2" xfId="28663"/>
    <cellStyle name="常规 74 3 2" xfId="28664"/>
    <cellStyle name="常规 69 3 3" xfId="28665"/>
    <cellStyle name="常规 74 3 3" xfId="28666"/>
    <cellStyle name="常规 69 3 3 2 3" xfId="28667"/>
    <cellStyle name="常规 74 3 3 2 3" xfId="28668"/>
    <cellStyle name="输入 3 3 2 16" xfId="28669"/>
    <cellStyle name="常规 69 4" xfId="28670"/>
    <cellStyle name="常规 74 4" xfId="28671"/>
    <cellStyle name="输入 3 3 2 17" xfId="28672"/>
    <cellStyle name="常规 69 5" xfId="28673"/>
    <cellStyle name="常规 74 5" xfId="28674"/>
    <cellStyle name="常规 69 5 2 2" xfId="28675"/>
    <cellStyle name="常规 74 5 2 2" xfId="28676"/>
    <cellStyle name="常规 69 5 2 3" xfId="28677"/>
    <cellStyle name="常规 74 5 2 3" xfId="28678"/>
    <cellStyle name="常规 69 6" xfId="28679"/>
    <cellStyle name="常规 74 6" xfId="28680"/>
    <cellStyle name="常规 69 7" xfId="28681"/>
    <cellStyle name="常规 74 7" xfId="28682"/>
    <cellStyle name="常规 69 8" xfId="28683"/>
    <cellStyle name="常规 74 8" xfId="28684"/>
    <cellStyle name="常规 69 9" xfId="28685"/>
    <cellStyle name="常规 74 9" xfId="28686"/>
    <cellStyle name="常规 7" xfId="28687"/>
    <cellStyle name="常规 7 10" xfId="28688"/>
    <cellStyle name="常规 7 11" xfId="28689"/>
    <cellStyle name="常规 7 12" xfId="28690"/>
    <cellStyle name="常规 7 2 10" xfId="28691"/>
    <cellStyle name="常规 7 2 11" xfId="28692"/>
    <cellStyle name="输入 3 3 5 8" xfId="28693"/>
    <cellStyle name="常规 7 2 2" xfId="28694"/>
    <cellStyle name="输入 3 3 5 9" xfId="28695"/>
    <cellStyle name="常规 7 2 3" xfId="28696"/>
    <cellStyle name="常规 7 2 3 2" xfId="28697"/>
    <cellStyle name="输出 2 2 2 2 2" xfId="28698"/>
    <cellStyle name="常规 7 2 3 3" xfId="28699"/>
    <cellStyle name="常规 7 2 4" xfId="28700"/>
    <cellStyle name="输入 3 2 6 2 10" xfId="28701"/>
    <cellStyle name="常规 7 2 5" xfId="28702"/>
    <cellStyle name="输入 3 2 6 2 11" xfId="28703"/>
    <cellStyle name="常规 7 2 6" xfId="28704"/>
    <cellStyle name="常规 7 3 10" xfId="28705"/>
    <cellStyle name="输出 3 2 7 3 2 2" xfId="28706"/>
    <cellStyle name="常规 7 3 11" xfId="28707"/>
    <cellStyle name="输出 3 2 7 3 2 3" xfId="28708"/>
    <cellStyle name="常规 7 3 12" xfId="28709"/>
    <cellStyle name="常规 7 3 13" xfId="28710"/>
    <cellStyle name="常规 7 3 14" xfId="28711"/>
    <cellStyle name="常规 7 3 15" xfId="28712"/>
    <cellStyle name="常规 7 3 16" xfId="28713"/>
    <cellStyle name="常规 7 3 17" xfId="28714"/>
    <cellStyle name="常规 7 3 18" xfId="28715"/>
    <cellStyle name="常规 7 3 3 2" xfId="28716"/>
    <cellStyle name="输出 2 2 3 2 2" xfId="28717"/>
    <cellStyle name="常规 7 3 3 3" xfId="28718"/>
    <cellStyle name="常规 7 3 7" xfId="28719"/>
    <cellStyle name="常规 7 3 8" xfId="28720"/>
    <cellStyle name="常规 7 3 9" xfId="28721"/>
    <cellStyle name="常规 7 5 2 2" xfId="28722"/>
    <cellStyle name="常规 7 5 2 3" xfId="28723"/>
    <cellStyle name="常规 7 5 3" xfId="28724"/>
    <cellStyle name="常规 7 9" xfId="28725"/>
    <cellStyle name="常规 75" xfId="28726"/>
    <cellStyle name="常规 80" xfId="28727"/>
    <cellStyle name="常规 75 10" xfId="28728"/>
    <cellStyle name="常规 80 10" xfId="28729"/>
    <cellStyle name="计算 3 8 2 10" xfId="28730"/>
    <cellStyle name="常规 75 11" xfId="28731"/>
    <cellStyle name="常规 77 2 2" xfId="28732"/>
    <cellStyle name="常规 80 11" xfId="28733"/>
    <cellStyle name="常规 82 2 2" xfId="28734"/>
    <cellStyle name="计算 3 8 2 11" xfId="28735"/>
    <cellStyle name="常规 75 12" xfId="28736"/>
    <cellStyle name="常规 77 2 3" xfId="28737"/>
    <cellStyle name="常规 80 12" xfId="28738"/>
    <cellStyle name="常规 82 2 3" xfId="28739"/>
    <cellStyle name="计算 3 8 2 12" xfId="28740"/>
    <cellStyle name="常规 75 13" xfId="28741"/>
    <cellStyle name="常规 77 2 4" xfId="28742"/>
    <cellStyle name="常规 80 13" xfId="28743"/>
    <cellStyle name="常规 82 2 4" xfId="28744"/>
    <cellStyle name="常规 75 14" xfId="28745"/>
    <cellStyle name="常规 77 2 5" xfId="28746"/>
    <cellStyle name="常规 80 14" xfId="28747"/>
    <cellStyle name="常规 82 2 5" xfId="28748"/>
    <cellStyle name="常规 75 15" xfId="28749"/>
    <cellStyle name="常规 75 20" xfId="28750"/>
    <cellStyle name="常规 77 2 6" xfId="28751"/>
    <cellStyle name="常规 80 15" xfId="28752"/>
    <cellStyle name="常规 80 20" xfId="28753"/>
    <cellStyle name="常规 82 2 6" xfId="28754"/>
    <cellStyle name="常规 75 16" xfId="28755"/>
    <cellStyle name="常规 75 21" xfId="28756"/>
    <cellStyle name="常规 77 2 7" xfId="28757"/>
    <cellStyle name="常规 80 16" xfId="28758"/>
    <cellStyle name="常规 80 21" xfId="28759"/>
    <cellStyle name="常规 82 2 7" xfId="28760"/>
    <cellStyle name="常规 75 17" xfId="28761"/>
    <cellStyle name="常规 75 22" xfId="28762"/>
    <cellStyle name="常规 77 2 8" xfId="28763"/>
    <cellStyle name="常规 80 17" xfId="28764"/>
    <cellStyle name="常规 80 22" xfId="28765"/>
    <cellStyle name="常规 82 2 8" xfId="28766"/>
    <cellStyle name="常规 75 18" xfId="28767"/>
    <cellStyle name="常规 75 23" xfId="28768"/>
    <cellStyle name="常规 77 2 9" xfId="28769"/>
    <cellStyle name="常规 80 18" xfId="28770"/>
    <cellStyle name="常规 80 23" xfId="28771"/>
    <cellStyle name="常规 82 2 9" xfId="28772"/>
    <cellStyle name="常规 75 2" xfId="28773"/>
    <cellStyle name="常规 80 2" xfId="28774"/>
    <cellStyle name="常规 75 2 10" xfId="28775"/>
    <cellStyle name="常规 80 2 10" xfId="28776"/>
    <cellStyle name="常规 75 2 11" xfId="28777"/>
    <cellStyle name="常规 80 2 11" xfId="28778"/>
    <cellStyle name="常规 75 2 13" xfId="28779"/>
    <cellStyle name="常规 80 2 13" xfId="28780"/>
    <cellStyle name="常规 75 2 15" xfId="28781"/>
    <cellStyle name="常规 80 2 15" xfId="28782"/>
    <cellStyle name="常规 75 2 16" xfId="28783"/>
    <cellStyle name="常规 80 2 16" xfId="28784"/>
    <cellStyle name="常规 75 2 2 10" xfId="28785"/>
    <cellStyle name="常规 80 2 2 10" xfId="28786"/>
    <cellStyle name="常规 75 2 2 11" xfId="28787"/>
    <cellStyle name="常规 80 2 2 11" xfId="28788"/>
    <cellStyle name="常规 75 2 2 12" xfId="28789"/>
    <cellStyle name="常规 80 2 2 12" xfId="28790"/>
    <cellStyle name="常规 75 2 2 13" xfId="28791"/>
    <cellStyle name="常规 80 2 2 13" xfId="28792"/>
    <cellStyle name="常规 75 2 2 14" xfId="28793"/>
    <cellStyle name="常规 80 2 2 14" xfId="28794"/>
    <cellStyle name="输出 3 2 8 2 2" xfId="28795"/>
    <cellStyle name="常规 75 2 2 15" xfId="28796"/>
    <cellStyle name="常规 80 2 2 15" xfId="28797"/>
    <cellStyle name="输出 3 2 8 2 3" xfId="28798"/>
    <cellStyle name="常规 75 2 2 16" xfId="28799"/>
    <cellStyle name="常规 80 2 2 16" xfId="28800"/>
    <cellStyle name="输出 3 2 8 2 4" xfId="28801"/>
    <cellStyle name="常规 75 2 2 17" xfId="28802"/>
    <cellStyle name="常规 80 2 2 17" xfId="28803"/>
    <cellStyle name="常规 96 3 13" xfId="28804"/>
    <cellStyle name="常规 75 2 2 2" xfId="28805"/>
    <cellStyle name="常规 80 2 2 2" xfId="28806"/>
    <cellStyle name="常规 96 3 14" xfId="28807"/>
    <cellStyle name="常规 75 2 2 3" xfId="28808"/>
    <cellStyle name="常规 80 2 2 3" xfId="28809"/>
    <cellStyle name="常规 96 3 15" xfId="28810"/>
    <cellStyle name="常规 75 2 2 4" xfId="28811"/>
    <cellStyle name="常规 80 2 2 4" xfId="28812"/>
    <cellStyle name="常规 96 3 16" xfId="28813"/>
    <cellStyle name="常规 75 2 2 5" xfId="28814"/>
    <cellStyle name="常规 80 2 2 5" xfId="28815"/>
    <cellStyle name="常规 96 3 17" xfId="28816"/>
    <cellStyle name="常规 75 2 2 6" xfId="28817"/>
    <cellStyle name="常规 80 2 2 6" xfId="28818"/>
    <cellStyle name="常规 96 3 18" xfId="28819"/>
    <cellStyle name="常规 75 2 2 7" xfId="28820"/>
    <cellStyle name="常规 80 2 2 7" xfId="28821"/>
    <cellStyle name="常规 75 2 2 8" xfId="28822"/>
    <cellStyle name="常规 80 2 2 8" xfId="28823"/>
    <cellStyle name="常规 75 2 2 9" xfId="28824"/>
    <cellStyle name="常规 80 2 2 9" xfId="28825"/>
    <cellStyle name="常规 75 2 4 2" xfId="28826"/>
    <cellStyle name="常规 80 2 4 2" xfId="28827"/>
    <cellStyle name="常规 75 2 4 2 2" xfId="28828"/>
    <cellStyle name="常规 80 2 4 2 2" xfId="28829"/>
    <cellStyle name="常规 75 2 4 2 3" xfId="28830"/>
    <cellStyle name="常规 80 2 4 2 3" xfId="28831"/>
    <cellStyle name="常规 75 2 4 3" xfId="28832"/>
    <cellStyle name="常规 80 2 4 3" xfId="28833"/>
    <cellStyle name="常规 75 3" xfId="28834"/>
    <cellStyle name="常规 80 3" xfId="28835"/>
    <cellStyle name="常规 75 3 10" xfId="28836"/>
    <cellStyle name="常规 80 3 10" xfId="28837"/>
    <cellStyle name="计算 2 2 3 3 2 2" xfId="28838"/>
    <cellStyle name="常规 75 3 12" xfId="28839"/>
    <cellStyle name="常规 80 3 12" xfId="28840"/>
    <cellStyle name="计算 2 2 3 3 2 3" xfId="28841"/>
    <cellStyle name="常规 75 3 13" xfId="28842"/>
    <cellStyle name="常规 80 3 13" xfId="28843"/>
    <cellStyle name="常规 75 3 16" xfId="28844"/>
    <cellStyle name="常规 80 3 16" xfId="28845"/>
    <cellStyle name="常规 75 3 17" xfId="28846"/>
    <cellStyle name="常规 80 3 17" xfId="28847"/>
    <cellStyle name="常规 75 3 2" xfId="28848"/>
    <cellStyle name="常规 80 3 2" xfId="28849"/>
    <cellStyle name="常规 75 3 3" xfId="28850"/>
    <cellStyle name="常规 80 3 3" xfId="28851"/>
    <cellStyle name="常规 97 2 17" xfId="28852"/>
    <cellStyle name="常规 75 3 3 2 2" xfId="28853"/>
    <cellStyle name="常规 80 3 3 2 2" xfId="28854"/>
    <cellStyle name="常规 97 2 18" xfId="28855"/>
    <cellStyle name="常规 75 3 3 2 3" xfId="28856"/>
    <cellStyle name="常规 80 3 3 2 3" xfId="28857"/>
    <cellStyle name="汇总 3 3 3 2 2" xfId="28858"/>
    <cellStyle name="常规 75 3 4" xfId="28859"/>
    <cellStyle name="常规 80 3 4" xfId="28860"/>
    <cellStyle name="汇总 3 3 3 2 3" xfId="28861"/>
    <cellStyle name="常规 75 3 5" xfId="28862"/>
    <cellStyle name="常规 80 3 5" xfId="28863"/>
    <cellStyle name="汇总 3 3 3 2 4" xfId="28864"/>
    <cellStyle name="常规 75 3 6" xfId="28865"/>
    <cellStyle name="常规 80 3 6" xfId="28866"/>
    <cellStyle name="汇总 3 3 3 2 5" xfId="28867"/>
    <cellStyle name="常规 75 3 7" xfId="28868"/>
    <cellStyle name="常规 80 3 7" xfId="28869"/>
    <cellStyle name="汇总 3 3 3 2 6" xfId="28870"/>
    <cellStyle name="常规 75 3 8" xfId="28871"/>
    <cellStyle name="常规 80 3 8" xfId="28872"/>
    <cellStyle name="常规 75 4" xfId="28873"/>
    <cellStyle name="常规 80 4" xfId="28874"/>
    <cellStyle name="常规 75 5" xfId="28875"/>
    <cellStyle name="常规 80 5" xfId="28876"/>
    <cellStyle name="常规 75 6" xfId="28877"/>
    <cellStyle name="常规 80 6" xfId="28878"/>
    <cellStyle name="常规 75 7" xfId="28879"/>
    <cellStyle name="常规 80 7" xfId="28880"/>
    <cellStyle name="常规 75 8" xfId="28881"/>
    <cellStyle name="常规 80 8" xfId="28882"/>
    <cellStyle name="常规 75 9" xfId="28883"/>
    <cellStyle name="常规 80 9" xfId="28884"/>
    <cellStyle name="常规 76" xfId="28885"/>
    <cellStyle name="常规 81" xfId="28886"/>
    <cellStyle name="输出 3 2 10 2 8" xfId="28887"/>
    <cellStyle name="常规 76 17" xfId="28888"/>
    <cellStyle name="常规 76 22" xfId="28889"/>
    <cellStyle name="常规 81 17" xfId="28890"/>
    <cellStyle name="常规 81 22" xfId="28891"/>
    <cellStyle name="输出 3 2 10 2 9" xfId="28892"/>
    <cellStyle name="常规 76 18" xfId="28893"/>
    <cellStyle name="常规 76 23" xfId="28894"/>
    <cellStyle name="常规 81 18" xfId="28895"/>
    <cellStyle name="常规 81 23" xfId="28896"/>
    <cellStyle name="常规 76 19" xfId="28897"/>
    <cellStyle name="常规 81 19" xfId="28898"/>
    <cellStyle name="汇总 2 5 2 8" xfId="28899"/>
    <cellStyle name="常规 76 2" xfId="28900"/>
    <cellStyle name="常规 81 2" xfId="28901"/>
    <cellStyle name="常规 76 2 10" xfId="28902"/>
    <cellStyle name="常规 81 2 10" xfId="28903"/>
    <cellStyle name="常规 76 2 11" xfId="28904"/>
    <cellStyle name="常规 81 2 11" xfId="28905"/>
    <cellStyle name="常规 76 2 12" xfId="28906"/>
    <cellStyle name="常规 81 2 12" xfId="28907"/>
    <cellStyle name="常规 76 2 13" xfId="28908"/>
    <cellStyle name="常规 81 2 13" xfId="28909"/>
    <cellStyle name="常规 76 2 14" xfId="28910"/>
    <cellStyle name="常规 81 2 14" xfId="28911"/>
    <cellStyle name="常规 76 2 15" xfId="28912"/>
    <cellStyle name="常规 81 2 15" xfId="28913"/>
    <cellStyle name="常规 76 2 16" xfId="28914"/>
    <cellStyle name="常规 81 2 16" xfId="28915"/>
    <cellStyle name="常规 76 2 17" xfId="28916"/>
    <cellStyle name="常规 81 2 17" xfId="28917"/>
    <cellStyle name="常规 76 2 18" xfId="28918"/>
    <cellStyle name="常规 81 2 18" xfId="28919"/>
    <cellStyle name="常规 76 2 19" xfId="28920"/>
    <cellStyle name="常规 81 2 19" xfId="28921"/>
    <cellStyle name="常规 76 2 2 10" xfId="28922"/>
    <cellStyle name="常规 81 2 2 10" xfId="28923"/>
    <cellStyle name="常规 76 2 2 11" xfId="28924"/>
    <cellStyle name="常规 81 2 2 11" xfId="28925"/>
    <cellStyle name="常规 76 2 2 12" xfId="28926"/>
    <cellStyle name="常规 81 2 2 12" xfId="28927"/>
    <cellStyle name="常规 76 2 2 13" xfId="28928"/>
    <cellStyle name="常规 81 2 2 13" xfId="28929"/>
    <cellStyle name="常规 76 2 2 14" xfId="28930"/>
    <cellStyle name="常规 81 2 2 14" xfId="28931"/>
    <cellStyle name="常规 76 2 2 15" xfId="28932"/>
    <cellStyle name="常规 81 2 2 15" xfId="28933"/>
    <cellStyle name="常规 76 2 2 16" xfId="28934"/>
    <cellStyle name="常规 81 2 2 16" xfId="28935"/>
    <cellStyle name="常规 76 2 2 17" xfId="28936"/>
    <cellStyle name="常规 81 2 2 17" xfId="28937"/>
    <cellStyle name="常规 76 2 2 18" xfId="28938"/>
    <cellStyle name="常规 81 2 2 18" xfId="28939"/>
    <cellStyle name="常规 76 2 2 2" xfId="28940"/>
    <cellStyle name="常规 81 2 2 2" xfId="28941"/>
    <cellStyle name="常规 76 2 2 3" xfId="28942"/>
    <cellStyle name="常规 81 2 2 3" xfId="28943"/>
    <cellStyle name="常规 76 2 2 3 2" xfId="28944"/>
    <cellStyle name="常规 81 2 2 3 2" xfId="28945"/>
    <cellStyle name="常规 76 2 2 3 2 2" xfId="28946"/>
    <cellStyle name="常规 81 2 2 3 2 2" xfId="28947"/>
    <cellStyle name="常规 76 2 2 3 3" xfId="28948"/>
    <cellStyle name="常规 81 2 2 3 3" xfId="28949"/>
    <cellStyle name="常规 76 2 2 4" xfId="28950"/>
    <cellStyle name="常规 81 2 2 4" xfId="28951"/>
    <cellStyle name="常规 76 2 2 5" xfId="28952"/>
    <cellStyle name="常规 81 2 2 5" xfId="28953"/>
    <cellStyle name="常规 76 2 2 6" xfId="28954"/>
    <cellStyle name="常规 81 2 2 6" xfId="28955"/>
    <cellStyle name="常规 76 2 2 7" xfId="28956"/>
    <cellStyle name="常规 81 2 2 7" xfId="28957"/>
    <cellStyle name="常规 76 2 2 8" xfId="28958"/>
    <cellStyle name="常规 81 2 2 8" xfId="28959"/>
    <cellStyle name="常规 76 2 2 9" xfId="28960"/>
    <cellStyle name="常规 81 2 2 9" xfId="28961"/>
    <cellStyle name="常规 76 2 4 2" xfId="28962"/>
    <cellStyle name="常规 81 2 4 2" xfId="28963"/>
    <cellStyle name="常规 76 2 4 2 2" xfId="28964"/>
    <cellStyle name="常规 81 2 4 2 2" xfId="28965"/>
    <cellStyle name="常规 76 2 4 2 3" xfId="28966"/>
    <cellStyle name="常规 81 2 4 2 3" xfId="28967"/>
    <cellStyle name="常规 76 2 4 3" xfId="28968"/>
    <cellStyle name="常规 81 2 4 3" xfId="28969"/>
    <cellStyle name="汇总 2 5 2 9" xfId="28970"/>
    <cellStyle name="常规 76 3" xfId="28971"/>
    <cellStyle name="常规 81 3" xfId="28972"/>
    <cellStyle name="常规 76 3 10" xfId="28973"/>
    <cellStyle name="常规 81 3 10" xfId="28974"/>
    <cellStyle name="常规 76 3 11" xfId="28975"/>
    <cellStyle name="常规 81 3 11" xfId="28976"/>
    <cellStyle name="常规 76 3 12" xfId="28977"/>
    <cellStyle name="常规 81 3 12" xfId="28978"/>
    <cellStyle name="常规 76 3 2" xfId="28979"/>
    <cellStyle name="常规 81 3 2" xfId="28980"/>
    <cellStyle name="常规 76 3 3" xfId="28981"/>
    <cellStyle name="常规 81 3 3" xfId="28982"/>
    <cellStyle name="常规 76 3 3 2 2" xfId="28983"/>
    <cellStyle name="常规 81 3 3 2 2" xfId="28984"/>
    <cellStyle name="常规 76 3 3 2 3" xfId="28985"/>
    <cellStyle name="常规 81 3 3 2 3" xfId="28986"/>
    <cellStyle name="汇总 3 3 4 2 2" xfId="28987"/>
    <cellStyle name="常规 76 3 4" xfId="28988"/>
    <cellStyle name="常规 81 3 4" xfId="28989"/>
    <cellStyle name="汇总 3 3 4 2 3" xfId="28990"/>
    <cellStyle name="常规 76 3 5" xfId="28991"/>
    <cellStyle name="常规 81 3 5" xfId="28992"/>
    <cellStyle name="汇总 3 3 4 2 4" xfId="28993"/>
    <cellStyle name="常规 76 3 6" xfId="28994"/>
    <cellStyle name="常规 81 3 6" xfId="28995"/>
    <cellStyle name="汇总 3 3 4 2 5" xfId="28996"/>
    <cellStyle name="常规 76 3 7" xfId="28997"/>
    <cellStyle name="常规 81 3 7" xfId="28998"/>
    <cellStyle name="汇总 3 3 4 2 6" xfId="28999"/>
    <cellStyle name="常规 76 3 8" xfId="29000"/>
    <cellStyle name="常规 81 3 8" xfId="29001"/>
    <cellStyle name="汇总 3 3 4 2 7" xfId="29002"/>
    <cellStyle name="常规 76 3 9" xfId="29003"/>
    <cellStyle name="常规 81 3 9" xfId="29004"/>
    <cellStyle name="常规 76 5 2" xfId="29005"/>
    <cellStyle name="常规 81 5 2" xfId="29006"/>
    <cellStyle name="常规 76 5 3" xfId="29007"/>
    <cellStyle name="常规 81 5 3" xfId="29008"/>
    <cellStyle name="常规 76 6" xfId="29009"/>
    <cellStyle name="常规 81 6" xfId="29010"/>
    <cellStyle name="常规 76 7" xfId="29011"/>
    <cellStyle name="常规 81 7" xfId="29012"/>
    <cellStyle name="常规 76 8" xfId="29013"/>
    <cellStyle name="常规 81 8" xfId="29014"/>
    <cellStyle name="常规 77" xfId="29015"/>
    <cellStyle name="常规 82" xfId="29016"/>
    <cellStyle name="常规 77 18" xfId="29017"/>
    <cellStyle name="常规 77 23" xfId="29018"/>
    <cellStyle name="常规 82 18" xfId="29019"/>
    <cellStyle name="常规 82 23" xfId="29020"/>
    <cellStyle name="常规 77 19" xfId="29021"/>
    <cellStyle name="常规 82 19" xfId="29022"/>
    <cellStyle name="常规 77 2" xfId="29023"/>
    <cellStyle name="常规 82 2" xfId="29024"/>
    <cellStyle name="常规 77 2 16" xfId="29025"/>
    <cellStyle name="常规 82 2 16" xfId="29026"/>
    <cellStyle name="常规 77 2 17" xfId="29027"/>
    <cellStyle name="常规 82 2 17" xfId="29028"/>
    <cellStyle name="常规 77 2 18" xfId="29029"/>
    <cellStyle name="常规 82 2 18" xfId="29030"/>
    <cellStyle name="常规 77 2 19" xfId="29031"/>
    <cellStyle name="常规 82 2 19" xfId="29032"/>
    <cellStyle name="常规 77 2 2 11" xfId="29033"/>
    <cellStyle name="常规 82 2 2 11" xfId="29034"/>
    <cellStyle name="常规 77 2 2 12" xfId="29035"/>
    <cellStyle name="常规 82 2 2 12" xfId="29036"/>
    <cellStyle name="常规 77 2 2 13" xfId="29037"/>
    <cellStyle name="常规 82 2 2 13" xfId="29038"/>
    <cellStyle name="常规 77 2 2 14" xfId="29039"/>
    <cellStyle name="常规 82 2 2 14" xfId="29040"/>
    <cellStyle name="常规 77 2 2 15" xfId="29041"/>
    <cellStyle name="常规 82 2 2 15" xfId="29042"/>
    <cellStyle name="常规 77 2 2 16" xfId="29043"/>
    <cellStyle name="常规 82 2 2 16" xfId="29044"/>
    <cellStyle name="常规 77 2 2 17" xfId="29045"/>
    <cellStyle name="常规 82 2 2 17" xfId="29046"/>
    <cellStyle name="常规 77 2 2 18" xfId="29047"/>
    <cellStyle name="常规 82 2 2 18" xfId="29048"/>
    <cellStyle name="常规 77 2 2 3" xfId="29049"/>
    <cellStyle name="常规 82 2 2 3" xfId="29050"/>
    <cellStyle name="常规 77 2 2 3 2" xfId="29051"/>
    <cellStyle name="常规 82 2 2 3 2" xfId="29052"/>
    <cellStyle name="常规 77 2 2 3 2 3" xfId="29053"/>
    <cellStyle name="常规 82 2 2 3 2 3" xfId="29054"/>
    <cellStyle name="常规 77 2 2 3 3" xfId="29055"/>
    <cellStyle name="常规 82 2 2 3 3" xfId="29056"/>
    <cellStyle name="常规 77 2 2 4" xfId="29057"/>
    <cellStyle name="常规 82 2 2 4" xfId="29058"/>
    <cellStyle name="常规 77 2 2 5" xfId="29059"/>
    <cellStyle name="常规 82 2 2 5" xfId="29060"/>
    <cellStyle name="常规 77 2 2 6" xfId="29061"/>
    <cellStyle name="常规 82 2 2 6" xfId="29062"/>
    <cellStyle name="常规 77 2 2 7" xfId="29063"/>
    <cellStyle name="常规 82 2 2 7" xfId="29064"/>
    <cellStyle name="常规 77 2 2 8" xfId="29065"/>
    <cellStyle name="常规 82 2 2 8" xfId="29066"/>
    <cellStyle name="常规 77 2 2 9" xfId="29067"/>
    <cellStyle name="常规 82 2 2 9" xfId="29068"/>
    <cellStyle name="常规 77 2 4 2" xfId="29069"/>
    <cellStyle name="常规 82 2 4 2" xfId="29070"/>
    <cellStyle name="常规 77 2 4 2 2" xfId="29071"/>
    <cellStyle name="常规 82 2 4 2 2" xfId="29072"/>
    <cellStyle name="常规 77 2 4 2 3" xfId="29073"/>
    <cellStyle name="常规 82 2 4 2 3" xfId="29074"/>
    <cellStyle name="常规 77 2 4 3" xfId="29075"/>
    <cellStyle name="常规 82 2 4 3" xfId="29076"/>
    <cellStyle name="常规 77 3" xfId="29077"/>
    <cellStyle name="常规 82 3" xfId="29078"/>
    <cellStyle name="常规 77 3 2" xfId="29079"/>
    <cellStyle name="常规 82 3 2" xfId="29080"/>
    <cellStyle name="常规 77 3 3" xfId="29081"/>
    <cellStyle name="常规 82 3 3" xfId="29082"/>
    <cellStyle name="常规 77 3 3 2 2" xfId="29083"/>
    <cellStyle name="常规 82 3 3 2 2" xfId="29084"/>
    <cellStyle name="常规 77 3 3 2 3" xfId="29085"/>
    <cellStyle name="常规 82 3 3 2 3" xfId="29086"/>
    <cellStyle name="常规 77 3 4" xfId="29087"/>
    <cellStyle name="常规 82 3 4" xfId="29088"/>
    <cellStyle name="常规 77 3 5" xfId="29089"/>
    <cellStyle name="常规 82 3 5" xfId="29090"/>
    <cellStyle name="常规 77 3 6" xfId="29091"/>
    <cellStyle name="常规 82 3 6" xfId="29092"/>
    <cellStyle name="常规 77 3 7" xfId="29093"/>
    <cellStyle name="常规 82 3 7" xfId="29094"/>
    <cellStyle name="强调文字颜色 1 2 2" xfId="29095"/>
    <cellStyle name="常规 77 4" xfId="29096"/>
    <cellStyle name="常规 82 4" xfId="29097"/>
    <cellStyle name="强调文字颜色 1 2 3" xfId="29098"/>
    <cellStyle name="常规 77 5" xfId="29099"/>
    <cellStyle name="常规 82 5" xfId="29100"/>
    <cellStyle name="强调文字颜色 1 2 3 2" xfId="29101"/>
    <cellStyle name="常规 77 5 2" xfId="29102"/>
    <cellStyle name="常规 82 5 2" xfId="29103"/>
    <cellStyle name="强调文字颜色 1 2 3 3" xfId="29104"/>
    <cellStyle name="常规 77 5 3" xfId="29105"/>
    <cellStyle name="常规 82 5 3" xfId="29106"/>
    <cellStyle name="强调文字颜色 1 2 4" xfId="29107"/>
    <cellStyle name="常规 77 6" xfId="29108"/>
    <cellStyle name="常规 82 6" xfId="29109"/>
    <cellStyle name="输出 3 2 10 2" xfId="29110"/>
    <cellStyle name="强调文字颜色 1 2 5" xfId="29111"/>
    <cellStyle name="常规 77 7" xfId="29112"/>
    <cellStyle name="常规 82 7" xfId="29113"/>
    <cellStyle name="输出 3 2 10 3" xfId="29114"/>
    <cellStyle name="强调文字颜色 1 2 6" xfId="29115"/>
    <cellStyle name="常规 77 8" xfId="29116"/>
    <cellStyle name="常规 82 8" xfId="29117"/>
    <cellStyle name="输出 3 2 10 4" xfId="29118"/>
    <cellStyle name="强调文字颜色 1 2 7" xfId="29119"/>
    <cellStyle name="常规 77 9" xfId="29120"/>
    <cellStyle name="常规 82 9" xfId="29121"/>
    <cellStyle name="常规 78" xfId="29122"/>
    <cellStyle name="常规 83" xfId="29123"/>
    <cellStyle name="常规 78 13" xfId="29124"/>
    <cellStyle name="常规 83 13" xfId="29125"/>
    <cellStyle name="常规 78 14" xfId="29126"/>
    <cellStyle name="常规 83 14" xfId="29127"/>
    <cellStyle name="常规 78 15" xfId="29128"/>
    <cellStyle name="常规 78 20" xfId="29129"/>
    <cellStyle name="常规 83 15" xfId="29130"/>
    <cellStyle name="常规 83 20" xfId="29131"/>
    <cellStyle name="常规 78 16" xfId="29132"/>
    <cellStyle name="常规 78 21" xfId="29133"/>
    <cellStyle name="常规 83 16" xfId="29134"/>
    <cellStyle name="常规 83 21" xfId="29135"/>
    <cellStyle name="常规 78 17" xfId="29136"/>
    <cellStyle name="常规 78 22" xfId="29137"/>
    <cellStyle name="常规 83 17" xfId="29138"/>
    <cellStyle name="常规 83 22" xfId="29139"/>
    <cellStyle name="常规 78 18" xfId="29140"/>
    <cellStyle name="常规 78 23" xfId="29141"/>
    <cellStyle name="常规 83 18" xfId="29142"/>
    <cellStyle name="常规 83 23" xfId="29143"/>
    <cellStyle name="常规 78 19" xfId="29144"/>
    <cellStyle name="常规 83 19" xfId="29145"/>
    <cellStyle name="常规 78 2" xfId="29146"/>
    <cellStyle name="常规 83 2" xfId="29147"/>
    <cellStyle name="计算 2 2 6 11" xfId="29148"/>
    <cellStyle name="常规 78 2 12" xfId="29149"/>
    <cellStyle name="常规 83 2 12" xfId="29150"/>
    <cellStyle name="计算 2 2 6 12" xfId="29151"/>
    <cellStyle name="常规 78 2 13" xfId="29152"/>
    <cellStyle name="常规 83 2 13" xfId="29153"/>
    <cellStyle name="计算 2 2 6 13" xfId="29154"/>
    <cellStyle name="常规 78 2 14" xfId="29155"/>
    <cellStyle name="常规 83 2 14" xfId="29156"/>
    <cellStyle name="计算 2 2 6 14" xfId="29157"/>
    <cellStyle name="常规 78 2 15" xfId="29158"/>
    <cellStyle name="常规 83 2 15" xfId="29159"/>
    <cellStyle name="计算 2 2 6 15" xfId="29160"/>
    <cellStyle name="常规 78 2 16" xfId="29161"/>
    <cellStyle name="常规 83 2 16" xfId="29162"/>
    <cellStyle name="计算 2 2 6 16" xfId="29163"/>
    <cellStyle name="常规 78 2 17" xfId="29164"/>
    <cellStyle name="常规 83 2 17" xfId="29165"/>
    <cellStyle name="计算 2 2 6 17" xfId="29166"/>
    <cellStyle name="常规 78 2 18" xfId="29167"/>
    <cellStyle name="常规 83 2 18" xfId="29168"/>
    <cellStyle name="常规 78 2 19" xfId="29169"/>
    <cellStyle name="常规 83 2 19" xfId="29170"/>
    <cellStyle name="常规 78 2 2 10" xfId="29171"/>
    <cellStyle name="常规 83 2 2 10" xfId="29172"/>
    <cellStyle name="常规 78 2 2 11" xfId="29173"/>
    <cellStyle name="常规 83 2 2 11" xfId="29174"/>
    <cellStyle name="常规 78 2 2 12" xfId="29175"/>
    <cellStyle name="常规 83 2 2 12" xfId="29176"/>
    <cellStyle name="常规 78 2 2 13" xfId="29177"/>
    <cellStyle name="常规 83 2 2 13" xfId="29178"/>
    <cellStyle name="常规 78 2 2 14" xfId="29179"/>
    <cellStyle name="常规 83 2 2 14" xfId="29180"/>
    <cellStyle name="常规 78 2 2 15" xfId="29181"/>
    <cellStyle name="常规 83 2 2 15" xfId="29182"/>
    <cellStyle name="常规 78 2 2 16" xfId="29183"/>
    <cellStyle name="常规 83 2 2 16" xfId="29184"/>
    <cellStyle name="输出 3 5 10" xfId="29185"/>
    <cellStyle name="常规 78 2 2 17" xfId="29186"/>
    <cellStyle name="常规 83 2 2 17" xfId="29187"/>
    <cellStyle name="输出 3 5 11" xfId="29188"/>
    <cellStyle name="常规 78 2 2 18" xfId="29189"/>
    <cellStyle name="常规 83 2 2 18" xfId="29190"/>
    <cellStyle name="输出 3 5 12" xfId="29191"/>
    <cellStyle name="输出 3 8 14" xfId="29192"/>
    <cellStyle name="常规 78 2 2 2" xfId="29193"/>
    <cellStyle name="常规 83 2 2 2" xfId="29194"/>
    <cellStyle name="输出 3 8 15" xfId="29195"/>
    <cellStyle name="常规 78 2 2 3" xfId="29196"/>
    <cellStyle name="常规 83 2 2 3" xfId="29197"/>
    <cellStyle name="常规 78 2 2 3 2" xfId="29198"/>
    <cellStyle name="常规 83 2 2 3 2" xfId="29199"/>
    <cellStyle name="常规 78 2 2 3 2 3" xfId="29200"/>
    <cellStyle name="常规 83 2 2 3 2 3" xfId="29201"/>
    <cellStyle name="常规 78 2 2 3 3" xfId="29202"/>
    <cellStyle name="常规 83 2 2 3 3" xfId="29203"/>
    <cellStyle name="输出 3 8 16" xfId="29204"/>
    <cellStyle name="常规 78 2 2 4" xfId="29205"/>
    <cellStyle name="常规 83 2 2 4" xfId="29206"/>
    <cellStyle name="输出 3 8 17" xfId="29207"/>
    <cellStyle name="常规 78 2 2 5" xfId="29208"/>
    <cellStyle name="常规 83 2 2 5" xfId="29209"/>
    <cellStyle name="常规 78 2 2 6" xfId="29210"/>
    <cellStyle name="常规 83 2 2 6" xfId="29211"/>
    <cellStyle name="计算 2 2 6 2 2" xfId="29212"/>
    <cellStyle name="常规 78 2 2 7" xfId="29213"/>
    <cellStyle name="常规 83 2 2 7" xfId="29214"/>
    <cellStyle name="计算 2 2 6 2 3" xfId="29215"/>
    <cellStyle name="常规 78 2 2 8" xfId="29216"/>
    <cellStyle name="常规 83 2 2 8" xfId="29217"/>
    <cellStyle name="计算 2 2 6 2 4" xfId="29218"/>
    <cellStyle name="常规 78 2 2 9" xfId="29219"/>
    <cellStyle name="常规 83 2 2 9" xfId="29220"/>
    <cellStyle name="常规 78 2 4" xfId="29221"/>
    <cellStyle name="常规 83 2 4" xfId="29222"/>
    <cellStyle name="常规 78 2 4 2" xfId="29223"/>
    <cellStyle name="常规 83 2 4 2" xfId="29224"/>
    <cellStyle name="常规 78 2 4 2 2" xfId="29225"/>
    <cellStyle name="常规 83 2 4 2 2" xfId="29226"/>
    <cellStyle name="常规 78 2 4 2 3" xfId="29227"/>
    <cellStyle name="常规 83 2 4 2 3" xfId="29228"/>
    <cellStyle name="常规 78 2 4 3" xfId="29229"/>
    <cellStyle name="常规 83 2 4 3" xfId="29230"/>
    <cellStyle name="常规 78 2 5" xfId="29231"/>
    <cellStyle name="常规 83 2 5" xfId="29232"/>
    <cellStyle name="常规 78 2 6" xfId="29233"/>
    <cellStyle name="常规 83 2 6" xfId="29234"/>
    <cellStyle name="常规 78 2 7" xfId="29235"/>
    <cellStyle name="常规 83 2 7" xfId="29236"/>
    <cellStyle name="常规 78 2 8" xfId="29237"/>
    <cellStyle name="常规 83 2 8" xfId="29238"/>
    <cellStyle name="常规 78 2 9" xfId="29239"/>
    <cellStyle name="常规 83 2 9" xfId="29240"/>
    <cellStyle name="常规 78 3" xfId="29241"/>
    <cellStyle name="常规 83 3" xfId="29242"/>
    <cellStyle name="输出 3 2 13 11" xfId="29243"/>
    <cellStyle name="常规 78 3 2" xfId="29244"/>
    <cellStyle name="常规 83 3 2" xfId="29245"/>
    <cellStyle name="强调文字颜色 1 3 2" xfId="29246"/>
    <cellStyle name="常规 78 4" xfId="29247"/>
    <cellStyle name="常规 83 4" xfId="29248"/>
    <cellStyle name="常规 79" xfId="29249"/>
    <cellStyle name="常规 84" xfId="29250"/>
    <cellStyle name="常规 79 13" xfId="29251"/>
    <cellStyle name="常规 84 13" xfId="29252"/>
    <cellStyle name="常规 79 14" xfId="29253"/>
    <cellStyle name="常规 84 14" xfId="29254"/>
    <cellStyle name="常规 79 15" xfId="29255"/>
    <cellStyle name="常规 79 20" xfId="29256"/>
    <cellStyle name="常规 84 15" xfId="29257"/>
    <cellStyle name="常规 84 20" xfId="29258"/>
    <cellStyle name="常规 79 18" xfId="29259"/>
    <cellStyle name="常规 79 23" xfId="29260"/>
    <cellStyle name="常规 84 18" xfId="29261"/>
    <cellStyle name="常规 84 23" xfId="29262"/>
    <cellStyle name="常规 79 19" xfId="29263"/>
    <cellStyle name="常规 84 19" xfId="29264"/>
    <cellStyle name="输入 3 3 3 14" xfId="29265"/>
    <cellStyle name="常规 79 2" xfId="29266"/>
    <cellStyle name="常规 84 2" xfId="29267"/>
    <cellStyle name="常规 79 2 2" xfId="29268"/>
    <cellStyle name="常规 84 2 2" xfId="29269"/>
    <cellStyle name="常规 95 11" xfId="29270"/>
    <cellStyle name="常规 79 2 2 10" xfId="29271"/>
    <cellStyle name="常规 84 2 2 10" xfId="29272"/>
    <cellStyle name="常规 79 2 2 11" xfId="29273"/>
    <cellStyle name="常规 84 2 2 11" xfId="29274"/>
    <cellStyle name="常规 79 2 2 12" xfId="29275"/>
    <cellStyle name="常规 84 2 2 12" xfId="29276"/>
    <cellStyle name="强调文字颜色 2 3 2" xfId="29277"/>
    <cellStyle name="常规 79 2 2 13" xfId="29278"/>
    <cellStyle name="常规 84 2 2 13" xfId="29279"/>
    <cellStyle name="常规 79 2 2 14" xfId="29280"/>
    <cellStyle name="常规 84 2 2 14" xfId="29281"/>
    <cellStyle name="常规 79 2 2 15" xfId="29282"/>
    <cellStyle name="常规 84 2 2 15" xfId="29283"/>
    <cellStyle name="常规 79 2 2 16" xfId="29284"/>
    <cellStyle name="常规 84 2 2 16" xfId="29285"/>
    <cellStyle name="常规 79 2 2 3 2 2" xfId="29286"/>
    <cellStyle name="常规 84 2 2 3 2 2" xfId="29287"/>
    <cellStyle name="常规 79 2 2 3 2 3" xfId="29288"/>
    <cellStyle name="常规 84 2 2 3 2 3" xfId="29289"/>
    <cellStyle name="常规 79 2 2 8" xfId="29290"/>
    <cellStyle name="常规 84 2 2 8" xfId="29291"/>
    <cellStyle name="常规 79 2 2 9" xfId="29292"/>
    <cellStyle name="常规 84 2 2 9" xfId="29293"/>
    <cellStyle name="常规 79 2 3" xfId="29294"/>
    <cellStyle name="常规 84 2 3" xfId="29295"/>
    <cellStyle name="常规 95 12" xfId="29296"/>
    <cellStyle name="常规 79 2 4" xfId="29297"/>
    <cellStyle name="常规 84 2 4" xfId="29298"/>
    <cellStyle name="常规 95 13" xfId="29299"/>
    <cellStyle name="常规 79 2 4 2" xfId="29300"/>
    <cellStyle name="常规 84 2 4 2" xfId="29301"/>
    <cellStyle name="常规 79 2 4 3" xfId="29302"/>
    <cellStyle name="常规 84 2 4 3" xfId="29303"/>
    <cellStyle name="常规 79 2 5" xfId="29304"/>
    <cellStyle name="常规 84 2 5" xfId="29305"/>
    <cellStyle name="常规 95 14" xfId="29306"/>
    <cellStyle name="常规 79 2 6" xfId="29307"/>
    <cellStyle name="常规 84 2 6" xfId="29308"/>
    <cellStyle name="常规 95 15" xfId="29309"/>
    <cellStyle name="常规 95 20" xfId="29310"/>
    <cellStyle name="常规 79 2 7" xfId="29311"/>
    <cellStyle name="常规 84 2 7" xfId="29312"/>
    <cellStyle name="常规 95 16" xfId="29313"/>
    <cellStyle name="常规 95 21" xfId="29314"/>
    <cellStyle name="常规 79 2 8" xfId="29315"/>
    <cellStyle name="常规 84 2 8" xfId="29316"/>
    <cellStyle name="常规 95 17" xfId="29317"/>
    <cellStyle name="常规 95 22" xfId="29318"/>
    <cellStyle name="常规 79 2 9" xfId="29319"/>
    <cellStyle name="常规 84 2 9" xfId="29320"/>
    <cellStyle name="常规 95 18" xfId="29321"/>
    <cellStyle name="常规 95 23" xfId="29322"/>
    <cellStyle name="输入 3 3 3 15" xfId="29323"/>
    <cellStyle name="常规 79 3" xfId="29324"/>
    <cellStyle name="常规 84 3" xfId="29325"/>
    <cellStyle name="计算 3 2 5 2 2" xfId="29326"/>
    <cellStyle name="常规 79 3 16" xfId="29327"/>
    <cellStyle name="常规 84 3 16" xfId="29328"/>
    <cellStyle name="计算 3 2 5 2 3" xfId="29329"/>
    <cellStyle name="常规 79 3 17" xfId="29330"/>
    <cellStyle name="常规 84 3 17" xfId="29331"/>
    <cellStyle name="计算 3 2 5 2 4" xfId="29332"/>
    <cellStyle name="常规 79 3 18" xfId="29333"/>
    <cellStyle name="常规 84 3 18" xfId="29334"/>
    <cellStyle name="常规 79 3 2" xfId="29335"/>
    <cellStyle name="常规 84 3 2" xfId="29336"/>
    <cellStyle name="常规 79 3 3" xfId="29337"/>
    <cellStyle name="常规 84 3 3" xfId="29338"/>
    <cellStyle name="常规 79 3 3 2 2" xfId="29339"/>
    <cellStyle name="常规 84 3 3 2 2" xfId="29340"/>
    <cellStyle name="常规 79 3 3 2 3" xfId="29341"/>
    <cellStyle name="常规 84 3 3 2 3" xfId="29342"/>
    <cellStyle name="常规 79 3 4" xfId="29343"/>
    <cellStyle name="常规 84 3 4" xfId="29344"/>
    <cellStyle name="常规 79 3 5" xfId="29345"/>
    <cellStyle name="常规 84 3 5" xfId="29346"/>
    <cellStyle name="常规 79 3 6" xfId="29347"/>
    <cellStyle name="常规 84 3 6" xfId="29348"/>
    <cellStyle name="常规 79 3 7" xfId="29349"/>
    <cellStyle name="常规 84 3 7" xfId="29350"/>
    <cellStyle name="常规 79 3 8" xfId="29351"/>
    <cellStyle name="常规 84 3 8" xfId="29352"/>
    <cellStyle name="常规 79 3 9" xfId="29353"/>
    <cellStyle name="常规 84 3 9" xfId="29354"/>
    <cellStyle name="输入 3 3 3 16" xfId="29355"/>
    <cellStyle name="强调文字颜色 1 4 2" xfId="29356"/>
    <cellStyle name="常规 79 4" xfId="29357"/>
    <cellStyle name="常规 84 4" xfId="29358"/>
    <cellStyle name="输入 3 3 3 17" xfId="29359"/>
    <cellStyle name="强调文字颜色 1 4 3" xfId="29360"/>
    <cellStyle name="常规 79 5" xfId="29361"/>
    <cellStyle name="常规 84 5" xfId="29362"/>
    <cellStyle name="强调文字颜色 1 4 4" xfId="29363"/>
    <cellStyle name="常规 79 6" xfId="29364"/>
    <cellStyle name="常规 84 6" xfId="29365"/>
    <cellStyle name="输出 3 2 12 2" xfId="29366"/>
    <cellStyle name="常规 79 7" xfId="29367"/>
    <cellStyle name="常规 84 7" xfId="29368"/>
    <cellStyle name="输出 3 2 12 3" xfId="29369"/>
    <cellStyle name="常规 79 8" xfId="29370"/>
    <cellStyle name="常规 84 8" xfId="29371"/>
    <cellStyle name="输出 3 2 12 4" xfId="29372"/>
    <cellStyle name="常规 79 9" xfId="29373"/>
    <cellStyle name="常规 84 9" xfId="29374"/>
    <cellStyle name="常规 8" xfId="29375"/>
    <cellStyle name="常规 8 10" xfId="29376"/>
    <cellStyle name="常规 8 11" xfId="29377"/>
    <cellStyle name="常规 8 12" xfId="29378"/>
    <cellStyle name="常规 8 13" xfId="29379"/>
    <cellStyle name="常规 8 14" xfId="29380"/>
    <cellStyle name="常规 8 15" xfId="29381"/>
    <cellStyle name="常规 8 20" xfId="29382"/>
    <cellStyle name="常规 8 2" xfId="29383"/>
    <cellStyle name="计算 2 3 5 2 3" xfId="29384"/>
    <cellStyle name="常规 8 2 10" xfId="29385"/>
    <cellStyle name="计算 2 3 5 2 4" xfId="29386"/>
    <cellStyle name="常规 8 2 11" xfId="29387"/>
    <cellStyle name="输入 2 2 2 10" xfId="29388"/>
    <cellStyle name="常规 8 3" xfId="29389"/>
    <cellStyle name="常规 8 3 10" xfId="29390"/>
    <cellStyle name="常规 8 3 11" xfId="29391"/>
    <cellStyle name="计算 4 4" xfId="29392"/>
    <cellStyle name="常规 8 3 3 2" xfId="29393"/>
    <cellStyle name="常规 8 3 3 2 2" xfId="29394"/>
    <cellStyle name="常规 8 3 3 2 3" xfId="29395"/>
    <cellStyle name="输出 2 3 3 2 2" xfId="29396"/>
    <cellStyle name="计算 4 5" xfId="29397"/>
    <cellStyle name="常规 8 3 3 3" xfId="29398"/>
    <cellStyle name="常规 8 3 5" xfId="29399"/>
    <cellStyle name="常规 8 3 6" xfId="29400"/>
    <cellStyle name="常规 8 3 7" xfId="29401"/>
    <cellStyle name="输入 2 2 2 11" xfId="29402"/>
    <cellStyle name="常规 8 4" xfId="29403"/>
    <cellStyle name="输入 2 2 2 12" xfId="29404"/>
    <cellStyle name="常规 8 5" xfId="29405"/>
    <cellStyle name="输入 2 2 2 13" xfId="29406"/>
    <cellStyle name="常规 8 6" xfId="29407"/>
    <cellStyle name="输入 2 2 2 14" xfId="29408"/>
    <cellStyle name="常规 8 7" xfId="29409"/>
    <cellStyle name="输入 2 2 2 15" xfId="29410"/>
    <cellStyle name="常规 8 8" xfId="29411"/>
    <cellStyle name="输入 2 2 2 16" xfId="29412"/>
    <cellStyle name="常规 8 9" xfId="29413"/>
    <cellStyle name="常规 85" xfId="29414"/>
    <cellStyle name="常规 90" xfId="29415"/>
    <cellStyle name="常规 85 2" xfId="29416"/>
    <cellStyle name="常规 90 2" xfId="29417"/>
    <cellStyle name="常规 85 2 16" xfId="29418"/>
    <cellStyle name="常规 90 2 16" xfId="29419"/>
    <cellStyle name="常规 85 2 17" xfId="29420"/>
    <cellStyle name="常规 90 2 17" xfId="29421"/>
    <cellStyle name="常规 85 2 18" xfId="29422"/>
    <cellStyle name="常规 90 2 18" xfId="29423"/>
    <cellStyle name="常规 85 2 19" xfId="29424"/>
    <cellStyle name="常规 90 2 19" xfId="29425"/>
    <cellStyle name="常规 85 2 2 10" xfId="29426"/>
    <cellStyle name="常规 90 2 2 10" xfId="29427"/>
    <cellStyle name="常规 85 2 2 11" xfId="29428"/>
    <cellStyle name="常规 90 2 2 11" xfId="29429"/>
    <cellStyle name="常规 85 2 2 12" xfId="29430"/>
    <cellStyle name="常规 90 2 2 12" xfId="29431"/>
    <cellStyle name="常规 85 2 2 13" xfId="29432"/>
    <cellStyle name="常规 90 2 2 13" xfId="29433"/>
    <cellStyle name="常规 85 2 2 14" xfId="29434"/>
    <cellStyle name="常规 90 2 2 14" xfId="29435"/>
    <cellStyle name="常规 85 2 2 15" xfId="29436"/>
    <cellStyle name="常规 90 2 2 15" xfId="29437"/>
    <cellStyle name="常规 85 2 2 17" xfId="29438"/>
    <cellStyle name="常规 90 2 2 17" xfId="29439"/>
    <cellStyle name="常规 85 2 2 18" xfId="29440"/>
    <cellStyle name="常规 90 2 2 18" xfId="29441"/>
    <cellStyle name="常规 85 2 2 3 2 2" xfId="29442"/>
    <cellStyle name="常规 90 2 2 3 2 2" xfId="29443"/>
    <cellStyle name="强调文字颜色 2 3 2 13" xfId="29444"/>
    <cellStyle name="计算 3 2 8 12" xfId="29445"/>
    <cellStyle name="常规 85 2 2 3 2 3" xfId="29446"/>
    <cellStyle name="常规 90 2 2 3 2 3" xfId="29447"/>
    <cellStyle name="强调文字颜色 2 3 2 14" xfId="29448"/>
    <cellStyle name="计算 3 2 8 13" xfId="29449"/>
    <cellStyle name="常规 85 2 2 9" xfId="29450"/>
    <cellStyle name="常规 90 2 2 9" xfId="29451"/>
    <cellStyle name="常规 85 2 4 2" xfId="29452"/>
    <cellStyle name="常规 90 2 4 2" xfId="29453"/>
    <cellStyle name="常规 85 2 4 3" xfId="29454"/>
    <cellStyle name="常规 90 2 4 3" xfId="29455"/>
    <cellStyle name="常规 85 3" xfId="29456"/>
    <cellStyle name="常规 90 3" xfId="29457"/>
    <cellStyle name="常规 85 3 16" xfId="29458"/>
    <cellStyle name="常规 90 3 16" xfId="29459"/>
    <cellStyle name="常规 85 3 17" xfId="29460"/>
    <cellStyle name="常规 90 3 17" xfId="29461"/>
    <cellStyle name="常规 85 3 18" xfId="29462"/>
    <cellStyle name="常规 90 3 18" xfId="29463"/>
    <cellStyle name="常规 85 3 2" xfId="29464"/>
    <cellStyle name="常规 90 3 2" xfId="29465"/>
    <cellStyle name="常规 85 3 3" xfId="29466"/>
    <cellStyle name="常规 90 3 3" xfId="29467"/>
    <cellStyle name="常规 99 3 4" xfId="29468"/>
    <cellStyle name="常规 85 3 3 2" xfId="29469"/>
    <cellStyle name="常规 90 3 3 2" xfId="29470"/>
    <cellStyle name="常规 85 3 3 2 2" xfId="29471"/>
    <cellStyle name="常规 90 3 3 2 2" xfId="29472"/>
    <cellStyle name="常规 85 3 3 2 3" xfId="29473"/>
    <cellStyle name="常规 90 3 3 2 3" xfId="29474"/>
    <cellStyle name="常规 85 3 4" xfId="29475"/>
    <cellStyle name="常规 90 3 4" xfId="29476"/>
    <cellStyle name="常规 85 3 5" xfId="29477"/>
    <cellStyle name="常规 90 3 5" xfId="29478"/>
    <cellStyle name="常规 85 3 6" xfId="29479"/>
    <cellStyle name="常规 90 3 6" xfId="29480"/>
    <cellStyle name="常规 85 3 7" xfId="29481"/>
    <cellStyle name="常规 90 3 7" xfId="29482"/>
    <cellStyle name="常规 85 3 8" xfId="29483"/>
    <cellStyle name="常规 90 3 8" xfId="29484"/>
    <cellStyle name="常规 85 3 9" xfId="29485"/>
    <cellStyle name="常规 90 3 9" xfId="29486"/>
    <cellStyle name="常规 85 4" xfId="29487"/>
    <cellStyle name="常规 90 4" xfId="29488"/>
    <cellStyle name="常规 85 5" xfId="29489"/>
    <cellStyle name="常规 90 5" xfId="29490"/>
    <cellStyle name="常规 86" xfId="29491"/>
    <cellStyle name="常规 91" xfId="29492"/>
    <cellStyle name="常规 86 2" xfId="29493"/>
    <cellStyle name="常规 91 2" xfId="29494"/>
    <cellStyle name="常规 86 2 16" xfId="29495"/>
    <cellStyle name="常规 91 2 16" xfId="29496"/>
    <cellStyle name="常规 86 2 19" xfId="29497"/>
    <cellStyle name="常规 91 2 19" xfId="29498"/>
    <cellStyle name="强调文字颜色 5 4" xfId="29499"/>
    <cellStyle name="常规 86 2 2" xfId="29500"/>
    <cellStyle name="常规 91 2 2" xfId="29501"/>
    <cellStyle name="强调文字颜色 5 4 12" xfId="29502"/>
    <cellStyle name="常规 86 2 2 12" xfId="29503"/>
    <cellStyle name="常规 91 2 2 12" xfId="29504"/>
    <cellStyle name="强调文字颜色 5 4 13" xfId="29505"/>
    <cellStyle name="常规 86 2 2 13" xfId="29506"/>
    <cellStyle name="常规 91 2 2 13" xfId="29507"/>
    <cellStyle name="强调文字颜色 5 4 14" xfId="29508"/>
    <cellStyle name="常规 86 2 2 14" xfId="29509"/>
    <cellStyle name="常规 91 2 2 14" xfId="29510"/>
    <cellStyle name="强调文字颜色 5 4 15" xfId="29511"/>
    <cellStyle name="常规 86 2 2 15" xfId="29512"/>
    <cellStyle name="常规 91 2 2 15" xfId="29513"/>
    <cellStyle name="强调文字颜色 5 4 2" xfId="29514"/>
    <cellStyle name="常规 86 2 2 2" xfId="29515"/>
    <cellStyle name="常规 91 2 2 2" xfId="29516"/>
    <cellStyle name="强调文字颜色 5 4 3" xfId="29517"/>
    <cellStyle name="常规 86 2 2 3" xfId="29518"/>
    <cellStyle name="常规 91 2 2 3" xfId="29519"/>
    <cellStyle name="强调文字颜色 5 4 4" xfId="29520"/>
    <cellStyle name="常规 86 2 2 4" xfId="29521"/>
    <cellStyle name="常规 91 2 2 4" xfId="29522"/>
    <cellStyle name="强调文字颜色 5 4 5" xfId="29523"/>
    <cellStyle name="常规 86 2 2 5" xfId="29524"/>
    <cellStyle name="常规 91 2 2 5" xfId="29525"/>
    <cellStyle name="强调文字颜色 5 4 6" xfId="29526"/>
    <cellStyle name="常规 86 2 2 6" xfId="29527"/>
    <cellStyle name="常规 91 2 2 6" xfId="29528"/>
    <cellStyle name="强调文字颜色 5 4 7" xfId="29529"/>
    <cellStyle name="常规 86 2 2 7" xfId="29530"/>
    <cellStyle name="常规 91 2 2 7" xfId="29531"/>
    <cellStyle name="强调文字颜色 5 4 8" xfId="29532"/>
    <cellStyle name="常规 86 2 2 8" xfId="29533"/>
    <cellStyle name="常规 91 2 2 8" xfId="29534"/>
    <cellStyle name="强调文字颜色 5 4 9" xfId="29535"/>
    <cellStyle name="常规 86 2 2 9" xfId="29536"/>
    <cellStyle name="常规 91 2 2 9" xfId="29537"/>
    <cellStyle name="常规 86 2 3" xfId="29538"/>
    <cellStyle name="常规 91 2 3" xfId="29539"/>
    <cellStyle name="常规 86 2 4" xfId="29540"/>
    <cellStyle name="常规 91 2 4" xfId="29541"/>
    <cellStyle name="常规 86 2 4 2" xfId="29542"/>
    <cellStyle name="常规 91 2 4 2" xfId="29543"/>
    <cellStyle name="好 3 2 3 2 3" xfId="29544"/>
    <cellStyle name="常规 86 2 4 2 2" xfId="29545"/>
    <cellStyle name="常规 91 2 4 2 2" xfId="29546"/>
    <cellStyle name="常规 86 2 4 2 3" xfId="29547"/>
    <cellStyle name="常规 91 2 4 2 3" xfId="29548"/>
    <cellStyle name="常规 86 2 4 3" xfId="29549"/>
    <cellStyle name="常规 91 2 4 3" xfId="29550"/>
    <cellStyle name="常规 86 2 5" xfId="29551"/>
    <cellStyle name="常规 91 2 5" xfId="29552"/>
    <cellStyle name="常规 86 2 6" xfId="29553"/>
    <cellStyle name="常规 91 2 6" xfId="29554"/>
    <cellStyle name="常规 86 2 7" xfId="29555"/>
    <cellStyle name="常规 91 2 7" xfId="29556"/>
    <cellStyle name="常规 86 3" xfId="29557"/>
    <cellStyle name="常规 91 3" xfId="29558"/>
    <cellStyle name="常规 86 3 3" xfId="29559"/>
    <cellStyle name="常规 91 3 3" xfId="29560"/>
    <cellStyle name="常规 86 3 3 2 3" xfId="29561"/>
    <cellStyle name="常规 91 3 3 2 3" xfId="29562"/>
    <cellStyle name="常规 86 3 4" xfId="29563"/>
    <cellStyle name="常规 91 3 4" xfId="29564"/>
    <cellStyle name="常规 86 3 7" xfId="29565"/>
    <cellStyle name="常规 91 3 7" xfId="29566"/>
    <cellStyle name="常规 86 3 8" xfId="29567"/>
    <cellStyle name="常规 91 3 8" xfId="29568"/>
    <cellStyle name="常规 86 3 9" xfId="29569"/>
    <cellStyle name="常规 91 3 9" xfId="29570"/>
    <cellStyle name="常规 86 4" xfId="29571"/>
    <cellStyle name="常规 91 4" xfId="29572"/>
    <cellStyle name="常规 86 5" xfId="29573"/>
    <cellStyle name="常规 91 5" xfId="29574"/>
    <cellStyle name="常规 86 5 2" xfId="29575"/>
    <cellStyle name="常规 91 5 2" xfId="29576"/>
    <cellStyle name="常规 86 5 2 2" xfId="29577"/>
    <cellStyle name="常规 91 5 2 2" xfId="29578"/>
    <cellStyle name="常规 86 5 2 3" xfId="29579"/>
    <cellStyle name="常规 91 5 2 3" xfId="29580"/>
    <cellStyle name="常规 86 5 3" xfId="29581"/>
    <cellStyle name="常规 91 5 3" xfId="29582"/>
    <cellStyle name="常规 86 6" xfId="29583"/>
    <cellStyle name="常规 91 6" xfId="29584"/>
    <cellStyle name="常规 86 7" xfId="29585"/>
    <cellStyle name="常规 91 7" xfId="29586"/>
    <cellStyle name="常规 86 8" xfId="29587"/>
    <cellStyle name="常规 91 8" xfId="29588"/>
    <cellStyle name="常规 86 9" xfId="29589"/>
    <cellStyle name="常规 91 9" xfId="29590"/>
    <cellStyle name="常规 87" xfId="29591"/>
    <cellStyle name="常规 92" xfId="29592"/>
    <cellStyle name="常规 87 18" xfId="29593"/>
    <cellStyle name="常规 87 23" xfId="29594"/>
    <cellStyle name="常规 92 18" xfId="29595"/>
    <cellStyle name="常规 92 23" xfId="29596"/>
    <cellStyle name="常规 87 19" xfId="29597"/>
    <cellStyle name="常规 92 19" xfId="29598"/>
    <cellStyle name="输入 3 2 7 2 3" xfId="29599"/>
    <cellStyle name="常规 87 2" xfId="29600"/>
    <cellStyle name="常规 92 2" xfId="29601"/>
    <cellStyle name="常规 87 2 16" xfId="29602"/>
    <cellStyle name="常规 92 2 16" xfId="29603"/>
    <cellStyle name="常规 87 2 17" xfId="29604"/>
    <cellStyle name="常规 92 2 17" xfId="29605"/>
    <cellStyle name="常规 87 2 18" xfId="29606"/>
    <cellStyle name="常规 92 2 18" xfId="29607"/>
    <cellStyle name="常规 87 2 19" xfId="29608"/>
    <cellStyle name="常规 92 2 19" xfId="29609"/>
    <cellStyle name="计算 3 2 5 9" xfId="29610"/>
    <cellStyle name="计算 3 9 2 10" xfId="29611"/>
    <cellStyle name="常规 87 2 2" xfId="29612"/>
    <cellStyle name="常规 92 2 2" xfId="29613"/>
    <cellStyle name="注释 2 5 2 3" xfId="29614"/>
    <cellStyle name="常规 87 2 2 16" xfId="29615"/>
    <cellStyle name="常规 92 2 2 16" xfId="29616"/>
    <cellStyle name="注释 2 5 2 4" xfId="29617"/>
    <cellStyle name="常规 87 2 2 17" xfId="29618"/>
    <cellStyle name="常规 92 2 2 17" xfId="29619"/>
    <cellStyle name="注释 2 5 2 5" xfId="29620"/>
    <cellStyle name="常规 87 2 2 18" xfId="29621"/>
    <cellStyle name="常规 92 2 2 18" xfId="29622"/>
    <cellStyle name="常规 87 2 2 2" xfId="29623"/>
    <cellStyle name="常规 92 2 2 2" xfId="29624"/>
    <cellStyle name="常规 87 2 2 3" xfId="29625"/>
    <cellStyle name="常规 92 2 2 3" xfId="29626"/>
    <cellStyle name="常规 87 2 2 3 2 2" xfId="29627"/>
    <cellStyle name="常规 92 2 2 3 2 2" xfId="29628"/>
    <cellStyle name="常规 87 2 2 3 2 3" xfId="29629"/>
    <cellStyle name="常规 92 2 2 3 2 3" xfId="29630"/>
    <cellStyle name="常规 87 2 2 4" xfId="29631"/>
    <cellStyle name="常规 92 2 2 4" xfId="29632"/>
    <cellStyle name="常规 87 2 2 5" xfId="29633"/>
    <cellStyle name="常规 92 2 2 5" xfId="29634"/>
    <cellStyle name="常规 87 2 2 6" xfId="29635"/>
    <cellStyle name="常规 92 2 2 6" xfId="29636"/>
    <cellStyle name="常规 87 2 2 7" xfId="29637"/>
    <cellStyle name="常规 92 2 2 7" xfId="29638"/>
    <cellStyle name="常规 87 2 2 8" xfId="29639"/>
    <cellStyle name="常规 92 2 2 8" xfId="29640"/>
    <cellStyle name="常规 87 2 2 9" xfId="29641"/>
    <cellStyle name="常规 92 2 2 9" xfId="29642"/>
    <cellStyle name="计算 3 9 2 11" xfId="29643"/>
    <cellStyle name="常规 87 2 3" xfId="29644"/>
    <cellStyle name="常规 92 2 3" xfId="29645"/>
    <cellStyle name="计算 3 9 2 12" xfId="29646"/>
    <cellStyle name="常规 87 2 4" xfId="29647"/>
    <cellStyle name="常规 92 2 4" xfId="29648"/>
    <cellStyle name="输入 2 23" xfId="29649"/>
    <cellStyle name="常规 87 2 4 2" xfId="29650"/>
    <cellStyle name="常规 92 2 4 2" xfId="29651"/>
    <cellStyle name="输入 2 18" xfId="29652"/>
    <cellStyle name="输入 2 24" xfId="29653"/>
    <cellStyle name="常规 87 2 4 3" xfId="29654"/>
    <cellStyle name="常规 92 2 4 3" xfId="29655"/>
    <cellStyle name="输入 2 19" xfId="29656"/>
    <cellStyle name="常规 87 2 5" xfId="29657"/>
    <cellStyle name="常规 92 2 5" xfId="29658"/>
    <cellStyle name="常规 87 2 6" xfId="29659"/>
    <cellStyle name="常规 92 2 6" xfId="29660"/>
    <cellStyle name="常规 87 2 7" xfId="29661"/>
    <cellStyle name="常规 92 2 7" xfId="29662"/>
    <cellStyle name="常规 87 2 8" xfId="29663"/>
    <cellStyle name="常规 92 2 8" xfId="29664"/>
    <cellStyle name="常规 87 2 9" xfId="29665"/>
    <cellStyle name="常规 92 2 9" xfId="29666"/>
    <cellStyle name="输入 3 2 7 2 4" xfId="29667"/>
    <cellStyle name="常规 87 3" xfId="29668"/>
    <cellStyle name="常规 92 3" xfId="29669"/>
    <cellStyle name="计算 3 2 6 9" xfId="29670"/>
    <cellStyle name="常规 87 3 2" xfId="29671"/>
    <cellStyle name="常规 92 3 2" xfId="29672"/>
    <cellStyle name="常规 87 3 3" xfId="29673"/>
    <cellStyle name="常规 92 3 3" xfId="29674"/>
    <cellStyle name="好 2 2 11" xfId="29675"/>
    <cellStyle name="常规 87 3 3 2" xfId="29676"/>
    <cellStyle name="常规 92 3 3 2" xfId="29677"/>
    <cellStyle name="常规 87 3 3 2 2" xfId="29678"/>
    <cellStyle name="常规 92 3 3 2 2" xfId="29679"/>
    <cellStyle name="常规 87 3 3 2 3" xfId="29680"/>
    <cellStyle name="常规 92 3 3 2 3" xfId="29681"/>
    <cellStyle name="好 2 2 12" xfId="29682"/>
    <cellStyle name="常规 87 3 3 3" xfId="29683"/>
    <cellStyle name="常规 92 3 3 3" xfId="29684"/>
    <cellStyle name="常规 87 3 4" xfId="29685"/>
    <cellStyle name="常规 92 3 4" xfId="29686"/>
    <cellStyle name="常规 87 3 5" xfId="29687"/>
    <cellStyle name="常规 92 3 5" xfId="29688"/>
    <cellStyle name="常规 87 3 6" xfId="29689"/>
    <cellStyle name="常规 92 3 6" xfId="29690"/>
    <cellStyle name="常规 87 3 7" xfId="29691"/>
    <cellStyle name="常规 92 3 7" xfId="29692"/>
    <cellStyle name="常规 87 3 8" xfId="29693"/>
    <cellStyle name="常规 92 3 8" xfId="29694"/>
    <cellStyle name="常规 87 3 9" xfId="29695"/>
    <cellStyle name="常规 92 3 9" xfId="29696"/>
    <cellStyle name="输入 3 2 7 2 5" xfId="29697"/>
    <cellStyle name="常规 87 4" xfId="29698"/>
    <cellStyle name="常规 92 4" xfId="29699"/>
    <cellStyle name="输入 3 2 7 2 6" xfId="29700"/>
    <cellStyle name="常规 87 5" xfId="29701"/>
    <cellStyle name="常规 92 5" xfId="29702"/>
    <cellStyle name="常规 87 5 2 2" xfId="29703"/>
    <cellStyle name="常规 92 5 2 2" xfId="29704"/>
    <cellStyle name="常规 87 5 2 3" xfId="29705"/>
    <cellStyle name="常规 92 5 2 3" xfId="29706"/>
    <cellStyle name="输入 3 2 7 2 7" xfId="29707"/>
    <cellStyle name="常规 87 6" xfId="29708"/>
    <cellStyle name="常规 92 6" xfId="29709"/>
    <cellStyle name="输入 3 2 7 2 8" xfId="29710"/>
    <cellStyle name="常规 87 7" xfId="29711"/>
    <cellStyle name="常规 92 7" xfId="29712"/>
    <cellStyle name="输入 3 2 7 2 9" xfId="29713"/>
    <cellStyle name="常规 87 8" xfId="29714"/>
    <cellStyle name="常规 92 8" xfId="29715"/>
    <cellStyle name="常规 88" xfId="29716"/>
    <cellStyle name="常规 93" xfId="29717"/>
    <cellStyle name="汇总 3 2 25" xfId="29718"/>
    <cellStyle name="汇总 3 2 30" xfId="29719"/>
    <cellStyle name="常规 88 2" xfId="29720"/>
    <cellStyle name="常规 93 2" xfId="29721"/>
    <cellStyle name="计算 3 3 5 9" xfId="29722"/>
    <cellStyle name="常规 88 2 2" xfId="29723"/>
    <cellStyle name="常规 93 2 2" xfId="29724"/>
    <cellStyle name="常规 88 2 2 13" xfId="29725"/>
    <cellStyle name="常规 93 2 2 13" xfId="29726"/>
    <cellStyle name="常规 88 2 2 14" xfId="29727"/>
    <cellStyle name="常规 93 2 2 14" xfId="29728"/>
    <cellStyle name="常规 88 2 2 15" xfId="29729"/>
    <cellStyle name="常规 93 2 2 15" xfId="29730"/>
    <cellStyle name="常规 88 2 2 16" xfId="29731"/>
    <cellStyle name="常规 93 2 2 16" xfId="29732"/>
    <cellStyle name="常规 88 2 2 17" xfId="29733"/>
    <cellStyle name="常规 93 2 2 17" xfId="29734"/>
    <cellStyle name="常规 88 2 2 18" xfId="29735"/>
    <cellStyle name="常规 93 2 2 18" xfId="29736"/>
    <cellStyle name="常规 88 2 2 2" xfId="29737"/>
    <cellStyle name="常规 93 2 2 2" xfId="29738"/>
    <cellStyle name="常规 88 2 2 3" xfId="29739"/>
    <cellStyle name="常规 93 2 2 3" xfId="29740"/>
    <cellStyle name="常规 88 2 2 3 2" xfId="29741"/>
    <cellStyle name="常规 93 2 2 3 2" xfId="29742"/>
    <cellStyle name="常规 88 2 2 3 2 2" xfId="29743"/>
    <cellStyle name="常规 93 2 2 3 2 2" xfId="29744"/>
    <cellStyle name="计算 2 7 2 10" xfId="29745"/>
    <cellStyle name="常规 88 2 2 3 2 3" xfId="29746"/>
    <cellStyle name="常规 93 2 2 3 2 3" xfId="29747"/>
    <cellStyle name="常规 88 2 2 3 3" xfId="29748"/>
    <cellStyle name="常规 93 2 2 3 3" xfId="29749"/>
    <cellStyle name="常规 88 2 2 4" xfId="29750"/>
    <cellStyle name="常规 93 2 2 4" xfId="29751"/>
    <cellStyle name="常规 88 2 2 5" xfId="29752"/>
    <cellStyle name="常规 93 2 2 5" xfId="29753"/>
    <cellStyle name="常规 88 2 2 6" xfId="29754"/>
    <cellStyle name="常规 93 2 2 6" xfId="29755"/>
    <cellStyle name="常规 88 2 2 7" xfId="29756"/>
    <cellStyle name="常规 93 2 2 7" xfId="29757"/>
    <cellStyle name="常规 88 2 2 8" xfId="29758"/>
    <cellStyle name="常规 93 2 2 8" xfId="29759"/>
    <cellStyle name="常规 88 2 2 9" xfId="29760"/>
    <cellStyle name="常规 93 2 2 9" xfId="29761"/>
    <cellStyle name="常规 88 2 3" xfId="29762"/>
    <cellStyle name="常规 93 2 3" xfId="29763"/>
    <cellStyle name="常规 88 2 4" xfId="29764"/>
    <cellStyle name="常规 93 2 4" xfId="29765"/>
    <cellStyle name="常规 89" xfId="29766"/>
    <cellStyle name="常规 94" xfId="29767"/>
    <cellStyle name="输入 3 3 4 14" xfId="29768"/>
    <cellStyle name="常规 89 2" xfId="29769"/>
    <cellStyle name="常规 94 2" xfId="29770"/>
    <cellStyle name="常规 89 2 13" xfId="29771"/>
    <cellStyle name="常规 94 2 13" xfId="29772"/>
    <cellStyle name="常规 89 2 14" xfId="29773"/>
    <cellStyle name="常规 94 2 14" xfId="29774"/>
    <cellStyle name="常规 89 2 15" xfId="29775"/>
    <cellStyle name="常规 94 2 15" xfId="29776"/>
    <cellStyle name="常规 89 2 16" xfId="29777"/>
    <cellStyle name="常规 94 2 16" xfId="29778"/>
    <cellStyle name="常规 89 2 17" xfId="29779"/>
    <cellStyle name="常规 94 2 17" xfId="29780"/>
    <cellStyle name="常规 89 2 18" xfId="29781"/>
    <cellStyle name="常规 94 2 18" xfId="29782"/>
    <cellStyle name="常规 89 2 19" xfId="29783"/>
    <cellStyle name="常规 94 2 19" xfId="29784"/>
    <cellStyle name="输入 2 2 11 3" xfId="29785"/>
    <cellStyle name="常规 89 2 2" xfId="29786"/>
    <cellStyle name="常规 94 2 2" xfId="29787"/>
    <cellStyle name="常规 89 2 2 10" xfId="29788"/>
    <cellStyle name="常规 94 2 2 10" xfId="29789"/>
    <cellStyle name="常规 89 2 2 11" xfId="29790"/>
    <cellStyle name="常规 94 2 2 11" xfId="29791"/>
    <cellStyle name="常规 89 2 2 3 2" xfId="29792"/>
    <cellStyle name="常规 94 2 2 3 2" xfId="29793"/>
    <cellStyle name="常规 89 2 2 3 2 2" xfId="29794"/>
    <cellStyle name="常规 94 2 2 3 2 2" xfId="29795"/>
    <cellStyle name="常规 89 2 2 3 2 3" xfId="29796"/>
    <cellStyle name="常规 94 2 2 3 2 3" xfId="29797"/>
    <cellStyle name="常规 89 2 2 3 3" xfId="29798"/>
    <cellStyle name="常规 94 2 2 3 3" xfId="29799"/>
    <cellStyle name="常规 89 2 2 5" xfId="29800"/>
    <cellStyle name="常规 94 2 2 5" xfId="29801"/>
    <cellStyle name="常规 89 2 2 6" xfId="29802"/>
    <cellStyle name="常规 94 2 2 6" xfId="29803"/>
    <cellStyle name="常规 89 2 2 7" xfId="29804"/>
    <cellStyle name="常规 94 2 2 7" xfId="29805"/>
    <cellStyle name="常规 89 2 2 8" xfId="29806"/>
    <cellStyle name="常规 94 2 2 8" xfId="29807"/>
    <cellStyle name="常规 89 2 2 9" xfId="29808"/>
    <cellStyle name="常规 94 2 2 9" xfId="29809"/>
    <cellStyle name="输入 2 2 11 4" xfId="29810"/>
    <cellStyle name="常规 89 2 3" xfId="29811"/>
    <cellStyle name="常规 94 2 3" xfId="29812"/>
    <cellStyle name="输入 2 2 11 5" xfId="29813"/>
    <cellStyle name="常规 89 2 4" xfId="29814"/>
    <cellStyle name="常规 94 2 4" xfId="29815"/>
    <cellStyle name="强调 1 3 4" xfId="29816"/>
    <cellStyle name="常规 89 2 4 2" xfId="29817"/>
    <cellStyle name="常规 94 2 4 2" xfId="29818"/>
    <cellStyle name="常规 89 2 4 2 2" xfId="29819"/>
    <cellStyle name="常规 94 2 4 2 2" xfId="29820"/>
    <cellStyle name="常规 89 2 4 2 3" xfId="29821"/>
    <cellStyle name="常规 94 2 4 2 3" xfId="29822"/>
    <cellStyle name="常规 89 2 4 3" xfId="29823"/>
    <cellStyle name="常规 94 2 4 3" xfId="29824"/>
    <cellStyle name="输入 2 2 11 6" xfId="29825"/>
    <cellStyle name="常规 89 2 5" xfId="29826"/>
    <cellStyle name="常规 94 2 5" xfId="29827"/>
    <cellStyle name="输入 2 2 11 7" xfId="29828"/>
    <cellStyle name="常规 89 2 6" xfId="29829"/>
    <cellStyle name="常规 94 2 6" xfId="29830"/>
    <cellStyle name="输入 2 2 11 8" xfId="29831"/>
    <cellStyle name="常规 89 2 7" xfId="29832"/>
    <cellStyle name="常规 94 2 7" xfId="29833"/>
    <cellStyle name="输入 2 2 11 9" xfId="29834"/>
    <cellStyle name="常规 89 2 8" xfId="29835"/>
    <cellStyle name="常规 94 2 8" xfId="29836"/>
    <cellStyle name="输出 2 2 6 3 2" xfId="29837"/>
    <cellStyle name="常规 89 2 9" xfId="29838"/>
    <cellStyle name="常规 94 2 9" xfId="29839"/>
    <cellStyle name="常规 89 3 13" xfId="29840"/>
    <cellStyle name="常规 94 3 13" xfId="29841"/>
    <cellStyle name="常规 89 3 14" xfId="29842"/>
    <cellStyle name="常规 94 3 14" xfId="29843"/>
    <cellStyle name="常规 89 3 15" xfId="29844"/>
    <cellStyle name="常规 94 3 15" xfId="29845"/>
    <cellStyle name="常规 89 3 16" xfId="29846"/>
    <cellStyle name="常规 94 3 16" xfId="29847"/>
    <cellStyle name="常规 89 3 17" xfId="29848"/>
    <cellStyle name="常规 94 3 17" xfId="29849"/>
    <cellStyle name="计算 2 3 2 2" xfId="29850"/>
    <cellStyle name="常规 89 3 18" xfId="29851"/>
    <cellStyle name="常规 94 3 18" xfId="29852"/>
    <cellStyle name="输入 2 2 12 3" xfId="29853"/>
    <cellStyle name="常规 89 3 2" xfId="29854"/>
    <cellStyle name="常规 94 3 2" xfId="29855"/>
    <cellStyle name="输入 2 2 12 4" xfId="29856"/>
    <cellStyle name="常规 89 3 3" xfId="29857"/>
    <cellStyle name="常规 94 3 3" xfId="29858"/>
    <cellStyle name="千位分隔 3 2 11" xfId="29859"/>
    <cellStyle name="强调 2 2 4" xfId="29860"/>
    <cellStyle name="常规 89 3 3 2" xfId="29861"/>
    <cellStyle name="常规 94 3 3 2" xfId="29862"/>
    <cellStyle name="常规 89 3 3 2 2" xfId="29863"/>
    <cellStyle name="常规 94 3 3 2 2" xfId="29864"/>
    <cellStyle name="输入 2 2 12 5" xfId="29865"/>
    <cellStyle name="常规 89 3 4" xfId="29866"/>
    <cellStyle name="常规 94 3 4" xfId="29867"/>
    <cellStyle name="输入 2 2 12 6" xfId="29868"/>
    <cellStyle name="常规 89 3 5" xfId="29869"/>
    <cellStyle name="常规 94 3 5" xfId="29870"/>
    <cellStyle name="输入 2 2 12 7" xfId="29871"/>
    <cellStyle name="常规 89 3 6" xfId="29872"/>
    <cellStyle name="常规 94 3 6" xfId="29873"/>
    <cellStyle name="输入 2 2 4 10" xfId="29874"/>
    <cellStyle name="常规 89 3 9" xfId="29875"/>
    <cellStyle name="常规 94 3 9" xfId="29876"/>
    <cellStyle name="输入 2 2 4 2 11" xfId="29877"/>
    <cellStyle name="常规 89 5 2" xfId="29878"/>
    <cellStyle name="常规 94 5 2" xfId="29879"/>
    <cellStyle name="常规 89 5 2 2" xfId="29880"/>
    <cellStyle name="常规 94 5 2 2" xfId="29881"/>
    <cellStyle name="常规 89 5 2 3" xfId="29882"/>
    <cellStyle name="常规 94 5 2 3" xfId="29883"/>
    <cellStyle name="输入 2 2 4 2 12" xfId="29884"/>
    <cellStyle name="常规 89 5 3" xfId="29885"/>
    <cellStyle name="常规 94 5 3" xfId="29886"/>
    <cellStyle name="常规 9" xfId="29887"/>
    <cellStyle name="常规 9 11" xfId="29888"/>
    <cellStyle name="常规 9 12" xfId="29889"/>
    <cellStyle name="常规 9 13" xfId="29890"/>
    <cellStyle name="常规 9 14" xfId="29891"/>
    <cellStyle name="常规 9 2" xfId="29892"/>
    <cellStyle name="常规 9 2 10" xfId="29893"/>
    <cellStyle name="常规 9 2 11" xfId="29894"/>
    <cellStyle name="常规 9 3 10" xfId="29895"/>
    <cellStyle name="常规 9 3 11" xfId="29896"/>
    <cellStyle name="常规 9 3 2" xfId="29897"/>
    <cellStyle name="常规 9 3 3" xfId="29898"/>
    <cellStyle name="常规 9 3 3 2" xfId="29899"/>
    <cellStyle name="常规 9 3 3 2 2" xfId="29900"/>
    <cellStyle name="常规 9 3 3 2 3" xfId="29901"/>
    <cellStyle name="常规 9 3 3 3" xfId="29902"/>
    <cellStyle name="常规 9 3 4" xfId="29903"/>
    <cellStyle name="常规 9 3 5" xfId="29904"/>
    <cellStyle name="常规 9 3 8" xfId="29905"/>
    <cellStyle name="常规 9 3 9" xfId="29906"/>
    <cellStyle name="汇总 3 2 9 11" xfId="29907"/>
    <cellStyle name="常规 9 5" xfId="29908"/>
    <cellStyle name="常规 9 5 2 2" xfId="29909"/>
    <cellStyle name="汇总 3 2 9 12" xfId="29910"/>
    <cellStyle name="常规 9 6" xfId="29911"/>
    <cellStyle name="汇总 3 2 9 13" xfId="29912"/>
    <cellStyle name="常规 9 7" xfId="29913"/>
    <cellStyle name="汇总 3 2 9 14" xfId="29914"/>
    <cellStyle name="常规 9 8" xfId="29915"/>
    <cellStyle name="常规 9 9" xfId="29916"/>
    <cellStyle name="常规 95" xfId="29917"/>
    <cellStyle name="常规 95 10" xfId="29918"/>
    <cellStyle name="常规 95 19" xfId="29919"/>
    <cellStyle name="常规 95 2" xfId="29920"/>
    <cellStyle name="输出 2 3 3 2 11" xfId="29921"/>
    <cellStyle name="注释 2 2 5 2" xfId="29922"/>
    <cellStyle name="常规 95 2 10" xfId="29923"/>
    <cellStyle name="输出 2 3 3 2 12" xfId="29924"/>
    <cellStyle name="注释 2 2 5 3" xfId="29925"/>
    <cellStyle name="常规 95 2 11" xfId="29926"/>
    <cellStyle name="注释 2 2 5 4" xfId="29927"/>
    <cellStyle name="常规 95 2 12" xfId="29928"/>
    <cellStyle name="注释 2 2 5 5" xfId="29929"/>
    <cellStyle name="常规 95 2 13" xfId="29930"/>
    <cellStyle name="注释 2 2 5 6" xfId="29931"/>
    <cellStyle name="常规 95 2 14" xfId="29932"/>
    <cellStyle name="注释 2 2 5 7" xfId="29933"/>
    <cellStyle name="常规 95 2 15" xfId="29934"/>
    <cellStyle name="注释 2 2 5 8" xfId="29935"/>
    <cellStyle name="常规 95 2 16" xfId="29936"/>
    <cellStyle name="注释 2 2 5 9" xfId="29937"/>
    <cellStyle name="常规 95 2 17" xfId="29938"/>
    <cellStyle name="常规 95 2 18" xfId="29939"/>
    <cellStyle name="常规 95 2 2" xfId="29940"/>
    <cellStyle name="常规 95 2 3" xfId="29941"/>
    <cellStyle name="常规 95 2 4" xfId="29942"/>
    <cellStyle name="注释 2 2 5 12" xfId="29943"/>
    <cellStyle name="常规 95 2 4 2" xfId="29944"/>
    <cellStyle name="常规 95 2 4 2 2" xfId="29945"/>
    <cellStyle name="常规 95 2 4 2 3" xfId="29946"/>
    <cellStyle name="常规 95 2 5" xfId="29947"/>
    <cellStyle name="常规 95 2 6" xfId="29948"/>
    <cellStyle name="常规 95 2 7" xfId="29949"/>
    <cellStyle name="常规 95 2 8" xfId="29950"/>
    <cellStyle name="常规 95 2 9" xfId="29951"/>
    <cellStyle name="常规 95 3" xfId="29952"/>
    <cellStyle name="常规 95 3 10" xfId="29953"/>
    <cellStyle name="常规 95 3 11" xfId="29954"/>
    <cellStyle name="常规 95 3 2" xfId="29955"/>
    <cellStyle name="常规 95 3 3" xfId="29956"/>
    <cellStyle name="常规 95 3 3 2 2" xfId="29957"/>
    <cellStyle name="常规 95 3 3 2 3" xfId="29958"/>
    <cellStyle name="常规 95 3 4" xfId="29959"/>
    <cellStyle name="常规 95 3 5" xfId="29960"/>
    <cellStyle name="常规 95 3 6" xfId="29961"/>
    <cellStyle name="常规 95 3 7" xfId="29962"/>
    <cellStyle name="常规 95 3 8" xfId="29963"/>
    <cellStyle name="常规 95 3 9" xfId="29964"/>
    <cellStyle name="常规 95 4" xfId="29965"/>
    <cellStyle name="常规 95 5" xfId="29966"/>
    <cellStyle name="常规 95 5 2" xfId="29967"/>
    <cellStyle name="输出 2 2 2 8" xfId="29968"/>
    <cellStyle name="常规 95 5 2 2" xfId="29969"/>
    <cellStyle name="输出 2 2 2 9" xfId="29970"/>
    <cellStyle name="常规 95 5 2 3" xfId="29971"/>
    <cellStyle name="常规 95 5 3" xfId="29972"/>
    <cellStyle name="常规 96" xfId="29973"/>
    <cellStyle name="汇总 2 3 3 2 8" xfId="29974"/>
    <cellStyle name="常规 96 10" xfId="29975"/>
    <cellStyle name="输出 3 2 12 2 2" xfId="29976"/>
    <cellStyle name="汇总 2 3 3 2 9" xfId="29977"/>
    <cellStyle name="常规 96 11" xfId="29978"/>
    <cellStyle name="输出 3 2 12 2 3" xfId="29979"/>
    <cellStyle name="常规 96 12" xfId="29980"/>
    <cellStyle name="输出 3 2 12 2 4" xfId="29981"/>
    <cellStyle name="常规 96 13" xfId="29982"/>
    <cellStyle name="输出 3 2 12 2 5" xfId="29983"/>
    <cellStyle name="常规 96 14" xfId="29984"/>
    <cellStyle name="输出 3 2 12 2 8" xfId="29985"/>
    <cellStyle name="常规 96 17" xfId="29986"/>
    <cellStyle name="常规 96 22" xfId="29987"/>
    <cellStyle name="输出 3 2 12 2 9" xfId="29988"/>
    <cellStyle name="常规 96 18" xfId="29989"/>
    <cellStyle name="常规 96 23" xfId="29990"/>
    <cellStyle name="输出 3 2 4 2 10" xfId="29991"/>
    <cellStyle name="常规 96 19" xfId="29992"/>
    <cellStyle name="输出 2 3 4 2 11" xfId="29993"/>
    <cellStyle name="常规 96 2 10" xfId="29994"/>
    <cellStyle name="输出 2 3 4 2 12" xfId="29995"/>
    <cellStyle name="常规 96 2 11" xfId="29996"/>
    <cellStyle name="常规 96 2 12" xfId="29997"/>
    <cellStyle name="常规 96 2 13" xfId="29998"/>
    <cellStyle name="常规 96 2 14" xfId="29999"/>
    <cellStyle name="常规 96 2 15" xfId="30000"/>
    <cellStyle name="常规 96 2 16" xfId="30001"/>
    <cellStyle name="常规 96 2 17" xfId="30002"/>
    <cellStyle name="常规 96 2 18" xfId="30003"/>
    <cellStyle name="常规 96 2 2" xfId="30004"/>
    <cellStyle name="常规 96 2 2 10" xfId="30005"/>
    <cellStyle name="常规 96 2 2 11" xfId="30006"/>
    <cellStyle name="常规 96 2 2 2" xfId="30007"/>
    <cellStyle name="常规 96 2 2 3" xfId="30008"/>
    <cellStyle name="常规 96 2 2 3 3" xfId="30009"/>
    <cellStyle name="常规 96 2 2 4" xfId="30010"/>
    <cellStyle name="常规 96 2 2 5" xfId="30011"/>
    <cellStyle name="常规 96 2 2 6" xfId="30012"/>
    <cellStyle name="常规 96 2 2 7" xfId="30013"/>
    <cellStyle name="常规 96 2 2 8" xfId="30014"/>
    <cellStyle name="常规 96 2 2 9" xfId="30015"/>
    <cellStyle name="常规 96 2 3" xfId="30016"/>
    <cellStyle name="常规 96 2 4" xfId="30017"/>
    <cellStyle name="常规 96 2 4 2" xfId="30018"/>
    <cellStyle name="常规 96 2 4 3" xfId="30019"/>
    <cellStyle name="常规 96 3 10" xfId="30020"/>
    <cellStyle name="常规 96 3 11" xfId="30021"/>
    <cellStyle name="常规 96 3 12" xfId="30022"/>
    <cellStyle name="常规 96 3 3 2" xfId="30023"/>
    <cellStyle name="计算 2 2 3 15" xfId="30024"/>
    <cellStyle name="计算 2 2 3 20" xfId="30025"/>
    <cellStyle name="常规 96 3 3 2 2" xfId="30026"/>
    <cellStyle name="计算 2 2 3 16" xfId="30027"/>
    <cellStyle name="计算 2 2 3 21" xfId="30028"/>
    <cellStyle name="常规 96 3 3 2 3" xfId="30029"/>
    <cellStyle name="常规 96 5" xfId="30030"/>
    <cellStyle name="常规 96 5 2" xfId="30031"/>
    <cellStyle name="输出 3 2 2 8" xfId="30032"/>
    <cellStyle name="常规 96 5 2 2" xfId="30033"/>
    <cellStyle name="输出 3 2 2 9" xfId="30034"/>
    <cellStyle name="常规 96 5 2 3" xfId="30035"/>
    <cellStyle name="常规 96 5 3" xfId="30036"/>
    <cellStyle name="常规 96 6" xfId="30037"/>
    <cellStyle name="计算 2 8 2 10" xfId="30038"/>
    <cellStyle name="常规 96 9" xfId="30039"/>
    <cellStyle name="常规 97" xfId="30040"/>
    <cellStyle name="输入 2 8 14" xfId="30041"/>
    <cellStyle name="输出 2 3 5 2 11" xfId="30042"/>
    <cellStyle name="常规 97 2 10" xfId="30043"/>
    <cellStyle name="输入 2 8 15" xfId="30044"/>
    <cellStyle name="输入 2 8 20" xfId="30045"/>
    <cellStyle name="输出 2 3 5 2 12" xfId="30046"/>
    <cellStyle name="常规 97 2 11" xfId="30047"/>
    <cellStyle name="输入 2 8 16" xfId="30048"/>
    <cellStyle name="输入 2 8 21" xfId="30049"/>
    <cellStyle name="适中 2" xfId="30050"/>
    <cellStyle name="常规 97 2 12" xfId="30051"/>
    <cellStyle name="输入 2 8 17" xfId="30052"/>
    <cellStyle name="适中 3" xfId="30053"/>
    <cellStyle name="常规 97 2 13" xfId="30054"/>
    <cellStyle name="常规 97 2 16" xfId="30055"/>
    <cellStyle name="常规 97 2 19" xfId="30056"/>
    <cellStyle name="常规 97 2 2 14" xfId="30057"/>
    <cellStyle name="常规 97 2 2 15" xfId="30058"/>
    <cellStyle name="常规 97 2 2 16" xfId="30059"/>
    <cellStyle name="输出 3 3 3 10" xfId="30060"/>
    <cellStyle name="常规 97 2 2 17" xfId="30061"/>
    <cellStyle name="输出 3 3 3 11" xfId="30062"/>
    <cellStyle name="常规 97 2 2 18" xfId="30063"/>
    <cellStyle name="输出 3 3 3 12" xfId="30064"/>
    <cellStyle name="常规 97 2 2 2" xfId="30065"/>
    <cellStyle name="常规 97 2 2 3" xfId="30066"/>
    <cellStyle name="常规 97 2 2 3 2" xfId="30067"/>
    <cellStyle name="汇总 3 2 17" xfId="30068"/>
    <cellStyle name="汇总 3 2 22" xfId="30069"/>
    <cellStyle name="常规 97 2 2 3 2 2" xfId="30070"/>
    <cellStyle name="汇总 3 2 18" xfId="30071"/>
    <cellStyle name="汇总 3 2 23" xfId="30072"/>
    <cellStyle name="常规 97 2 2 3 2 3" xfId="30073"/>
    <cellStyle name="常规 97 2 2 3 3" xfId="30074"/>
    <cellStyle name="常规 97 2 2 4" xfId="30075"/>
    <cellStyle name="常规 97 2 2 5" xfId="30076"/>
    <cellStyle name="常规 97 2 2 6" xfId="30077"/>
    <cellStyle name="常规 97 2 2 7" xfId="30078"/>
    <cellStyle name="常规 97 2 2 8" xfId="30079"/>
    <cellStyle name="常规 97 2 2 9" xfId="30080"/>
    <cellStyle name="常规 97 2 4 2" xfId="30081"/>
    <cellStyle name="常规 97 2 4 2 2" xfId="30082"/>
    <cellStyle name="常规 97 2 4 2 3" xfId="30083"/>
    <cellStyle name="常规 97 2 4 3" xfId="30084"/>
    <cellStyle name="常规 97 3" xfId="30085"/>
    <cellStyle name="好 2 13" xfId="30086"/>
    <cellStyle name="常规 97 3 10" xfId="30087"/>
    <cellStyle name="常规 97 3 2" xfId="30088"/>
    <cellStyle name="常规 97 3 3" xfId="30089"/>
    <cellStyle name="常规 97 3 3 2 2" xfId="30090"/>
    <cellStyle name="常规 97 3 3 2 3" xfId="30091"/>
    <cellStyle name="常规 97 3 4" xfId="30092"/>
    <cellStyle name="常规 97 3 5" xfId="30093"/>
    <cellStyle name="常规 97 3 6" xfId="30094"/>
    <cellStyle name="常规 97 3 7" xfId="30095"/>
    <cellStyle name="常规 97 3 8" xfId="30096"/>
    <cellStyle name="常规 97 3 9" xfId="30097"/>
    <cellStyle name="常规 97 4" xfId="30098"/>
    <cellStyle name="好 2 14" xfId="30099"/>
    <cellStyle name="常规 98" xfId="30100"/>
    <cellStyle name="计算 2 2 10 5" xfId="30101"/>
    <cellStyle name="常规 98 10" xfId="30102"/>
    <cellStyle name="计算 2 2 10 6" xfId="30103"/>
    <cellStyle name="常规 98 11" xfId="30104"/>
    <cellStyle name="计算 2 2 10 7" xfId="30105"/>
    <cellStyle name="常规 98 12" xfId="30106"/>
    <cellStyle name="计算 2 2 10 8" xfId="30107"/>
    <cellStyle name="常规 98 13" xfId="30108"/>
    <cellStyle name="常规 98 2" xfId="30109"/>
    <cellStyle name="常规 98 2 14" xfId="30110"/>
    <cellStyle name="常规 98 2 15" xfId="30111"/>
    <cellStyle name="常规 98 2 16" xfId="30112"/>
    <cellStyle name="常规 98 2 17" xfId="30113"/>
    <cellStyle name="常规 98 2 18" xfId="30114"/>
    <cellStyle name="常规 98 2 19" xfId="30115"/>
    <cellStyle name="常规 98 2 2" xfId="30116"/>
    <cellStyle name="常规 98 2 2 10" xfId="30117"/>
    <cellStyle name="常规 98 2 2 11" xfId="30118"/>
    <cellStyle name="常规 98 2 2 12" xfId="30119"/>
    <cellStyle name="常规 98 2 2 13" xfId="30120"/>
    <cellStyle name="常规 98 2 2 14" xfId="30121"/>
    <cellStyle name="常规 98 2 2 15" xfId="30122"/>
    <cellStyle name="常规 98 2 2 16" xfId="30123"/>
    <cellStyle name="常规 98 2 2 17" xfId="30124"/>
    <cellStyle name="常规 98 2 2 18" xfId="30125"/>
    <cellStyle name="常规 98 2 2 2" xfId="30126"/>
    <cellStyle name="常规 98 2 2 3" xfId="30127"/>
    <cellStyle name="样式 1 9" xfId="30128"/>
    <cellStyle name="常规 98 2 2 3 2 2" xfId="30129"/>
    <cellStyle name="常规 98 2 2 3 2 3" xfId="30130"/>
    <cellStyle name="常规 98 2 2 4" xfId="30131"/>
    <cellStyle name="常规 98 2 2 5" xfId="30132"/>
    <cellStyle name="常规 98 2 2 6" xfId="30133"/>
    <cellStyle name="常规 98 2 2 7" xfId="30134"/>
    <cellStyle name="常规 98 2 2 8" xfId="30135"/>
    <cellStyle name="常规 98 2 2 9" xfId="30136"/>
    <cellStyle name="计算 3 2 3 12" xfId="30137"/>
    <cellStyle name="常规 98 2 4 2 2" xfId="30138"/>
    <cellStyle name="计算 3 2 3 13" xfId="30139"/>
    <cellStyle name="常规 98 2 4 2 3" xfId="30140"/>
    <cellStyle name="常规 98 3" xfId="30141"/>
    <cellStyle name="常规 98 3 10" xfId="30142"/>
    <cellStyle name="常规 98 3 11" xfId="30143"/>
    <cellStyle name="常规 98 3 12" xfId="30144"/>
    <cellStyle name="常规 98 3 15" xfId="30145"/>
    <cellStyle name="常规 98 3 16" xfId="30146"/>
    <cellStyle name="常规 98 3 17" xfId="30147"/>
    <cellStyle name="常规 98 3 18" xfId="30148"/>
    <cellStyle name="常规 98 3 2" xfId="30149"/>
    <cellStyle name="常规 98 3 3" xfId="30150"/>
    <cellStyle name="常规 98 3 3 2" xfId="30151"/>
    <cellStyle name="常规 98 3 6" xfId="30152"/>
    <cellStyle name="常规 98 3 7" xfId="30153"/>
    <cellStyle name="常规 98 3 8" xfId="30154"/>
    <cellStyle name="常规 98 3 9" xfId="30155"/>
    <cellStyle name="常规 98 4" xfId="30156"/>
    <cellStyle name="常规 98 5" xfId="30157"/>
    <cellStyle name="常规 98 5 2 2" xfId="30158"/>
    <cellStyle name="常规 98 6" xfId="30159"/>
    <cellStyle name="常规 98 7" xfId="30160"/>
    <cellStyle name="好_Book1 3 2" xfId="30161"/>
    <cellStyle name="常规 98 8" xfId="30162"/>
    <cellStyle name="好_Book1 3 3" xfId="30163"/>
    <cellStyle name="常规 98 9" xfId="30164"/>
    <cellStyle name="常规 99" xfId="30165"/>
    <cellStyle name="常规 99 10" xfId="30166"/>
    <cellStyle name="常规 99 11" xfId="30167"/>
    <cellStyle name="常规 99 12" xfId="30168"/>
    <cellStyle name="常规 99 13" xfId="30169"/>
    <cellStyle name="常规 99 14" xfId="30170"/>
    <cellStyle name="常规 99 15" xfId="30171"/>
    <cellStyle name="常规 99 20" xfId="30172"/>
    <cellStyle name="常规 99 16" xfId="30173"/>
    <cellStyle name="常规 99 21" xfId="30174"/>
    <cellStyle name="常规 99 17" xfId="30175"/>
    <cellStyle name="常规 99 22" xfId="30176"/>
    <cellStyle name="常规 99 18" xfId="30177"/>
    <cellStyle name="常规 99 23" xfId="30178"/>
    <cellStyle name="常规 99 19" xfId="30179"/>
    <cellStyle name="常规 99 2" xfId="30180"/>
    <cellStyle name="常规 99 2 13" xfId="30181"/>
    <cellStyle name="常规 99 2 14" xfId="30182"/>
    <cellStyle name="常规 99 2 15" xfId="30183"/>
    <cellStyle name="常规 99 2 16" xfId="30184"/>
    <cellStyle name="常规 99 2 17" xfId="30185"/>
    <cellStyle name="常规 99 2 18" xfId="30186"/>
    <cellStyle name="常规 99 2 19" xfId="30187"/>
    <cellStyle name="常规 99 2 2" xfId="30188"/>
    <cellStyle name="常规 99 2 2 17" xfId="30189"/>
    <cellStyle name="常规 99 2 2 18" xfId="30190"/>
    <cellStyle name="汇总 3 2 11 12" xfId="30191"/>
    <cellStyle name="常规 99 2 2 2" xfId="30192"/>
    <cellStyle name="汇总 3 2 11 13" xfId="30193"/>
    <cellStyle name="常规 99 2 2 3" xfId="30194"/>
    <cellStyle name="常规 99 2 2 3 2" xfId="30195"/>
    <cellStyle name="常规 99 2 2 3 2 2" xfId="30196"/>
    <cellStyle name="常规 99 2 2 3 2 3" xfId="30197"/>
    <cellStyle name="常规 99 2 2 3 3" xfId="30198"/>
    <cellStyle name="汇总 3 2 11 14" xfId="30199"/>
    <cellStyle name="常规 99 2 2 4" xfId="30200"/>
    <cellStyle name="汇总 3 2 11 15" xfId="30201"/>
    <cellStyle name="常规 99 2 2 5" xfId="30202"/>
    <cellStyle name="汇总 3 2 11 16" xfId="30203"/>
    <cellStyle name="常规 99 2 2 6" xfId="30204"/>
    <cellStyle name="汇总 3 2 11 17" xfId="30205"/>
    <cellStyle name="常规 99 2 2 7" xfId="30206"/>
    <cellStyle name="汇总 3 2 11 18" xfId="30207"/>
    <cellStyle name="常规 99 2 2 8" xfId="30208"/>
    <cellStyle name="常规 99 2 2 9" xfId="30209"/>
    <cellStyle name="常规 99 2 3" xfId="30210"/>
    <cellStyle name="常规 99 2 4" xfId="30211"/>
    <cellStyle name="常规 99 2 4 2" xfId="30212"/>
    <cellStyle name="常规 99 2 4 2 2" xfId="30213"/>
    <cellStyle name="常规 99 2 4 2 3" xfId="30214"/>
    <cellStyle name="常规 99 2 5" xfId="30215"/>
    <cellStyle name="常规 99 2 6" xfId="30216"/>
    <cellStyle name="常规 99 2 7" xfId="30217"/>
    <cellStyle name="常规 99 2 8" xfId="30218"/>
    <cellStyle name="常规 99 2 9" xfId="30219"/>
    <cellStyle name="常规 99 3" xfId="30220"/>
    <cellStyle name="常规 99 3 2" xfId="30221"/>
    <cellStyle name="常规 99 3 3" xfId="30222"/>
    <cellStyle name="常规 99 3 3 2" xfId="30223"/>
    <cellStyle name="常规 99 3 7" xfId="30224"/>
    <cellStyle name="常规 99 3 8" xfId="30225"/>
    <cellStyle name="常规 99 3 9" xfId="30226"/>
    <cellStyle name="常规 99 4" xfId="30227"/>
    <cellStyle name="常规 99 5" xfId="30228"/>
    <cellStyle name="输入 2 2 5 2 11" xfId="30229"/>
    <cellStyle name="常规 99 5 2" xfId="30230"/>
    <cellStyle name="输入 2 2 5 2 12" xfId="30231"/>
    <cellStyle name="常规 99 5 3" xfId="30232"/>
    <cellStyle name="常规 99 6" xfId="30233"/>
    <cellStyle name="常规 99 7" xfId="30234"/>
    <cellStyle name="常规 99 8" xfId="30235"/>
    <cellStyle name="常规 99 9" xfId="30236"/>
    <cellStyle name="常规_Sheet2" xfId="30237"/>
    <cellStyle name="常规_Sheet2 2" xfId="30238"/>
    <cellStyle name="常规_房源表" xfId="30239"/>
    <cellStyle name="常规_房源表 2" xfId="30240"/>
    <cellStyle name="常规_房源表 3" xfId="30241"/>
    <cellStyle name="分级显示列_1_Book1" xfId="30242"/>
    <cellStyle name="好 2" xfId="30243"/>
    <cellStyle name="好 2 2 10" xfId="30244"/>
    <cellStyle name="好 2 2 13" xfId="30245"/>
    <cellStyle name="好 2 2 14" xfId="30246"/>
    <cellStyle name="好 2 2 15" xfId="30247"/>
    <cellStyle name="好 2 2 16" xfId="30248"/>
    <cellStyle name="好 2 2 17" xfId="30249"/>
    <cellStyle name="好 2 2 2" xfId="30250"/>
    <cellStyle name="好 2 2 3" xfId="30251"/>
    <cellStyle name="好 2 2 3 2" xfId="30252"/>
    <cellStyle name="好 2 2 3 3" xfId="30253"/>
    <cellStyle name="好 2 2 4" xfId="30254"/>
    <cellStyle name="好 2 2 5" xfId="30255"/>
    <cellStyle name="好 2 2 6" xfId="30256"/>
    <cellStyle name="好 2 2 7" xfId="30257"/>
    <cellStyle name="好 2 2 8" xfId="30258"/>
    <cellStyle name="好 2 2 9" xfId="30259"/>
    <cellStyle name="好 2 3" xfId="30260"/>
    <cellStyle name="好 2 3 13" xfId="30261"/>
    <cellStyle name="好 2 3 14" xfId="30262"/>
    <cellStyle name="好 2 3 15" xfId="30263"/>
    <cellStyle name="好 2 3 16" xfId="30264"/>
    <cellStyle name="好 2 3 17" xfId="30265"/>
    <cellStyle name="好 2 3 18" xfId="30266"/>
    <cellStyle name="好 2 3 2" xfId="30267"/>
    <cellStyle name="好 2 3 3" xfId="30268"/>
    <cellStyle name="好 2 3 3 2" xfId="30269"/>
    <cellStyle name="好 2 3 3 2 2" xfId="30270"/>
    <cellStyle name="好 2 3 3 3" xfId="30271"/>
    <cellStyle name="好 2 3 4" xfId="30272"/>
    <cellStyle name="好 2 3 5" xfId="30273"/>
    <cellStyle name="好 2 3 6" xfId="30274"/>
    <cellStyle name="好 2 3 7" xfId="30275"/>
    <cellStyle name="好 2 3 8" xfId="30276"/>
    <cellStyle name="好 2 3 9" xfId="30277"/>
    <cellStyle name="好 2 4" xfId="30278"/>
    <cellStyle name="输入 2 2 3 10" xfId="30279"/>
    <cellStyle name="好 2 5" xfId="30280"/>
    <cellStyle name="好 2 5 2 2" xfId="30281"/>
    <cellStyle name="好 2 5 2 3" xfId="30282"/>
    <cellStyle name="输入 2 2 3 11" xfId="30283"/>
    <cellStyle name="好 2 6" xfId="30284"/>
    <cellStyle name="输入 2 2 3 12" xfId="30285"/>
    <cellStyle name="好 2 7" xfId="30286"/>
    <cellStyle name="好 3 12" xfId="30287"/>
    <cellStyle name="好 3 13" xfId="30288"/>
    <cellStyle name="好 3 14" xfId="30289"/>
    <cellStyle name="好 3 15" xfId="30290"/>
    <cellStyle name="好 3 16" xfId="30291"/>
    <cellStyle name="好 3 17" xfId="30292"/>
    <cellStyle name="好 3 18" xfId="30293"/>
    <cellStyle name="好 3 2 16" xfId="30294"/>
    <cellStyle name="好 3 2 17" xfId="30295"/>
    <cellStyle name="好 3 2 18" xfId="30296"/>
    <cellStyle name="注释 3 3 2 16" xfId="30297"/>
    <cellStyle name="好 3 3 2" xfId="30298"/>
    <cellStyle name="注释 3 3 2 17" xfId="30299"/>
    <cellStyle name="好 3 3 3" xfId="30300"/>
    <cellStyle name="好 3 4" xfId="30301"/>
    <cellStyle name="好 3 5" xfId="30302"/>
    <cellStyle name="好 3 6" xfId="30303"/>
    <cellStyle name="好 3 7" xfId="30304"/>
    <cellStyle name="好 3 8" xfId="30305"/>
    <cellStyle name="好 3 9" xfId="30306"/>
    <cellStyle name="好 4 10" xfId="30307"/>
    <cellStyle name="好 4 11" xfId="30308"/>
    <cellStyle name="好 4 12" xfId="30309"/>
    <cellStyle name="好 4 15" xfId="30310"/>
    <cellStyle name="好 4 16" xfId="30311"/>
    <cellStyle name="好 4 17" xfId="30312"/>
    <cellStyle name="好 4 18" xfId="30313"/>
    <cellStyle name="好 4 2" xfId="30314"/>
    <cellStyle name="好 4 3" xfId="30315"/>
    <cellStyle name="好 4 3 2" xfId="30316"/>
    <cellStyle name="输出 3 2 2 2 11" xfId="30317"/>
    <cellStyle name="好 4 3 2 2" xfId="30318"/>
    <cellStyle name="输出 3 2 2 2 12" xfId="30319"/>
    <cellStyle name="好 4 3 2 3" xfId="30320"/>
    <cellStyle name="好 4 3 3" xfId="30321"/>
    <cellStyle name="好 4 4" xfId="30322"/>
    <cellStyle name="好 4 5" xfId="30323"/>
    <cellStyle name="好 4 6" xfId="30324"/>
    <cellStyle name="好 4 7" xfId="30325"/>
    <cellStyle name="好 4 8" xfId="30326"/>
    <cellStyle name="计算 2 2 14" xfId="30327"/>
    <cellStyle name="好_Book1 10" xfId="30328"/>
    <cellStyle name="计算 2 2 15" xfId="30329"/>
    <cellStyle name="计算 2 2 20" xfId="30330"/>
    <cellStyle name="好_Book1 11" xfId="30331"/>
    <cellStyle name="计算 2 2 16" xfId="30332"/>
    <cellStyle name="计算 2 2 21" xfId="30333"/>
    <cellStyle name="好_Book1 12" xfId="30334"/>
    <cellStyle name="计算 2 2 17" xfId="30335"/>
    <cellStyle name="计算 2 2 22" xfId="30336"/>
    <cellStyle name="好_Book1 13" xfId="30337"/>
    <cellStyle name="计算 2 2 18" xfId="30338"/>
    <cellStyle name="计算 2 2 23" xfId="30339"/>
    <cellStyle name="好_Book1 14" xfId="30340"/>
    <cellStyle name="计算 2 2 19" xfId="30341"/>
    <cellStyle name="计算 2 2 24" xfId="30342"/>
    <cellStyle name="好_Book1 15" xfId="30343"/>
    <cellStyle name="好_Book1 20" xfId="30344"/>
    <cellStyle name="计算 2 2 25" xfId="30345"/>
    <cellStyle name="好_Book1 16" xfId="30346"/>
    <cellStyle name="好_Book1 21" xfId="30347"/>
    <cellStyle name="计算 2 2 26" xfId="30348"/>
    <cellStyle name="好_Book1 17" xfId="30349"/>
    <cellStyle name="好_Book1 22" xfId="30350"/>
    <cellStyle name="计算 2 2 27" xfId="30351"/>
    <cellStyle name="好_Book1 18" xfId="30352"/>
    <cellStyle name="好_Book1 23" xfId="30353"/>
    <cellStyle name="计算 2 2 28" xfId="30354"/>
    <cellStyle name="好_Book1 19" xfId="30355"/>
    <cellStyle name="好_Book1 2" xfId="30356"/>
    <cellStyle name="好_Book1 2 2 3 2" xfId="30357"/>
    <cellStyle name="好_Book1 2 2 3 2 2" xfId="30358"/>
    <cellStyle name="好_Book1 2 2 3 2 3" xfId="30359"/>
    <cellStyle name="好_Book1 2 2 3 3" xfId="30360"/>
    <cellStyle name="好_Book1 2 4 2 3" xfId="30361"/>
    <cellStyle name="好_Book1 3" xfId="30362"/>
    <cellStyle name="好_Book1 3 10" xfId="30363"/>
    <cellStyle name="好_Book1 3 3 2" xfId="30364"/>
    <cellStyle name="好_Book1 3 3 3" xfId="30365"/>
    <cellStyle name="好_Book1 3 4" xfId="30366"/>
    <cellStyle name="好_Book1 3 5" xfId="30367"/>
    <cellStyle name="好_Book1 3 6" xfId="30368"/>
    <cellStyle name="计算 2 2 4 2" xfId="30369"/>
    <cellStyle name="好_Book1 3 7" xfId="30370"/>
    <cellStyle name="计算 2 2 4 3" xfId="30371"/>
    <cellStyle name="好_Book1 3 8" xfId="30372"/>
    <cellStyle name="计算 2 2 4 4" xfId="30373"/>
    <cellStyle name="好_Book1 3 9" xfId="30374"/>
    <cellStyle name="好_Book1 4" xfId="30375"/>
    <cellStyle name="好_Book1 5" xfId="30376"/>
    <cellStyle name="好_Book1 5 2 2" xfId="30377"/>
    <cellStyle name="好_Book1 5 2 3" xfId="30378"/>
    <cellStyle name="好_Book1 6" xfId="30379"/>
    <cellStyle name="好_Book1 7" xfId="30380"/>
    <cellStyle name="好_Book1 8" xfId="30381"/>
    <cellStyle name="好_Book1 9" xfId="30382"/>
    <cellStyle name="汇总 2" xfId="30383"/>
    <cellStyle name="汇总 2 10" xfId="30384"/>
    <cellStyle name="商品名称 9 13" xfId="30385"/>
    <cellStyle name="汇总 2 10 8" xfId="30386"/>
    <cellStyle name="商品名称 9 14" xfId="30387"/>
    <cellStyle name="汇总 2 10 9" xfId="30388"/>
    <cellStyle name="汇总 2 11" xfId="30389"/>
    <cellStyle name="汇总 2 11 2" xfId="30390"/>
    <cellStyle name="汇总 2 11 2 2" xfId="30391"/>
    <cellStyle name="汇总 2 11 2 3" xfId="30392"/>
    <cellStyle name="汇总 2 11 3" xfId="30393"/>
    <cellStyle name="汇总 2 12" xfId="30394"/>
    <cellStyle name="汇总 2 13" xfId="30395"/>
    <cellStyle name="汇总 2 14" xfId="30396"/>
    <cellStyle name="汇总 2 15" xfId="30397"/>
    <cellStyle name="汇总 2 20" xfId="30398"/>
    <cellStyle name="汇总 2 16" xfId="30399"/>
    <cellStyle name="汇总 2 21" xfId="30400"/>
    <cellStyle name="汇总 2 17" xfId="30401"/>
    <cellStyle name="汇总 2 22" xfId="30402"/>
    <cellStyle name="汇总 2 18" xfId="30403"/>
    <cellStyle name="汇总 2 23" xfId="30404"/>
    <cellStyle name="汇总 2 2" xfId="30405"/>
    <cellStyle name="输入 3 2 11 4" xfId="30406"/>
    <cellStyle name="汇总 2 2 10" xfId="30407"/>
    <cellStyle name="汇总 2 2 10 2 2" xfId="30408"/>
    <cellStyle name="汇总 2 2 10 2 3" xfId="30409"/>
    <cellStyle name="汇总 2 2 10 2 4" xfId="30410"/>
    <cellStyle name="汇总 2 2 10 2 5" xfId="30411"/>
    <cellStyle name="汇总 2 2 10 2 6" xfId="30412"/>
    <cellStyle name="汇总 2 2 10 2 7" xfId="30413"/>
    <cellStyle name="汇总 2 2 10 2 8" xfId="30414"/>
    <cellStyle name="汇总 2 2 10 2 9" xfId="30415"/>
    <cellStyle name="汇总 2 2 10 3" xfId="30416"/>
    <cellStyle name="汇总 2 2 10 3 2" xfId="30417"/>
    <cellStyle name="汇总 2 2 10 3 2 2" xfId="30418"/>
    <cellStyle name="汇总 2 2 10 3 2 3" xfId="30419"/>
    <cellStyle name="汇总 2 2 10 3 3" xfId="30420"/>
    <cellStyle name="汇总 2 2 10 4" xfId="30421"/>
    <cellStyle name="汇总 2 2 10 5" xfId="30422"/>
    <cellStyle name="汇总 2 2 10 6" xfId="30423"/>
    <cellStyle name="汇总 2 2 10 7" xfId="30424"/>
    <cellStyle name="汇总 2 2 10 8" xfId="30425"/>
    <cellStyle name="汇总 2 2 10 9" xfId="30426"/>
    <cellStyle name="输入 3 2 11 5" xfId="30427"/>
    <cellStyle name="汇总 2 2 11" xfId="30428"/>
    <cellStyle name="汇总 2 2 11 2" xfId="30429"/>
    <cellStyle name="汇总 2 2 11 2 2" xfId="30430"/>
    <cellStyle name="汇总 2 2 11 2 3" xfId="30431"/>
    <cellStyle name="汇总 2 2 11 2 4" xfId="30432"/>
    <cellStyle name="汇总 2 2 11 2 5" xfId="30433"/>
    <cellStyle name="汇总 2 2 11 2 6" xfId="30434"/>
    <cellStyle name="汇总 2 2 11 2 9" xfId="30435"/>
    <cellStyle name="汇总 2 2 11 3" xfId="30436"/>
    <cellStyle name="汇总 2 2 11 3 2" xfId="30437"/>
    <cellStyle name="汇总 2 2 11 3 2 2" xfId="30438"/>
    <cellStyle name="汇总 2 2 11 3 2 3" xfId="30439"/>
    <cellStyle name="汇总 2 2 11 3 3" xfId="30440"/>
    <cellStyle name="输入 3 2 11 6" xfId="30441"/>
    <cellStyle name="汇总 2 2 12" xfId="30442"/>
    <cellStyle name="汇总 2 2 12 10" xfId="30443"/>
    <cellStyle name="汇总 2 2 12 11" xfId="30444"/>
    <cellStyle name="汇总 2 2 12 2" xfId="30445"/>
    <cellStyle name="汇总 2 2 12 2 5" xfId="30446"/>
    <cellStyle name="汇总 2 2 12 2 6" xfId="30447"/>
    <cellStyle name="汇总 2 2 12 2 7" xfId="30448"/>
    <cellStyle name="汇总 2 2 12 2 8" xfId="30449"/>
    <cellStyle name="汇总 2 2 12 2 9" xfId="30450"/>
    <cellStyle name="汇总 2 2 12 3" xfId="30451"/>
    <cellStyle name="汇总 2 2 12 3 2 2" xfId="30452"/>
    <cellStyle name="汇总 2 2 12 3 2 3" xfId="30453"/>
    <cellStyle name="输入 3 2 11 7" xfId="30454"/>
    <cellStyle name="汇总 2 2 13" xfId="30455"/>
    <cellStyle name="汇总 2 2 13 12" xfId="30456"/>
    <cellStyle name="输入 3 2 11 8" xfId="30457"/>
    <cellStyle name="汇总 2 2 14" xfId="30458"/>
    <cellStyle name="汇总 2 2 14 2" xfId="30459"/>
    <cellStyle name="汇总 2 2 14 2 3" xfId="30460"/>
    <cellStyle name="汇总 2 2 14 3" xfId="30461"/>
    <cellStyle name="输入 3 2 11 9" xfId="30462"/>
    <cellStyle name="汇总 2 2 15" xfId="30463"/>
    <cellStyle name="汇总 2 2 20" xfId="30464"/>
    <cellStyle name="汇总 2 2 16" xfId="30465"/>
    <cellStyle name="汇总 2 2 21" xfId="30466"/>
    <cellStyle name="汇总 2 2 17" xfId="30467"/>
    <cellStyle name="汇总 2 2 22" xfId="30468"/>
    <cellStyle name="汇总 2 2 18" xfId="30469"/>
    <cellStyle name="汇总 2 2 23" xfId="30470"/>
    <cellStyle name="汇总 2 2 19" xfId="30471"/>
    <cellStyle name="汇总 2 2 24" xfId="30472"/>
    <cellStyle name="汇总 2 2 2" xfId="30473"/>
    <cellStyle name="汇总 2 2 2 10" xfId="30474"/>
    <cellStyle name="汇总 2 2 2 11" xfId="30475"/>
    <cellStyle name="汇总 2 2 2 12" xfId="30476"/>
    <cellStyle name="汇总 2 2 2 13" xfId="30477"/>
    <cellStyle name="汇总 2 2 2 14" xfId="30478"/>
    <cellStyle name="汇总 2 2 2 15" xfId="30479"/>
    <cellStyle name="汇总 2 2 2 20" xfId="30480"/>
    <cellStyle name="汇总 2 2 2 16" xfId="30481"/>
    <cellStyle name="汇总 2 2 2 21" xfId="30482"/>
    <cellStyle name="汇总 2 2 2 17" xfId="30483"/>
    <cellStyle name="汇总 2 2 2 18" xfId="30484"/>
    <cellStyle name="汇总 2 2 2 2" xfId="30485"/>
    <cellStyle name="汇总 2 2 2 2 12" xfId="30486"/>
    <cellStyle name="汇总 2 2 2 3" xfId="30487"/>
    <cellStyle name="汇总 2 2 2 3 2" xfId="30488"/>
    <cellStyle name="汇总 2 2 2 3 2 3" xfId="30489"/>
    <cellStyle name="汇总 2 2 2 4" xfId="30490"/>
    <cellStyle name="汇总 2 2 2 5" xfId="30491"/>
    <cellStyle name="汇总 2 2 2 6" xfId="30492"/>
    <cellStyle name="汇总 2 2 2 7" xfId="30493"/>
    <cellStyle name="汇总 2 2 2 8" xfId="30494"/>
    <cellStyle name="汇总 2 2 2 9" xfId="30495"/>
    <cellStyle name="汇总 2 2 25" xfId="30496"/>
    <cellStyle name="汇总 2 2 30" xfId="30497"/>
    <cellStyle name="汇总 2 2 26" xfId="30498"/>
    <cellStyle name="汇总 2 2 31" xfId="30499"/>
    <cellStyle name="汇总 2 2 27" xfId="30500"/>
    <cellStyle name="汇总 2 2 32" xfId="30501"/>
    <cellStyle name="汇总 2 2 28" xfId="30502"/>
    <cellStyle name="汇总 2 2 29" xfId="30503"/>
    <cellStyle name="汇总 2 2 3" xfId="30504"/>
    <cellStyle name="汇总 2 2 3 11" xfId="30505"/>
    <cellStyle name="汇总 2 2 3 12" xfId="30506"/>
    <cellStyle name="汇总 2 2 3 13" xfId="30507"/>
    <cellStyle name="汇总 2 2 3 14" xfId="30508"/>
    <cellStyle name="汇总 2 2 3 2" xfId="30509"/>
    <cellStyle name="汇总 2 2 3 2 2" xfId="30510"/>
    <cellStyle name="汇总 2 2 3 2 5" xfId="30511"/>
    <cellStyle name="汇总 2 2 3 2 6" xfId="30512"/>
    <cellStyle name="汇总 2 2 3 2 7" xfId="30513"/>
    <cellStyle name="汇总 2 2 3 2 8" xfId="30514"/>
    <cellStyle name="汇总 2 2 3 2 9" xfId="30515"/>
    <cellStyle name="汇总 2 2 3 3" xfId="30516"/>
    <cellStyle name="汇总 2 2 3 3 2" xfId="30517"/>
    <cellStyle name="汇总 2 2 3 3 3" xfId="30518"/>
    <cellStyle name="汇总 2 2 3 6" xfId="30519"/>
    <cellStyle name="汇总 2 2 3 7" xfId="30520"/>
    <cellStyle name="汇总 2 2 3 8" xfId="30521"/>
    <cellStyle name="汇总 2 2 3 9" xfId="30522"/>
    <cellStyle name="汇总 2 2 4" xfId="30523"/>
    <cellStyle name="汇总 2 2 4 12" xfId="30524"/>
    <cellStyle name="汇总 2 2 4 13" xfId="30525"/>
    <cellStyle name="汇总 2 2 4 14" xfId="30526"/>
    <cellStyle name="汇总 2 2 4 15" xfId="30527"/>
    <cellStyle name="汇总 2 2 4 20" xfId="30528"/>
    <cellStyle name="汇总 2 2 4 18" xfId="30529"/>
    <cellStyle name="汇总 2 2 4 19" xfId="30530"/>
    <cellStyle name="汇总 2 2 4 2" xfId="30531"/>
    <cellStyle name="汇总 2 2 4 2 10" xfId="30532"/>
    <cellStyle name="汇总 2 2 4 2 11" xfId="30533"/>
    <cellStyle name="汇总 2 2 4 2 12" xfId="30534"/>
    <cellStyle name="汇总 2 2 4 2 2" xfId="30535"/>
    <cellStyle name="汇总 2 2 4 2 6" xfId="30536"/>
    <cellStyle name="汇总 2 2 4 2 7" xfId="30537"/>
    <cellStyle name="汇总 2 2 4 2 8" xfId="30538"/>
    <cellStyle name="汇总 2 2 4 3" xfId="30539"/>
    <cellStyle name="汇总 2 2 4 3 2 3" xfId="30540"/>
    <cellStyle name="注释 3 2 8 2 10" xfId="30541"/>
    <cellStyle name="汇总 2 2 4 4" xfId="30542"/>
    <cellStyle name="注释 3 2 8 2 11" xfId="30543"/>
    <cellStyle name="汇总 2 2 4 5" xfId="30544"/>
    <cellStyle name="注释 3 2 8 2 12" xfId="30545"/>
    <cellStyle name="汇总 2 2 4 6" xfId="30546"/>
    <cellStyle name="汇总 2 2 4 7" xfId="30547"/>
    <cellStyle name="汇总 2 2 4 8" xfId="30548"/>
    <cellStyle name="汇总 2 2 5" xfId="30549"/>
    <cellStyle name="汇总 2 2 5 10" xfId="30550"/>
    <cellStyle name="汇总 2 2 5 11" xfId="30551"/>
    <cellStyle name="汇总 2 2 5 12" xfId="30552"/>
    <cellStyle name="汇总 2 2 5 13" xfId="30553"/>
    <cellStyle name="汇总 2 2 5 14" xfId="30554"/>
    <cellStyle name="汇总 2 2 5 15" xfId="30555"/>
    <cellStyle name="汇总 2 2 5 20" xfId="30556"/>
    <cellStyle name="汇总 2 2 5 16" xfId="30557"/>
    <cellStyle name="汇总 2 2 5 21" xfId="30558"/>
    <cellStyle name="汇总 2 2 5 17" xfId="30559"/>
    <cellStyle name="汇总 2 2 5 18" xfId="30560"/>
    <cellStyle name="汇总 2 2 5 19" xfId="30561"/>
    <cellStyle name="汇总 2 2 5 2" xfId="30562"/>
    <cellStyle name="汇总 2 2 5 2 10" xfId="30563"/>
    <cellStyle name="检查单元格 2" xfId="30564"/>
    <cellStyle name="汇总 2 2 5 2 11" xfId="30565"/>
    <cellStyle name="强调文字颜色 5 3 2 3 2" xfId="30566"/>
    <cellStyle name="检查单元格 3" xfId="30567"/>
    <cellStyle name="汇总 2 2 5 2 12" xfId="30568"/>
    <cellStyle name="汇总 2 2 5 2 2" xfId="30569"/>
    <cellStyle name="汇总 2 2 5 2 3" xfId="30570"/>
    <cellStyle name="输出 3 2 2 10" xfId="30571"/>
    <cellStyle name="汇总 2 2 5 2 4" xfId="30572"/>
    <cellStyle name="输出 3 2 2 11" xfId="30573"/>
    <cellStyle name="汇总 2 2 5 2 5" xfId="30574"/>
    <cellStyle name="输出 3 2 2 12" xfId="30575"/>
    <cellStyle name="汇总 2 2 5 2 6" xfId="30576"/>
    <cellStyle name="注释 2 2 7 12" xfId="30577"/>
    <cellStyle name="强调文字颜色 5 3 2 10" xfId="30578"/>
    <cellStyle name="输出 3 2 2 13" xfId="30579"/>
    <cellStyle name="汇总 2 2 5 2 7" xfId="30580"/>
    <cellStyle name="注释 2 2 7 13" xfId="30581"/>
    <cellStyle name="强调文字颜色 5 3 2 11" xfId="30582"/>
    <cellStyle name="输出 3 2 2 14" xfId="30583"/>
    <cellStyle name="汇总 2 2 5 2 8" xfId="30584"/>
    <cellStyle name="注释 2 2 7 14" xfId="30585"/>
    <cellStyle name="强调文字颜色 5 3 2 12" xfId="30586"/>
    <cellStyle name="输出 3 2 2 15" xfId="30587"/>
    <cellStyle name="汇总 2 2 5 2 9" xfId="30588"/>
    <cellStyle name="汇总 2 2 5 3" xfId="30589"/>
    <cellStyle name="汇总 2 2 5 3 2" xfId="30590"/>
    <cellStyle name="汇总 2 2 5 3 2 3" xfId="30591"/>
    <cellStyle name="汇总 2 2 5 3 3" xfId="30592"/>
    <cellStyle name="汇总 2 2 5 4" xfId="30593"/>
    <cellStyle name="汇总 2 2 5 5" xfId="30594"/>
    <cellStyle name="汇总 2 2 5 6" xfId="30595"/>
    <cellStyle name="强调 1 2 10" xfId="30596"/>
    <cellStyle name="汇总 2 2 5 7" xfId="30597"/>
    <cellStyle name="强调 1 2 11" xfId="30598"/>
    <cellStyle name="汇总 2 2 5 8" xfId="30599"/>
    <cellStyle name="强调 1 2 12" xfId="30600"/>
    <cellStyle name="汇总 2 2 5 9" xfId="30601"/>
    <cellStyle name="强调 1 2 13" xfId="30602"/>
    <cellStyle name="汇总 2 2 6" xfId="30603"/>
    <cellStyle name="汇总 2 2 6 10" xfId="30604"/>
    <cellStyle name="汇总 2 2 6 13" xfId="30605"/>
    <cellStyle name="汇总 2 2 6 14" xfId="30606"/>
    <cellStyle name="汇总 2 2 6 15" xfId="30607"/>
    <cellStyle name="汇总 2 2 6 20" xfId="30608"/>
    <cellStyle name="汇总 2 2 6 16" xfId="30609"/>
    <cellStyle name="汇总 2 2 6 21" xfId="30610"/>
    <cellStyle name="汇总 2 2 6 17" xfId="30611"/>
    <cellStyle name="汇总 2 2 6 18" xfId="30612"/>
    <cellStyle name="汇总 2 2 6 19" xfId="30613"/>
    <cellStyle name="汇总 2 2 6 2 2" xfId="30614"/>
    <cellStyle name="汇总 2 2 6 2 3" xfId="30615"/>
    <cellStyle name="输出 3 2 7 10" xfId="30616"/>
    <cellStyle name="汇总 2 2 6 2 4" xfId="30617"/>
    <cellStyle name="汇总 2 2 6 3 2" xfId="30618"/>
    <cellStyle name="汇总 2 2 6 3 3" xfId="30619"/>
    <cellStyle name="汇总 2 2 6 6" xfId="30620"/>
    <cellStyle name="汇总 2 2 6 7" xfId="30621"/>
    <cellStyle name="汇总 2 2 6 8" xfId="30622"/>
    <cellStyle name="汇总 2 2 6 9" xfId="30623"/>
    <cellStyle name="汇总 2 2 7" xfId="30624"/>
    <cellStyle name="汇总 2 2 7 10" xfId="30625"/>
    <cellStyle name="汇总 2 2 7 11" xfId="30626"/>
    <cellStyle name="汇总 2 2 7 13" xfId="30627"/>
    <cellStyle name="汇总 2 2 7 14" xfId="30628"/>
    <cellStyle name="汇总 2 2 7 17" xfId="30629"/>
    <cellStyle name="汇总 2 2 7 18" xfId="30630"/>
    <cellStyle name="汇总 2 2 7 2" xfId="30631"/>
    <cellStyle name="汇总 2 2 7 2 10" xfId="30632"/>
    <cellStyle name="汇总 2 2 7 2 11" xfId="30633"/>
    <cellStyle name="汇总 2 2 7 2 2" xfId="30634"/>
    <cellStyle name="汇总 2 2 7 2 3" xfId="30635"/>
    <cellStyle name="汇总 2 2 7 3" xfId="30636"/>
    <cellStyle name="汇总 2 2 7 3 2" xfId="30637"/>
    <cellStyle name="汇总 2 2 7 3 2 3" xfId="30638"/>
    <cellStyle name="汇总 2 2 7 3 3" xfId="30639"/>
    <cellStyle name="汇总 2 2 7 4" xfId="30640"/>
    <cellStyle name="汇总 2 2 7 5" xfId="30641"/>
    <cellStyle name="汇总 2 2 7 6" xfId="30642"/>
    <cellStyle name="汇总 2 2 7 7" xfId="30643"/>
    <cellStyle name="汇总 2 2 7 8" xfId="30644"/>
    <cellStyle name="汇总 2 2 7 9" xfId="30645"/>
    <cellStyle name="汇总 2 2 8" xfId="30646"/>
    <cellStyle name="汇总 2 2 8 10" xfId="30647"/>
    <cellStyle name="汇总 2 2 8 11" xfId="30648"/>
    <cellStyle name="汇总 2 2 8 12" xfId="30649"/>
    <cellStyle name="汇总 2 2 8 13" xfId="30650"/>
    <cellStyle name="汇总 2 2 8 14" xfId="30651"/>
    <cellStyle name="汇总 2 2 8 2 10" xfId="30652"/>
    <cellStyle name="汇总 2 2 8 2 11" xfId="30653"/>
    <cellStyle name="汇总 2 2 8 2 12" xfId="30654"/>
    <cellStyle name="汇总 2 2 8 2 3" xfId="30655"/>
    <cellStyle name="汇总 2 2 8 2 4" xfId="30656"/>
    <cellStyle name="汇总 2 2 8 2 5" xfId="30657"/>
    <cellStyle name="汇总 2 2 8 2 6" xfId="30658"/>
    <cellStyle name="汇总 2 2 8 2 7" xfId="30659"/>
    <cellStyle name="汇总 2 2 8 2 8" xfId="30660"/>
    <cellStyle name="汇总 2 2 8 2 9" xfId="30661"/>
    <cellStyle name="汇总 2 2 8 3 2" xfId="30662"/>
    <cellStyle name="汇总 2 2 8 3 2 2" xfId="30663"/>
    <cellStyle name="汇总 2 2 8 3 3" xfId="30664"/>
    <cellStyle name="输入 3 2 4 2 3" xfId="30665"/>
    <cellStyle name="汇总 2 2 8 8" xfId="30666"/>
    <cellStyle name="输入 3 2 4 2 4" xfId="30667"/>
    <cellStyle name="汇总 2 2 8 9" xfId="30668"/>
    <cellStyle name="汇总 2 2 9" xfId="30669"/>
    <cellStyle name="汇总 2 2 9 12" xfId="30670"/>
    <cellStyle name="汇总 2 2 9 13" xfId="30671"/>
    <cellStyle name="汇总 2 2 9 14" xfId="30672"/>
    <cellStyle name="汇总 2 2 9 15" xfId="30673"/>
    <cellStyle name="汇总 2 2 9 16" xfId="30674"/>
    <cellStyle name="汇总 2 2 9 17" xfId="30675"/>
    <cellStyle name="汇总 2 2 9 18" xfId="30676"/>
    <cellStyle name="汇总 2 2 9 2" xfId="30677"/>
    <cellStyle name="汇总 2 2 9 2 10" xfId="30678"/>
    <cellStyle name="汇总 2 2 9 2 11" xfId="30679"/>
    <cellStyle name="汇总 2 2 9 2 12" xfId="30680"/>
    <cellStyle name="汇总 2 2 9 2 2" xfId="30681"/>
    <cellStyle name="汇总 2 2 9 2 3" xfId="30682"/>
    <cellStyle name="汇总 2 2 9 2 4" xfId="30683"/>
    <cellStyle name="汇总 2 2 9 2 5" xfId="30684"/>
    <cellStyle name="汇总 2 2 9 2 6" xfId="30685"/>
    <cellStyle name="汇总 2 2 9 2 7" xfId="30686"/>
    <cellStyle name="汇总 2 2 9 2 8" xfId="30687"/>
    <cellStyle name="汇总 2 2 9 2 9" xfId="30688"/>
    <cellStyle name="汇总 2 2 9 3" xfId="30689"/>
    <cellStyle name="汇总 2 2 9 3 2 2" xfId="30690"/>
    <cellStyle name="汇总 2 2 9 4" xfId="30691"/>
    <cellStyle name="汇总 2 2 9 5" xfId="30692"/>
    <cellStyle name="汇总 2 2 9 6" xfId="30693"/>
    <cellStyle name="汇总 2 2 9 7" xfId="30694"/>
    <cellStyle name="汇总 2 2 9 8" xfId="30695"/>
    <cellStyle name="汇总 2 2 9 9" xfId="30696"/>
    <cellStyle name="汇总 2 3" xfId="30697"/>
    <cellStyle name="汇总 2 3 18" xfId="30698"/>
    <cellStyle name="汇总 2 3 23" xfId="30699"/>
    <cellStyle name="汇总 2 3 2 17" xfId="30700"/>
    <cellStyle name="汇总 2 3 2 2 10" xfId="30701"/>
    <cellStyle name="汇总 2 3 2 2 11" xfId="30702"/>
    <cellStyle name="汇总 2 3 2 2 12" xfId="30703"/>
    <cellStyle name="汇总 2 3 2 2 2" xfId="30704"/>
    <cellStyle name="汇总 2 3 2 4" xfId="30705"/>
    <cellStyle name="汇总 2 3 2 5" xfId="30706"/>
    <cellStyle name="汇总 2 3 3 10" xfId="30707"/>
    <cellStyle name="汇总 2 3 3 11" xfId="30708"/>
    <cellStyle name="汇总 2 3 3 12" xfId="30709"/>
    <cellStyle name="汇总 2 3 3 13" xfId="30710"/>
    <cellStyle name="汇总 2 3 3 14" xfId="30711"/>
    <cellStyle name="汇总 2 3 3 19" xfId="30712"/>
    <cellStyle name="汇总 2 3 3 2" xfId="30713"/>
    <cellStyle name="汇总 2 3 3 2 10" xfId="30714"/>
    <cellStyle name="汇总 2 3 3 2 11" xfId="30715"/>
    <cellStyle name="汇总 2 3 3 2 12" xfId="30716"/>
    <cellStyle name="千位分隔 2 2 13" xfId="30717"/>
    <cellStyle name="汇总 2 3 3 2 2" xfId="30718"/>
    <cellStyle name="千位分隔 2 2 16" xfId="30719"/>
    <cellStyle name="汇总 2 3 3 2 5" xfId="30720"/>
    <cellStyle name="千位分隔 2 2 17" xfId="30721"/>
    <cellStyle name="汇总 2 3 3 2 6" xfId="30722"/>
    <cellStyle name="千位分隔 2 2 18" xfId="30723"/>
    <cellStyle name="汇总 2 3 3 2 7" xfId="30724"/>
    <cellStyle name="汇总 2 3 3 3" xfId="30725"/>
    <cellStyle name="汇总 2 3 3 3 2" xfId="30726"/>
    <cellStyle name="汇总 2 3 3 3 3" xfId="30727"/>
    <cellStyle name="汇总 2 3 3 6" xfId="30728"/>
    <cellStyle name="汇总 2 3 3 7" xfId="30729"/>
    <cellStyle name="汇总 2 3 3 8" xfId="30730"/>
    <cellStyle name="汇总 2 3 3 9" xfId="30731"/>
    <cellStyle name="注释 3 6 5" xfId="30732"/>
    <cellStyle name="汇总 2 3 4 18" xfId="30733"/>
    <cellStyle name="汇总 2 3 4 2 10" xfId="30734"/>
    <cellStyle name="汇总 2 3 4 2 11" xfId="30735"/>
    <cellStyle name="汇总 2 3 4 2 12" xfId="30736"/>
    <cellStyle name="汇总 2 3 4 2 2" xfId="30737"/>
    <cellStyle name="汇总 2 3 4 2 3" xfId="30738"/>
    <cellStyle name="汇总 2 3 4 2 4" xfId="30739"/>
    <cellStyle name="汇总 2 3 4 2 5" xfId="30740"/>
    <cellStyle name="汇总 2 3 4 2 6" xfId="30741"/>
    <cellStyle name="汇总 2 3 4 2 7" xfId="30742"/>
    <cellStyle name="汇总 2 3 4 2 8" xfId="30743"/>
    <cellStyle name="汇总 2 3 4 2 9" xfId="30744"/>
    <cellStyle name="汇总 2 3 4 3 2 2" xfId="30745"/>
    <cellStyle name="汇总 2 3 4 3 2 3" xfId="30746"/>
    <cellStyle name="汇总 2 3 4 9" xfId="30747"/>
    <cellStyle name="汇总 2 3 5 18" xfId="30748"/>
    <cellStyle name="汇总 2 3 5 2" xfId="30749"/>
    <cellStyle name="汇总 2 3 5 2 10" xfId="30750"/>
    <cellStyle name="汇总 2 3 5 2 11" xfId="30751"/>
    <cellStyle name="汇总 2 3 5 2 12" xfId="30752"/>
    <cellStyle name="汇总 2 3 5 2 2" xfId="30753"/>
    <cellStyle name="汇总 2 3 5 2 3" xfId="30754"/>
    <cellStyle name="输出 3 7 2 10" xfId="30755"/>
    <cellStyle name="汇总 2 3 5 2 4" xfId="30756"/>
    <cellStyle name="输出 3 7 2 11" xfId="30757"/>
    <cellStyle name="汇总 2 3 5 2 5" xfId="30758"/>
    <cellStyle name="输出 3 7 2 12" xfId="30759"/>
    <cellStyle name="汇总 2 3 5 2 6" xfId="30760"/>
    <cellStyle name="汇总 2 3 5 2 7" xfId="30761"/>
    <cellStyle name="汇总 2 3 5 2 8" xfId="30762"/>
    <cellStyle name="汇总 2 3 5 2 9" xfId="30763"/>
    <cellStyle name="汇总 2 3 5 3" xfId="30764"/>
    <cellStyle name="汇总 2 3 5 3 2" xfId="30765"/>
    <cellStyle name="汇总 2 3 5 3 3" xfId="30766"/>
    <cellStyle name="汇总 2 3 5 4" xfId="30767"/>
    <cellStyle name="汇总 2 3 5 5" xfId="30768"/>
    <cellStyle name="汇总 2 3 5 6" xfId="30769"/>
    <cellStyle name="汇总 2 3 5 7" xfId="30770"/>
    <cellStyle name="汇总 2 3 5 8" xfId="30771"/>
    <cellStyle name="汇总 2 3 5 9" xfId="30772"/>
    <cellStyle name="汇总 2 3 6 10" xfId="30773"/>
    <cellStyle name="汇总 2 3 6 11" xfId="30774"/>
    <cellStyle name="汇总 2 3 6 12" xfId="30775"/>
    <cellStyle name="汇总 2 3 6 2" xfId="30776"/>
    <cellStyle name="汇总 2 3 6 3" xfId="30777"/>
    <cellStyle name="汇总 2 3 6 4" xfId="30778"/>
    <cellStyle name="汇总 2 3 6 5" xfId="30779"/>
    <cellStyle name="汇总 2 3 6 6" xfId="30780"/>
    <cellStyle name="汇总 2 3 6 7" xfId="30781"/>
    <cellStyle name="汇总 2 3 6 8" xfId="30782"/>
    <cellStyle name="汇总 2 3 6 9" xfId="30783"/>
    <cellStyle name="汇总 2 3 7 2" xfId="30784"/>
    <cellStyle name="强调 1 2 6" xfId="30785"/>
    <cellStyle name="汇总 2 3 7 2 2" xfId="30786"/>
    <cellStyle name="强调 1 2 7" xfId="30787"/>
    <cellStyle name="汇总 2 3 7 2 3" xfId="30788"/>
    <cellStyle name="汇总 2 3 7 3" xfId="30789"/>
    <cellStyle name="汇总 2 3 9" xfId="30790"/>
    <cellStyle name="汇总 2 4" xfId="30791"/>
    <cellStyle name="汇总 2 4 15" xfId="30792"/>
    <cellStyle name="汇总 2 4 20" xfId="30793"/>
    <cellStyle name="汇总 2 4 16" xfId="30794"/>
    <cellStyle name="汇总 2 4 21" xfId="30795"/>
    <cellStyle name="汇总 2 4 17" xfId="30796"/>
    <cellStyle name="汇总 2 4 18" xfId="30797"/>
    <cellStyle name="汇总 2 4 19" xfId="30798"/>
    <cellStyle name="汇总 2 4 2 2" xfId="30799"/>
    <cellStyle name="汇总 2 4 2 3" xfId="30800"/>
    <cellStyle name="汇总 2 4 2 6" xfId="30801"/>
    <cellStyle name="汇总 2 4 3" xfId="30802"/>
    <cellStyle name="汇总 2 4 3 2" xfId="30803"/>
    <cellStyle name="输入 3 2 12 7" xfId="30804"/>
    <cellStyle name="汇总 2 4 3 2 2" xfId="30805"/>
    <cellStyle name="输入 3 2 12 8" xfId="30806"/>
    <cellStyle name="汇总 2 4 3 2 3" xfId="30807"/>
    <cellStyle name="汇总 2 4 3 3" xfId="30808"/>
    <cellStyle name="汇总 2 5" xfId="30809"/>
    <cellStyle name="汇总 2 5 10" xfId="30810"/>
    <cellStyle name="汇总 2 5 13" xfId="30811"/>
    <cellStyle name="汇总 2 5 14" xfId="30812"/>
    <cellStyle name="汇总 2 5 15" xfId="30813"/>
    <cellStyle name="汇总 2 5 20" xfId="30814"/>
    <cellStyle name="汇总 2 5 16" xfId="30815"/>
    <cellStyle name="汇总 2 5 21" xfId="30816"/>
    <cellStyle name="汇总 2 5 19" xfId="30817"/>
    <cellStyle name="货币 2 2 4 3" xfId="30818"/>
    <cellStyle name="汇总 2 5 2" xfId="30819"/>
    <cellStyle name="汇总 2 5 2 10" xfId="30820"/>
    <cellStyle name="汇总 2 5 2 11" xfId="30821"/>
    <cellStyle name="汇总 2 5 2 12" xfId="30822"/>
    <cellStyle name="汇总 2 5 2 7" xfId="30823"/>
    <cellStyle name="汇总 2 5 3" xfId="30824"/>
    <cellStyle name="汇总 2 5 3 2" xfId="30825"/>
    <cellStyle name="输入 3 10 4" xfId="30826"/>
    <cellStyle name="汇总 2 5 3 2 2" xfId="30827"/>
    <cellStyle name="输入 3 10 5" xfId="30828"/>
    <cellStyle name="汇总 2 5 3 2 3" xfId="30829"/>
    <cellStyle name="汇总 2 5 3 3" xfId="30830"/>
    <cellStyle name="汇总 2 5 4" xfId="30831"/>
    <cellStyle name="汇总 2 5 5" xfId="30832"/>
    <cellStyle name="汇总 2 5 6" xfId="30833"/>
    <cellStyle name="汇总 2 5 7" xfId="30834"/>
    <cellStyle name="汇总 2 6" xfId="30835"/>
    <cellStyle name="汇总 2 6 19" xfId="30836"/>
    <cellStyle name="汇总 2 6 2" xfId="30837"/>
    <cellStyle name="计算 3 2 9 3" xfId="30838"/>
    <cellStyle name="汇总 2 6 2 10" xfId="30839"/>
    <cellStyle name="计算 3 2 9 4" xfId="30840"/>
    <cellStyle name="汇总 2 6 2 11" xfId="30841"/>
    <cellStyle name="计算 3 2 9 5" xfId="30842"/>
    <cellStyle name="汇总 2 6 2 12" xfId="30843"/>
    <cellStyle name="汇总 2 6 3" xfId="30844"/>
    <cellStyle name="汇总 2 6 3 2" xfId="30845"/>
    <cellStyle name="汇总 2 6 3 2 2" xfId="30846"/>
    <cellStyle name="汇总 2 6 3 2 3" xfId="30847"/>
    <cellStyle name="汇总 2 6 3 3" xfId="30848"/>
    <cellStyle name="汇总 2 6 4" xfId="30849"/>
    <cellStyle name="汇总 2 6 6" xfId="30850"/>
    <cellStyle name="汇总 2 6 7" xfId="30851"/>
    <cellStyle name="汇总 2 6 8" xfId="30852"/>
    <cellStyle name="汇总 2 7" xfId="30853"/>
    <cellStyle name="汇总 2 7 18" xfId="30854"/>
    <cellStyle name="汇总 2 7 19" xfId="30855"/>
    <cellStyle name="汇总 2 7 2" xfId="30856"/>
    <cellStyle name="汇总 2 7 2 2" xfId="30857"/>
    <cellStyle name="汇总 2 7 2 3" xfId="30858"/>
    <cellStyle name="汇总 2 7 2 6" xfId="30859"/>
    <cellStyle name="汇总 2 7 2 8" xfId="30860"/>
    <cellStyle name="汇总 2 7 2 9" xfId="30861"/>
    <cellStyle name="汇总 2 7 3" xfId="30862"/>
    <cellStyle name="计算 2 10 10" xfId="30863"/>
    <cellStyle name="汇总 2 7 3 2" xfId="30864"/>
    <cellStyle name="汇总 2 7 3 2 2" xfId="30865"/>
    <cellStyle name="汇总 2 7 3 2 3" xfId="30866"/>
    <cellStyle name="计算 2 10 11" xfId="30867"/>
    <cellStyle name="汇总 2 7 3 3" xfId="30868"/>
    <cellStyle name="汇总 2 7 4" xfId="30869"/>
    <cellStyle name="汇总 2 7 5" xfId="30870"/>
    <cellStyle name="汇总 2 7 6" xfId="30871"/>
    <cellStyle name="汇总 2 7 7" xfId="30872"/>
    <cellStyle name="汇总 2 7 8" xfId="30873"/>
    <cellStyle name="汇总 2 7 9" xfId="30874"/>
    <cellStyle name="汇总 2 8" xfId="30875"/>
    <cellStyle name="汇总 2 8 10" xfId="30876"/>
    <cellStyle name="汇总 2 8 11" xfId="30877"/>
    <cellStyle name="汇总 2 8 12" xfId="30878"/>
    <cellStyle name="汇总 2 8 2" xfId="30879"/>
    <cellStyle name="汇总 2 8 2 10" xfId="30880"/>
    <cellStyle name="汇总 2 8 2 11" xfId="30881"/>
    <cellStyle name="汇总 2 8 2 12" xfId="30882"/>
    <cellStyle name="汇总 2 8 2 2" xfId="30883"/>
    <cellStyle name="汇总 2 8 2 3" xfId="30884"/>
    <cellStyle name="汇总 2 8 3" xfId="30885"/>
    <cellStyle name="汇总 2 8 3 2" xfId="30886"/>
    <cellStyle name="汇总 2 8 3 2 2" xfId="30887"/>
    <cellStyle name="汇总 2 8 3 2 3" xfId="30888"/>
    <cellStyle name="汇总 2 8 3 3" xfId="30889"/>
    <cellStyle name="汇总 2 8 4" xfId="30890"/>
    <cellStyle name="汇总 2 8 5" xfId="30891"/>
    <cellStyle name="汇总 2 8 6" xfId="30892"/>
    <cellStyle name="汇总 2 8 7" xfId="30893"/>
    <cellStyle name="汇总 2 8 8" xfId="30894"/>
    <cellStyle name="汇总 2 9" xfId="30895"/>
    <cellStyle name="汇总 2 9 15" xfId="30896"/>
    <cellStyle name="汇总 2 9 16" xfId="30897"/>
    <cellStyle name="汇总 2 9 17" xfId="30898"/>
    <cellStyle name="汇总 2 9 18" xfId="30899"/>
    <cellStyle name="汇总 2 9 2 11" xfId="30900"/>
    <cellStyle name="汇总 2 9 2 12" xfId="30901"/>
    <cellStyle name="汇总 2 9 2 6" xfId="30902"/>
    <cellStyle name="汇总 2 9 2 7" xfId="30903"/>
    <cellStyle name="汇总 2 9 3" xfId="30904"/>
    <cellStyle name="汇总 2 9 3 2 2" xfId="30905"/>
    <cellStyle name="汇总 2 9 3 2 3" xfId="30906"/>
    <cellStyle name="汇总 2 9 4" xfId="30907"/>
    <cellStyle name="汇总 2 9 5" xfId="30908"/>
    <cellStyle name="汇总 2 9 6" xfId="30909"/>
    <cellStyle name="汇总 2 9 7" xfId="30910"/>
    <cellStyle name="汇总 2 9 8" xfId="30911"/>
    <cellStyle name="汇总 2 9 9" xfId="30912"/>
    <cellStyle name="汇总 3" xfId="30913"/>
    <cellStyle name="汇总 3 10 10" xfId="30914"/>
    <cellStyle name="汇总 3 10 11" xfId="30915"/>
    <cellStyle name="汇总 3 10 12" xfId="30916"/>
    <cellStyle name="汇总 3 11 2" xfId="30917"/>
    <cellStyle name="汇总 3 11 3" xfId="30918"/>
    <cellStyle name="汇总 3 12" xfId="30919"/>
    <cellStyle name="汇总 3 13" xfId="30920"/>
    <cellStyle name="汇总 3 14" xfId="30921"/>
    <cellStyle name="汇总 3 15" xfId="30922"/>
    <cellStyle name="汇总 3 20" xfId="30923"/>
    <cellStyle name="汇总 3 16" xfId="30924"/>
    <cellStyle name="汇总 3 21" xfId="30925"/>
    <cellStyle name="汇总 3 17" xfId="30926"/>
    <cellStyle name="汇总 3 22" xfId="30927"/>
    <cellStyle name="汇总 3 2 10" xfId="30928"/>
    <cellStyle name="强调文字颜色 2 3 2 5" xfId="30929"/>
    <cellStyle name="汇总 3 2 10 10" xfId="30930"/>
    <cellStyle name="强调文字颜色 2 3 2 6" xfId="30931"/>
    <cellStyle name="汇总 3 2 10 11" xfId="30932"/>
    <cellStyle name="强调文字颜色 2 3 2 7" xfId="30933"/>
    <cellStyle name="汇总 3 2 10 12" xfId="30934"/>
    <cellStyle name="强调文字颜色 2 3 2 8" xfId="30935"/>
    <cellStyle name="汇总 3 2 10 13" xfId="30936"/>
    <cellStyle name="强调文字颜色 2 3 2 9" xfId="30937"/>
    <cellStyle name="汇总 3 2 10 14" xfId="30938"/>
    <cellStyle name="汇总 3 2 10 15" xfId="30939"/>
    <cellStyle name="汇总 3 2 10 16" xfId="30940"/>
    <cellStyle name="汇总 3 2 10 17" xfId="30941"/>
    <cellStyle name="汇总 3 2 10 18" xfId="30942"/>
    <cellStyle name="汇总 3 2 10 2" xfId="30943"/>
    <cellStyle name="汇总 3 2 10 2 10" xfId="30944"/>
    <cellStyle name="汇总 3 2 10 2 11" xfId="30945"/>
    <cellStyle name="汇总 3 2 10 2 12" xfId="30946"/>
    <cellStyle name="汇总 3 2 10 2 2" xfId="30947"/>
    <cellStyle name="汇总 3 2 10 2 3" xfId="30948"/>
    <cellStyle name="汇总 3 2 10 2 4" xfId="30949"/>
    <cellStyle name="汇总 3 2 10 2 5" xfId="30950"/>
    <cellStyle name="汇总 3 2 10 2 6" xfId="30951"/>
    <cellStyle name="汇总 3 2 10 2 7" xfId="30952"/>
    <cellStyle name="汇总 3 2 10 2 8" xfId="30953"/>
    <cellStyle name="汇总 3 2 10 2 9" xfId="30954"/>
    <cellStyle name="汇总 3 2 10 3" xfId="30955"/>
    <cellStyle name="汇总 3 2 10 3 2 2" xfId="30956"/>
    <cellStyle name="汇总 3 2 10 3 2 3" xfId="30957"/>
    <cellStyle name="汇总 3 2 10 4" xfId="30958"/>
    <cellStyle name="汇总 3 2 10 5" xfId="30959"/>
    <cellStyle name="汇总 3 2 10 6" xfId="30960"/>
    <cellStyle name="汇总 3 2 10 7" xfId="30961"/>
    <cellStyle name="汇总 3 2 10 8" xfId="30962"/>
    <cellStyle name="汇总 3 2 10 9" xfId="30963"/>
    <cellStyle name="汇总 3 2 11" xfId="30964"/>
    <cellStyle name="汇总 3 2 11 10" xfId="30965"/>
    <cellStyle name="汇总 3 2 11 11" xfId="30966"/>
    <cellStyle name="汇总 3 2 11 2" xfId="30967"/>
    <cellStyle name="汇总 3 2 11 2 10" xfId="30968"/>
    <cellStyle name="汇总 3 2 11 2 11" xfId="30969"/>
    <cellStyle name="汇总 3 2 11 2 12" xfId="30970"/>
    <cellStyle name="汇总 3 2 11 2 2" xfId="30971"/>
    <cellStyle name="汇总 3 2 11 2 3" xfId="30972"/>
    <cellStyle name="汇总 3 2 11 2 4" xfId="30973"/>
    <cellStyle name="汇总 3 2 11 2 5" xfId="30974"/>
    <cellStyle name="汇总 3 2 11 2 6" xfId="30975"/>
    <cellStyle name="汇总 3 2 11 2 7" xfId="30976"/>
    <cellStyle name="汇总 3 2 11 2 8" xfId="30977"/>
    <cellStyle name="汇总 3 2 11 3" xfId="30978"/>
    <cellStyle name="汇总 3 2 11 3 2" xfId="30979"/>
    <cellStyle name="汇总 3 2 11 3 2 2" xfId="30980"/>
    <cellStyle name="汇总 3 2 11 3 2 3" xfId="30981"/>
    <cellStyle name="汇总 3 2 11 3 3" xfId="30982"/>
    <cellStyle name="汇总 3 2 11 4" xfId="30983"/>
    <cellStyle name="汇总 3 2 11 5" xfId="30984"/>
    <cellStyle name="汇总 3 2 12" xfId="30985"/>
    <cellStyle name="汇总 3 2 12 12" xfId="30986"/>
    <cellStyle name="汇总 3 2 12 13" xfId="30987"/>
    <cellStyle name="汇总 3 2 12 14" xfId="30988"/>
    <cellStyle name="汇总 3 2 12 15" xfId="30989"/>
    <cellStyle name="汇总 3 2 12 16" xfId="30990"/>
    <cellStyle name="汇总 3 2 12 17" xfId="30991"/>
    <cellStyle name="汇总 3 2 12 18" xfId="30992"/>
    <cellStyle name="汇总 3 2 12 2" xfId="30993"/>
    <cellStyle name="汇总 3 2 12 2 10" xfId="30994"/>
    <cellStyle name="汇总 3 2 12 2 11" xfId="30995"/>
    <cellStyle name="汇总 3 2 12 2 12" xfId="30996"/>
    <cellStyle name="汇总 3 2 12 2 2" xfId="30997"/>
    <cellStyle name="汇总 3 2 12 3" xfId="30998"/>
    <cellStyle name="汇总 3 2 12 3 2" xfId="30999"/>
    <cellStyle name="汇总 3 2 12 3 2 2" xfId="31000"/>
    <cellStyle name="汇总 3 2 12 3 2 3" xfId="31001"/>
    <cellStyle name="汇总 3 2 12 3 3" xfId="31002"/>
    <cellStyle name="汇总 3 2 12 4" xfId="31003"/>
    <cellStyle name="汇总 3 2 12 5" xfId="31004"/>
    <cellStyle name="汇总 3 2 12 6" xfId="31005"/>
    <cellStyle name="汇总 3 2 12 7" xfId="31006"/>
    <cellStyle name="汇总 3 2 12 8" xfId="31007"/>
    <cellStyle name="汇总 3 2 12 9" xfId="31008"/>
    <cellStyle name="汇总 3 2 13" xfId="31009"/>
    <cellStyle name="汇总 3 2 13 10" xfId="31010"/>
    <cellStyle name="汇总 3 2 13 11" xfId="31011"/>
    <cellStyle name="汇总 3 2 13 12" xfId="31012"/>
    <cellStyle name="汇总 3 2 13 7" xfId="31013"/>
    <cellStyle name="汇总 3 2 13 8" xfId="31014"/>
    <cellStyle name="汇总 3 2 13 9" xfId="31015"/>
    <cellStyle name="汇总 3 2 14" xfId="31016"/>
    <cellStyle name="汇总 3 2 14 2" xfId="31017"/>
    <cellStyle name="汇总 3 2 14 2 3" xfId="31018"/>
    <cellStyle name="汇总 3 2 15" xfId="31019"/>
    <cellStyle name="汇总 3 2 20" xfId="31020"/>
    <cellStyle name="汇总 3 2 16" xfId="31021"/>
    <cellStyle name="汇总 3 2 21" xfId="31022"/>
    <cellStyle name="汇总 3 2 19" xfId="31023"/>
    <cellStyle name="汇总 3 2 24" xfId="31024"/>
    <cellStyle name="汇总 3 2 2" xfId="31025"/>
    <cellStyle name="计算 3 2 2 2 5" xfId="31026"/>
    <cellStyle name="汇总 3 2 2 14" xfId="31027"/>
    <cellStyle name="计算 3 2 2 2 6" xfId="31028"/>
    <cellStyle name="汇总 3 2 2 15" xfId="31029"/>
    <cellStyle name="汇总 3 2 2 20" xfId="31030"/>
    <cellStyle name="计算 3 2 2 2 7" xfId="31031"/>
    <cellStyle name="汇总 3 2 2 16" xfId="31032"/>
    <cellStyle name="汇总 3 2 2 21" xfId="31033"/>
    <cellStyle name="计算 3 2 2 2 8" xfId="31034"/>
    <cellStyle name="汇总 3 2 2 17" xfId="31035"/>
    <cellStyle name="计算 3 2 2 2 9" xfId="31036"/>
    <cellStyle name="汇总 3 2 2 18" xfId="31037"/>
    <cellStyle name="汇总 3 2 2 19" xfId="31038"/>
    <cellStyle name="汇总 3 2 2 2" xfId="31039"/>
    <cellStyle name="汇总 3 2 2 2 10" xfId="31040"/>
    <cellStyle name="汇总 3 2 2 2 11" xfId="31041"/>
    <cellStyle name="汇总 3 2 2 3" xfId="31042"/>
    <cellStyle name="汇总 3 2 2 3 2" xfId="31043"/>
    <cellStyle name="汇总 3 2 2 3 2 2" xfId="31044"/>
    <cellStyle name="汇总 3 2 2 3 2 3" xfId="31045"/>
    <cellStyle name="汇总 3 2 2 3 3" xfId="31046"/>
    <cellStyle name="汇总 3 2 2 4" xfId="31047"/>
    <cellStyle name="汇总 3 2 2 5" xfId="31048"/>
    <cellStyle name="汇总 3 2 2 6" xfId="31049"/>
    <cellStyle name="汇总 3 2 2 7" xfId="31050"/>
    <cellStyle name="汇总 3 2 2 8" xfId="31051"/>
    <cellStyle name="汇总 3 2 2 9" xfId="31052"/>
    <cellStyle name="汇总 3 2 3" xfId="31053"/>
    <cellStyle name="汇总 3 2 3 11" xfId="31054"/>
    <cellStyle name="汇总 3 2 3 12" xfId="31055"/>
    <cellStyle name="汇总 3 2 3 13" xfId="31056"/>
    <cellStyle name="汇总 3 2 3 14" xfId="31057"/>
    <cellStyle name="汇总 3 2 3 15" xfId="31058"/>
    <cellStyle name="汇总 3 2 3 20" xfId="31059"/>
    <cellStyle name="汇总 3 2 3 16" xfId="31060"/>
    <cellStyle name="汇总 3 2 3 21" xfId="31061"/>
    <cellStyle name="汇总 3 2 3 17" xfId="31062"/>
    <cellStyle name="汇总 3 2 3 18" xfId="31063"/>
    <cellStyle name="汇总 3 2 3 19" xfId="31064"/>
    <cellStyle name="汇总 3 2 3 2" xfId="31065"/>
    <cellStyle name="汇总 3 2 3 2 10" xfId="31066"/>
    <cellStyle name="汇总 3 2 3 2 11" xfId="31067"/>
    <cellStyle name="汇总 3 2 3 2 12" xfId="31068"/>
    <cellStyle name="汇总 3 2 3 2 8" xfId="31069"/>
    <cellStyle name="汇总 3 2 3 2 9" xfId="31070"/>
    <cellStyle name="汇总 3 2 3 3" xfId="31071"/>
    <cellStyle name="汇总 3 2 3 3 2" xfId="31072"/>
    <cellStyle name="汇总 3 2 3 6" xfId="31073"/>
    <cellStyle name="汇总 3 2 3 7" xfId="31074"/>
    <cellStyle name="汇总 3 2 3 8" xfId="31075"/>
    <cellStyle name="汇总 3 2 3 9" xfId="31076"/>
    <cellStyle name="汇总 3 2 4" xfId="31077"/>
    <cellStyle name="汇总 3 2 4 10" xfId="31078"/>
    <cellStyle name="汇总 3 2 4 11" xfId="31079"/>
    <cellStyle name="汇总 3 2 4 12" xfId="31080"/>
    <cellStyle name="汇总 3 2 4 13" xfId="31081"/>
    <cellStyle name="汇总 3 2 4 14" xfId="31082"/>
    <cellStyle name="汇总 3 2 4 15" xfId="31083"/>
    <cellStyle name="汇总 3 2 4 20" xfId="31084"/>
    <cellStyle name="汇总 3 2 4 16" xfId="31085"/>
    <cellStyle name="汇总 3 2 4 21" xfId="31086"/>
    <cellStyle name="汇总 3 2 4 17" xfId="31087"/>
    <cellStyle name="汇总 3 2 4 18" xfId="31088"/>
    <cellStyle name="汇总 3 2 4 19" xfId="31089"/>
    <cellStyle name="汇总 3 2 4 2" xfId="31090"/>
    <cellStyle name="汇总 3 2 4 2 11" xfId="31091"/>
    <cellStyle name="汇总 3 2 4 2 12" xfId="31092"/>
    <cellStyle name="汇总 3 2 4 2 3" xfId="31093"/>
    <cellStyle name="汇总 3 2 4 2 4" xfId="31094"/>
    <cellStyle name="汇总 3 2 4 2 5" xfId="31095"/>
    <cellStyle name="输出 2 5 2 11" xfId="31096"/>
    <cellStyle name="汇总 3 2 4 2 7" xfId="31097"/>
    <cellStyle name="输出 2 5 2 12" xfId="31098"/>
    <cellStyle name="汇总 3 2 4 2 8" xfId="31099"/>
    <cellStyle name="汇总 3 2 4 3" xfId="31100"/>
    <cellStyle name="汇总 3 2 4 3 2" xfId="31101"/>
    <cellStyle name="汇总 3 2 4 3 2 2" xfId="31102"/>
    <cellStyle name="汇总 3 2 4 3 2 3" xfId="31103"/>
    <cellStyle name="汇总 3 2 4 3 3" xfId="31104"/>
    <cellStyle name="汇总 3 2 4 4" xfId="31105"/>
    <cellStyle name="汇总 3 2 4 5" xfId="31106"/>
    <cellStyle name="汇总 3 2 4 6" xfId="31107"/>
    <cellStyle name="汇总 3 2 4 7" xfId="31108"/>
    <cellStyle name="汇总 3 2 4 8" xfId="31109"/>
    <cellStyle name="汇总 3 2 5" xfId="31110"/>
    <cellStyle name="汇总 3 2 5 10" xfId="31111"/>
    <cellStyle name="汇总 3 2 5 11" xfId="31112"/>
    <cellStyle name="汇总 3 2 5 12" xfId="31113"/>
    <cellStyle name="汇总 3 2 5 13" xfId="31114"/>
    <cellStyle name="汇总 3 2 5 14" xfId="31115"/>
    <cellStyle name="汇总 3 2 5 15" xfId="31116"/>
    <cellStyle name="汇总 3 2 5 20" xfId="31117"/>
    <cellStyle name="汇总 3 2 5 16" xfId="31118"/>
    <cellStyle name="汇总 3 2 5 21" xfId="31119"/>
    <cellStyle name="汇总 3 2 5 17" xfId="31120"/>
    <cellStyle name="汇总 3 2 5 18" xfId="31121"/>
    <cellStyle name="汇总 3 2 5 19" xfId="31122"/>
    <cellStyle name="汇总 3 2 5 2" xfId="31123"/>
    <cellStyle name="汇总 3 2 5 2 10" xfId="31124"/>
    <cellStyle name="汇总 3 2 5 2 11" xfId="31125"/>
    <cellStyle name="汇总 3 2 5 2 12" xfId="31126"/>
    <cellStyle name="汇总 3 2 5 3" xfId="31127"/>
    <cellStyle name="汇总 3 2 5 3 2 2" xfId="31128"/>
    <cellStyle name="汇总 3 2 5 3 2 3" xfId="31129"/>
    <cellStyle name="汇总 3 2 5 4" xfId="31130"/>
    <cellStyle name="汇总 3 2 5 5" xfId="31131"/>
    <cellStyle name="汇总 3 2 5 6" xfId="31132"/>
    <cellStyle name="汇总 3 2 5 7" xfId="31133"/>
    <cellStyle name="汇总 3 2 5 8" xfId="31134"/>
    <cellStyle name="汇总 3 2 5 9" xfId="31135"/>
    <cellStyle name="汇总 3 2 6" xfId="31136"/>
    <cellStyle name="汇总 3 2 6 16" xfId="31137"/>
    <cellStyle name="汇总 3 2 6 17" xfId="31138"/>
    <cellStyle name="汇总 3 2 6 2 10" xfId="31139"/>
    <cellStyle name="汇总 3 2 6 2 11" xfId="31140"/>
    <cellStyle name="汇总 3 2 6 2 12" xfId="31141"/>
    <cellStyle name="汇总 3 2 6 2 8" xfId="31142"/>
    <cellStyle name="汇总 3 2 6 2 9" xfId="31143"/>
    <cellStyle name="汇总 3 2 7 10" xfId="31144"/>
    <cellStyle name="计算 3 2 3 2 2" xfId="31145"/>
    <cellStyle name="汇总 3 2 7 11" xfId="31146"/>
    <cellStyle name="计算 3 2 3 2 5" xfId="31147"/>
    <cellStyle name="汇总 3 2 7 14" xfId="31148"/>
    <cellStyle name="汇总 3 2 7 2 12" xfId="31149"/>
    <cellStyle name="汇总 3 2 8 2 10" xfId="31150"/>
    <cellStyle name="汇总 3 2 8 2 11" xfId="31151"/>
    <cellStyle name="汇总 3 2 8 2 12" xfId="31152"/>
    <cellStyle name="汇总 3 2 8 6" xfId="31153"/>
    <cellStyle name="输入 3 3 4 2 2" xfId="31154"/>
    <cellStyle name="汇总 3 2 8 7" xfId="31155"/>
    <cellStyle name="输入 3 3 4 2 3" xfId="31156"/>
    <cellStyle name="汇总 3 2 8 8" xfId="31157"/>
    <cellStyle name="输入 3 3 4 2 4" xfId="31158"/>
    <cellStyle name="汇总 3 2 8 9" xfId="31159"/>
    <cellStyle name="汇总 3 2 9 2" xfId="31160"/>
    <cellStyle name="汇总 3 2 9 2 11" xfId="31161"/>
    <cellStyle name="汇总 3 2 9 2 12" xfId="31162"/>
    <cellStyle name="汇总 3 2 9 3" xfId="31163"/>
    <cellStyle name="汇总 3 2 9 4" xfId="31164"/>
    <cellStyle name="汇总 3 2 9 5" xfId="31165"/>
    <cellStyle name="汇总 3 2 9 6" xfId="31166"/>
    <cellStyle name="汇总 3 2 9 7" xfId="31167"/>
    <cellStyle name="汇总 3 2 9 8" xfId="31168"/>
    <cellStyle name="汇总 3 2 9 9" xfId="31169"/>
    <cellStyle name="计算 2 2 3 9" xfId="31170"/>
    <cellStyle name="汇总 3 3 13" xfId="31171"/>
    <cellStyle name="汇总 3 3 14" xfId="31172"/>
    <cellStyle name="汇总 3 3 15" xfId="31173"/>
    <cellStyle name="汇总 3 3 20" xfId="31174"/>
    <cellStyle name="汇总 3 3 16" xfId="31175"/>
    <cellStyle name="汇总 3 3 17" xfId="31176"/>
    <cellStyle name="汇总 3 3 18" xfId="31177"/>
    <cellStyle name="汇总 3 3 19" xfId="31178"/>
    <cellStyle name="计算 3 2 7 2 8" xfId="31179"/>
    <cellStyle name="汇总 3 3 2 17" xfId="31180"/>
    <cellStyle name="汇总 3 3 3 13" xfId="31181"/>
    <cellStyle name="汇总 3 3 3 14" xfId="31182"/>
    <cellStyle name="汇总 3 3 3 15" xfId="31183"/>
    <cellStyle name="汇总 3 3 3 20" xfId="31184"/>
    <cellStyle name="汇总 3 3 3 16" xfId="31185"/>
    <cellStyle name="汇总 3 3 3 21" xfId="31186"/>
    <cellStyle name="汇总 3 3 3 17" xfId="31187"/>
    <cellStyle name="汇总 3 3 3 18" xfId="31188"/>
    <cellStyle name="汇总 3 3 3 19" xfId="31189"/>
    <cellStyle name="汇总 3 3 3 2" xfId="31190"/>
    <cellStyle name="汇总 3 3 3 2 12" xfId="31191"/>
    <cellStyle name="汇总 3 3 3 3" xfId="31192"/>
    <cellStyle name="汇总 3 3 3 3 2 2" xfId="31193"/>
    <cellStyle name="计算 2 2 3 12" xfId="31194"/>
    <cellStyle name="汇总 3 3 3 7" xfId="31195"/>
    <cellStyle name="计算 2 2 3 13" xfId="31196"/>
    <cellStyle name="汇总 3 3 3 8" xfId="31197"/>
    <cellStyle name="计算 2 2 3 14" xfId="31198"/>
    <cellStyle name="汇总 3 3 3 9" xfId="31199"/>
    <cellStyle name="汇总 3 3 4 10" xfId="31200"/>
    <cellStyle name="汇总 3 3 4 11" xfId="31201"/>
    <cellStyle name="汇总 3 3 4 2 8" xfId="31202"/>
    <cellStyle name="汇总 3 3 4 2 9" xfId="31203"/>
    <cellStyle name="汇总 3 3 4 3 2" xfId="31204"/>
    <cellStyle name="输出 2 2 3 2 10" xfId="31205"/>
    <cellStyle name="汇总 3 3 4 3 2 2" xfId="31206"/>
    <cellStyle name="输出 3 2 10 2 10" xfId="31207"/>
    <cellStyle name="汇总 3 3 4 3 3" xfId="31208"/>
    <cellStyle name="汇总 3 3 4 7" xfId="31209"/>
    <cellStyle name="汇总 3 3 4 8" xfId="31210"/>
    <cellStyle name="汇总 3 3 5 10" xfId="31211"/>
    <cellStyle name="汇总 3 3 5 11" xfId="31212"/>
    <cellStyle name="汇总 3 3 5 2" xfId="31213"/>
    <cellStyle name="汇总 3 3 5 3" xfId="31214"/>
    <cellStyle name="汇总 3 3 5 4" xfId="31215"/>
    <cellStyle name="汇总 3 3 5 5" xfId="31216"/>
    <cellStyle name="汇总 3 3 5 6" xfId="31217"/>
    <cellStyle name="汇总 3 3 5 7" xfId="31218"/>
    <cellStyle name="汇总 3 3 5 8" xfId="31219"/>
    <cellStyle name="汇总 3 3 5 9" xfId="31220"/>
    <cellStyle name="汇总 3 3 9" xfId="31221"/>
    <cellStyle name="计算 3 2 10 2 8" xfId="31222"/>
    <cellStyle name="汇总 3 4 16" xfId="31223"/>
    <cellStyle name="计算 3 2 10 2 9" xfId="31224"/>
    <cellStyle name="汇总 3 4 17" xfId="31225"/>
    <cellStyle name="汇总 3 4 2 10" xfId="31226"/>
    <cellStyle name="汇总 3 4 2 11" xfId="31227"/>
    <cellStyle name="汇总 3 4 2 12" xfId="31228"/>
    <cellStyle name="汇总 3 4 2 2" xfId="31229"/>
    <cellStyle name="汇总 3 4 2 3" xfId="31230"/>
    <cellStyle name="汇总 3 4 2 6" xfId="31231"/>
    <cellStyle name="汇总 3 4 2 7" xfId="31232"/>
    <cellStyle name="汇总 3 4 2 8" xfId="31233"/>
    <cellStyle name="汇总 3 4 2 9" xfId="31234"/>
    <cellStyle name="汇总 3 4 3" xfId="31235"/>
    <cellStyle name="汇总 3 4 6" xfId="31236"/>
    <cellStyle name="汇总 3 4 7" xfId="31237"/>
    <cellStyle name="汇总 3 4 8" xfId="31238"/>
    <cellStyle name="汇总 3 4 9" xfId="31239"/>
    <cellStyle name="汇总 3 5 13" xfId="31240"/>
    <cellStyle name="汇总 3 5 14" xfId="31241"/>
    <cellStyle name="汇总 3 5 15" xfId="31242"/>
    <cellStyle name="汇总 3 5 16" xfId="31243"/>
    <cellStyle name="汇总 3 5 17" xfId="31244"/>
    <cellStyle name="汇总 3 5 2 10" xfId="31245"/>
    <cellStyle name="汇总 3 5 2 11" xfId="31246"/>
    <cellStyle name="汇总 3 5 2 12" xfId="31247"/>
    <cellStyle name="汇总 3 5 2 2" xfId="31248"/>
    <cellStyle name="汇总 3 5 2 3" xfId="31249"/>
    <cellStyle name="汇总 3 5 2 6" xfId="31250"/>
    <cellStyle name="输入 4 2 10" xfId="31251"/>
    <cellStyle name="汇总 3 5 2 7" xfId="31252"/>
    <cellStyle name="输入 4 2 11" xfId="31253"/>
    <cellStyle name="汇总 3 5 2 8" xfId="31254"/>
    <cellStyle name="输入 4 2 12" xfId="31255"/>
    <cellStyle name="汇总 3 5 2 9" xfId="31256"/>
    <cellStyle name="汇总 3 6 2 10" xfId="31257"/>
    <cellStyle name="汇总 3 6 2 11" xfId="31258"/>
    <cellStyle name="汇总 3 6 2 12" xfId="31259"/>
    <cellStyle name="汇总 3 6 4" xfId="31260"/>
    <cellStyle name="汇总 3 6 5" xfId="31261"/>
    <cellStyle name="汇总 3 6 6" xfId="31262"/>
    <cellStyle name="汇总 3 6 7" xfId="31263"/>
    <cellStyle name="汇总 3 6 8" xfId="31264"/>
    <cellStyle name="汇总 3 7 2" xfId="31265"/>
    <cellStyle name="汇总 3 7 2 3" xfId="31266"/>
    <cellStyle name="汇总 3 7 2 6" xfId="31267"/>
    <cellStyle name="汇总 3 7 3" xfId="31268"/>
    <cellStyle name="汇总 3 7 4" xfId="31269"/>
    <cellStyle name="汇总 3 7 5" xfId="31270"/>
    <cellStyle name="汇总 3 7 6" xfId="31271"/>
    <cellStyle name="计算 2 3 3 6" xfId="31272"/>
    <cellStyle name="汇总 3 8 10" xfId="31273"/>
    <cellStyle name="计算 2 3 3 7" xfId="31274"/>
    <cellStyle name="汇总 3 8 11" xfId="31275"/>
    <cellStyle name="计算 2 3 3 8" xfId="31276"/>
    <cellStyle name="汇总 3 8 12" xfId="31277"/>
    <cellStyle name="计算 2 3 3 9" xfId="31278"/>
    <cellStyle name="汇总 3 8 13" xfId="31279"/>
    <cellStyle name="汇总 3 8 14" xfId="31280"/>
    <cellStyle name="汇总 3 8 15" xfId="31281"/>
    <cellStyle name="汇总 3 8 16" xfId="31282"/>
    <cellStyle name="汇总 3 9 2 12" xfId="31283"/>
    <cellStyle name="汇总 3 9 2 2" xfId="31284"/>
    <cellStyle name="汇总 3 9 2 3" xfId="31285"/>
    <cellStyle name="汇总 3 9 2 6" xfId="31286"/>
    <cellStyle name="汇总 3 9 2 7" xfId="31287"/>
    <cellStyle name="汇总 3 9 2 8" xfId="31288"/>
    <cellStyle name="汇总 3 9 2 9" xfId="31289"/>
    <cellStyle name="汇总 4" xfId="31290"/>
    <cellStyle name="汇总 4 2" xfId="31291"/>
    <cellStyle name="输出 2 5 2 7" xfId="31292"/>
    <cellStyle name="汇总 4 2 10" xfId="31293"/>
    <cellStyle name="输出 2 5 2 8" xfId="31294"/>
    <cellStyle name="汇总 4 2 11" xfId="31295"/>
    <cellStyle name="输出 2 5 2 9" xfId="31296"/>
    <cellStyle name="汇总 4 2 12" xfId="31297"/>
    <cellStyle name="汇总 4 2 5" xfId="31298"/>
    <cellStyle name="汇总 4 2 6" xfId="31299"/>
    <cellStyle name="汇总 4 2 7" xfId="31300"/>
    <cellStyle name="汇总 4 2 8" xfId="31301"/>
    <cellStyle name="汇总 4 2 9" xfId="31302"/>
    <cellStyle name="汇总 4 3" xfId="31303"/>
    <cellStyle name="汇总 4 4" xfId="31304"/>
    <cellStyle name="汇总 4 5" xfId="31305"/>
    <cellStyle name="汇总 4 6" xfId="31306"/>
    <cellStyle name="汇总 4 7" xfId="31307"/>
    <cellStyle name="汇总 4 8" xfId="31308"/>
    <cellStyle name="货币 2" xfId="31309"/>
    <cellStyle name="货币 2 10" xfId="31310"/>
    <cellStyle name="货币 2 11" xfId="31311"/>
    <cellStyle name="货币 2 12" xfId="31312"/>
    <cellStyle name="货币 2 13" xfId="31313"/>
    <cellStyle name="货币 2 14" xfId="31314"/>
    <cellStyle name="货币 2 15" xfId="31315"/>
    <cellStyle name="货币 2 20" xfId="31316"/>
    <cellStyle name="货币 2 16" xfId="31317"/>
    <cellStyle name="货币 2 21" xfId="31318"/>
    <cellStyle name="货币 2 17" xfId="31319"/>
    <cellStyle name="货币 2 22" xfId="31320"/>
    <cellStyle name="货币 2 18" xfId="31321"/>
    <cellStyle name="货币 2 23" xfId="31322"/>
    <cellStyle name="货币 2 19" xfId="31323"/>
    <cellStyle name="货币 2 2 4 2" xfId="31324"/>
    <cellStyle name="输出 3 2 3 16" xfId="31325"/>
    <cellStyle name="货币 2 2 4 2 2" xfId="31326"/>
    <cellStyle name="输出 3 2 3 17" xfId="31327"/>
    <cellStyle name="货币 2 2 4 2 3" xfId="31328"/>
    <cellStyle name="货币 2 6" xfId="31329"/>
    <cellStyle name="货币 2 7" xfId="31330"/>
    <cellStyle name="货币 2 8" xfId="31331"/>
    <cellStyle name="货币 2 9" xfId="31332"/>
    <cellStyle name="货币 3" xfId="31333"/>
    <cellStyle name="货币 3 19" xfId="31334"/>
    <cellStyle name="输出 2 9 7" xfId="31335"/>
    <cellStyle name="货币 3 2 2" xfId="31336"/>
    <cellStyle name="输出 2 9 8" xfId="31337"/>
    <cellStyle name="货币 3 2 3" xfId="31338"/>
    <cellStyle name="输出 2 9 9" xfId="31339"/>
    <cellStyle name="货币 3 2 4" xfId="31340"/>
    <cellStyle name="货币 3 4 2" xfId="31341"/>
    <cellStyle name="计算 3 2 28" xfId="31342"/>
    <cellStyle name="货币 3 4 2 2" xfId="31343"/>
    <cellStyle name="货币 3 4 2 3" xfId="31344"/>
    <cellStyle name="货币 3 4 3" xfId="31345"/>
    <cellStyle name="货币 3 5" xfId="31346"/>
    <cellStyle name="计算 2" xfId="31347"/>
    <cellStyle name="计算 2 10" xfId="31348"/>
    <cellStyle name="计算 2 10 12" xfId="31349"/>
    <cellStyle name="计算 2 11" xfId="31350"/>
    <cellStyle name="计算 2 12" xfId="31351"/>
    <cellStyle name="计算 2 13" xfId="31352"/>
    <cellStyle name="计算 2 14" xfId="31353"/>
    <cellStyle name="计算 2 15" xfId="31354"/>
    <cellStyle name="计算 2 20" xfId="31355"/>
    <cellStyle name="计算 2 16" xfId="31356"/>
    <cellStyle name="计算 2 21" xfId="31357"/>
    <cellStyle name="计算 2 17" xfId="31358"/>
    <cellStyle name="计算 2 22" xfId="31359"/>
    <cellStyle name="计算 2 18" xfId="31360"/>
    <cellStyle name="计算 2 23" xfId="31361"/>
    <cellStyle name="计算 2 19" xfId="31362"/>
    <cellStyle name="计算 2 24" xfId="31363"/>
    <cellStyle name="计算 2 2" xfId="31364"/>
    <cellStyle name="计算 2 2 10 10" xfId="31365"/>
    <cellStyle name="计算 2 2 10 11" xfId="31366"/>
    <cellStyle name="计算 2 2 10 12" xfId="31367"/>
    <cellStyle name="计算 2 2 10 13" xfId="31368"/>
    <cellStyle name="计算 2 2 10 14" xfId="31369"/>
    <cellStyle name="计算 2 2 10 15" xfId="31370"/>
    <cellStyle name="计算 2 2 10 16" xfId="31371"/>
    <cellStyle name="计算 2 2 10 17" xfId="31372"/>
    <cellStyle name="计算 2 2 10 18" xfId="31373"/>
    <cellStyle name="计算 2 2 10 2" xfId="31374"/>
    <cellStyle name="计算 2 2 10 2 10" xfId="31375"/>
    <cellStyle name="计算 2 2 10 2 11" xfId="31376"/>
    <cellStyle name="计算 2 2 10 2 12" xfId="31377"/>
    <cellStyle name="输出 3 2 12 13" xfId="31378"/>
    <cellStyle name="注释 2 2 9 2 8" xfId="31379"/>
    <cellStyle name="计算 2 2 10 2 2" xfId="31380"/>
    <cellStyle name="输出 3 2 12 14" xfId="31381"/>
    <cellStyle name="注释 2 2 9 2 9" xfId="31382"/>
    <cellStyle name="计算 2 2 10 2 3" xfId="31383"/>
    <cellStyle name="计算 2 2 10 2 4" xfId="31384"/>
    <cellStyle name="计算 2 2 10 2 5" xfId="31385"/>
    <cellStyle name="输入 3 9 10" xfId="31386"/>
    <cellStyle name="计算 2 2 10 2 6" xfId="31387"/>
    <cellStyle name="输入 3 9 11" xfId="31388"/>
    <cellStyle name="计算 2 2 10 2 7" xfId="31389"/>
    <cellStyle name="输入 3 9 12" xfId="31390"/>
    <cellStyle name="计算 2 2 10 2 8" xfId="31391"/>
    <cellStyle name="输入 3 9 13" xfId="31392"/>
    <cellStyle name="计算 2 2 10 2 9" xfId="31393"/>
    <cellStyle name="计算 2 2 10 3" xfId="31394"/>
    <cellStyle name="计算 2 2 10 3 2" xfId="31395"/>
    <cellStyle name="计算 2 2 10 3 2 2" xfId="31396"/>
    <cellStyle name="计算 2 2 10 3 3" xfId="31397"/>
    <cellStyle name="计算 2 2 10 4" xfId="31398"/>
    <cellStyle name="计算 2 2 11 10" xfId="31399"/>
    <cellStyle name="计算 2 2 11 11" xfId="31400"/>
    <cellStyle name="计算 2 2 11 12" xfId="31401"/>
    <cellStyle name="计算 2 2 11 13" xfId="31402"/>
    <cellStyle name="计算 2 2 11 14" xfId="31403"/>
    <cellStyle name="计算 2 2 11 2" xfId="31404"/>
    <cellStyle name="计算 3 2 4 2 7" xfId="31405"/>
    <cellStyle name="计算 2 2 11 2 11" xfId="31406"/>
    <cellStyle name="计算 3 2 4 2 8" xfId="31407"/>
    <cellStyle name="计算 2 2 11 2 12" xfId="31408"/>
    <cellStyle name="计算 2 2 11 2 8" xfId="31409"/>
    <cellStyle name="计算 2 2 11 3" xfId="31410"/>
    <cellStyle name="计算 2 2 11 4" xfId="31411"/>
    <cellStyle name="计算 2 2 11 5" xfId="31412"/>
    <cellStyle name="计算 2 2 11 6" xfId="31413"/>
    <cellStyle name="计算 2 2 11 7" xfId="31414"/>
    <cellStyle name="计算 2 2 11 8" xfId="31415"/>
    <cellStyle name="计算 2 2 11 9" xfId="31416"/>
    <cellStyle name="计算 2 2 12" xfId="31417"/>
    <cellStyle name="计算 2 2 12 14" xfId="31418"/>
    <cellStyle name="计算 2 2 12 2" xfId="31419"/>
    <cellStyle name="计算 3 2 9 2 6" xfId="31420"/>
    <cellStyle name="计算 2 2 12 2 10" xfId="31421"/>
    <cellStyle name="计算 3 2 9 2 7" xfId="31422"/>
    <cellStyle name="计算 2 2 12 2 11" xfId="31423"/>
    <cellStyle name="计算 3 2 9 2 8" xfId="31424"/>
    <cellStyle name="计算 2 2 12 2 12" xfId="31425"/>
    <cellStyle name="计算 2 2 12 2 2" xfId="31426"/>
    <cellStyle name="计算 2 2 12 2 3" xfId="31427"/>
    <cellStyle name="计算 2 2 12 2 4" xfId="31428"/>
    <cellStyle name="计算 2 2 12 2 5" xfId="31429"/>
    <cellStyle name="计算 2 2 12 2 6" xfId="31430"/>
    <cellStyle name="计算 2 2 12 2 7" xfId="31431"/>
    <cellStyle name="计算 2 2 12 2 8" xfId="31432"/>
    <cellStyle name="计算 2 2 12 2 9" xfId="31433"/>
    <cellStyle name="计算 2 2 12 3" xfId="31434"/>
    <cellStyle name="计算 2 2 12 4" xfId="31435"/>
    <cellStyle name="计算 2 2 12 5" xfId="31436"/>
    <cellStyle name="计算 2 2 12 6" xfId="31437"/>
    <cellStyle name="计算 2 2 12 7" xfId="31438"/>
    <cellStyle name="计算 2 2 12 8" xfId="31439"/>
    <cellStyle name="计算 2 2 12 9" xfId="31440"/>
    <cellStyle name="计算 2 2 13" xfId="31441"/>
    <cellStyle name="输入 2 3 2 11" xfId="31442"/>
    <cellStyle name="计算 2 2 13 10" xfId="31443"/>
    <cellStyle name="输入 2 3 2 12" xfId="31444"/>
    <cellStyle name="计算 2 2 13 11" xfId="31445"/>
    <cellStyle name="输入 2 3 2 13" xfId="31446"/>
    <cellStyle name="计算 2 2 13 12" xfId="31447"/>
    <cellStyle name="注释 3 3 15" xfId="31448"/>
    <cellStyle name="计算 2 2 13 2" xfId="31449"/>
    <cellStyle name="注释 3 3 16" xfId="31450"/>
    <cellStyle name="计算 2 2 13 3" xfId="31451"/>
    <cellStyle name="注释 3 3 17" xfId="31452"/>
    <cellStyle name="计算 2 2 13 4" xfId="31453"/>
    <cellStyle name="注释 3 3 18" xfId="31454"/>
    <cellStyle name="计算 2 2 13 5" xfId="31455"/>
    <cellStyle name="计算 2 2 13 6" xfId="31456"/>
    <cellStyle name="计算 2 2 13 7" xfId="31457"/>
    <cellStyle name="计算 2 2 13 8" xfId="31458"/>
    <cellStyle name="计算 2 2 13 9" xfId="31459"/>
    <cellStyle name="计算 2 2 2 10" xfId="31460"/>
    <cellStyle name="计算 2 2 2 11" xfId="31461"/>
    <cellStyle name="计算 2 2 2 12" xfId="31462"/>
    <cellStyle name="计算 2 2 2 13" xfId="31463"/>
    <cellStyle name="计算 2 2 2 14" xfId="31464"/>
    <cellStyle name="计算 2 2 2 15" xfId="31465"/>
    <cellStyle name="计算 2 2 2 16" xfId="31466"/>
    <cellStyle name="计算 2 2 2 17" xfId="31467"/>
    <cellStyle name="计算 3 3 4 2 4" xfId="31468"/>
    <cellStyle name="计算 2 2 2 2" xfId="31469"/>
    <cellStyle name="计算 2 2 2 2 2" xfId="31470"/>
    <cellStyle name="计算 2 2 2 2 5" xfId="31471"/>
    <cellStyle name="计算 2 2 2 2 6" xfId="31472"/>
    <cellStyle name="计算 2 2 2 2 7" xfId="31473"/>
    <cellStyle name="强调文字颜色 2 3 2 3 2 2" xfId="31474"/>
    <cellStyle name="计算 2 2 2 2 8" xfId="31475"/>
    <cellStyle name="强调文字颜色 2 3 2 3 2 3" xfId="31476"/>
    <cellStyle name="计算 2 2 2 2 9" xfId="31477"/>
    <cellStyle name="计算 3 3 4 2 7" xfId="31478"/>
    <cellStyle name="计算 2 2 2 5" xfId="31479"/>
    <cellStyle name="计算 3 3 4 2 8" xfId="31480"/>
    <cellStyle name="计算 2 2 2 6" xfId="31481"/>
    <cellStyle name="计算 2 2 3 17" xfId="31482"/>
    <cellStyle name="计算 2 2 3 18" xfId="31483"/>
    <cellStyle name="计算 2 2 3 19" xfId="31484"/>
    <cellStyle name="计算 2 2 4 10" xfId="31485"/>
    <cellStyle name="计算 2 2 4 11" xfId="31486"/>
    <cellStyle name="计算 2 2 4 12" xfId="31487"/>
    <cellStyle name="计算 2 2 4 13" xfId="31488"/>
    <cellStyle name="计算 2 2 4 14" xfId="31489"/>
    <cellStyle name="计算 2 2 4 15" xfId="31490"/>
    <cellStyle name="计算 2 2 4 17" xfId="31491"/>
    <cellStyle name="计算 2 2 4 2 10" xfId="31492"/>
    <cellStyle name="计算 2 2 4 2 11" xfId="31493"/>
    <cellStyle name="计算 2 2 4 2 12" xfId="31494"/>
    <cellStyle name="计算 2 2 4 2 3" xfId="31495"/>
    <cellStyle name="计算 2 2 4 2 4" xfId="31496"/>
    <cellStyle name="计算 2 2 4 7" xfId="31497"/>
    <cellStyle name="计算 2 2 5 16" xfId="31498"/>
    <cellStyle name="计算 2 2 5 17" xfId="31499"/>
    <cellStyle name="计算 2 2 5 2" xfId="31500"/>
    <cellStyle name="输入 2 2 8 13" xfId="31501"/>
    <cellStyle name="计算 2 2 5 2 10" xfId="31502"/>
    <cellStyle name="输入 2 2 8 14" xfId="31503"/>
    <cellStyle name="计算 2 2 5 2 11" xfId="31504"/>
    <cellStyle name="计算 2 2 5 2 12" xfId="31505"/>
    <cellStyle name="输出 3 3 19" xfId="31506"/>
    <cellStyle name="计算 2 2 5 2 2" xfId="31507"/>
    <cellStyle name="计算 2 2 5 3" xfId="31508"/>
    <cellStyle name="计算 2 2 5 4" xfId="31509"/>
    <cellStyle name="输出 3 2 6 10" xfId="31510"/>
    <cellStyle name="计算 2 2 5 5" xfId="31511"/>
    <cellStyle name="输出 3 2 6 11" xfId="31512"/>
    <cellStyle name="计算 2 2 5 6" xfId="31513"/>
    <cellStyle name="输出 3 2 6 12" xfId="31514"/>
    <cellStyle name="计算 2 2 5 7" xfId="31515"/>
    <cellStyle name="输出 3 2 6 13" xfId="31516"/>
    <cellStyle name="计算 2 2 5 8" xfId="31517"/>
    <cellStyle name="输出 3 2 6 14" xfId="31518"/>
    <cellStyle name="计算 2 2 6 2 10" xfId="31519"/>
    <cellStyle name="计算 2 2 6 2 11" xfId="31520"/>
    <cellStyle name="计算 2 2 7 2" xfId="31521"/>
    <cellStyle name="计算 2 2 7 2 2" xfId="31522"/>
    <cellStyle name="计算 2 2 7 2 3" xfId="31523"/>
    <cellStyle name="计算 2 2 7 2 4" xfId="31524"/>
    <cellStyle name="计算 2 2 7 3" xfId="31525"/>
    <cellStyle name="计算 2 2 8 10" xfId="31526"/>
    <cellStyle name="计算 2 2 8 11" xfId="31527"/>
    <cellStyle name="计算 2 2 8 12" xfId="31528"/>
    <cellStyle name="计算 2 2 8 13" xfId="31529"/>
    <cellStyle name="计算 2 2 8 14" xfId="31530"/>
    <cellStyle name="计算 3 2 13 3" xfId="31531"/>
    <cellStyle name="计算 2 2 8 2 11" xfId="31532"/>
    <cellStyle name="计算 3 2 13 4" xfId="31533"/>
    <cellStyle name="计算 2 2 8 2 12" xfId="31534"/>
    <cellStyle name="计算 2 2 8 2 3" xfId="31535"/>
    <cellStyle name="计算 2 2 8 2 4" xfId="31536"/>
    <cellStyle name="计算 2 2 9 2" xfId="31537"/>
    <cellStyle name="计算 2 2 9 2 10" xfId="31538"/>
    <cellStyle name="计算 2 2 9 2 11" xfId="31539"/>
    <cellStyle name="计算 2 2 9 2 12" xfId="31540"/>
    <cellStyle name="计算 2 2 9 2 5" xfId="31541"/>
    <cellStyle name="计算 2 2 9 2 6" xfId="31542"/>
    <cellStyle name="计算 2 2 9 2 7" xfId="31543"/>
    <cellStyle name="计算 2 2 9 2 8" xfId="31544"/>
    <cellStyle name="计算 2 2 9 2 9" xfId="31545"/>
    <cellStyle name="计算 2 2 9 3" xfId="31546"/>
    <cellStyle name="计算 2 2 9 4" xfId="31547"/>
    <cellStyle name="计算 2 2 9 5" xfId="31548"/>
    <cellStyle name="计算 2 2 9 6" xfId="31549"/>
    <cellStyle name="计算 2 2 9 7" xfId="31550"/>
    <cellStyle name="计算 2 2 9 8" xfId="31551"/>
    <cellStyle name="计算 2 2 9 9" xfId="31552"/>
    <cellStyle name="计算 2 3" xfId="31553"/>
    <cellStyle name="计算 2 3 10" xfId="31554"/>
    <cellStyle name="计算 2 3 12" xfId="31555"/>
    <cellStyle name="计算 2 3 2" xfId="31556"/>
    <cellStyle name="计算 2 3 2 10" xfId="31557"/>
    <cellStyle name="计算 2 3 2 11" xfId="31558"/>
    <cellStyle name="计算 2 3 2 12" xfId="31559"/>
    <cellStyle name="计算 2 3 2 13" xfId="31560"/>
    <cellStyle name="计算 2 3 2 14" xfId="31561"/>
    <cellStyle name="计算 2 3 2 15" xfId="31562"/>
    <cellStyle name="计算 3 2 4 2 2" xfId="31563"/>
    <cellStyle name="计算 2 3 2 16" xfId="31564"/>
    <cellStyle name="计算 3 2 4 2 3" xfId="31565"/>
    <cellStyle name="计算 2 3 2 17" xfId="31566"/>
    <cellStyle name="计算 3 2 4 2 4" xfId="31567"/>
    <cellStyle name="计算 2 3 2 2 10" xfId="31568"/>
    <cellStyle name="计算 2 3 2 2 11" xfId="31569"/>
    <cellStyle name="计算 2 3 2 2 12" xfId="31570"/>
    <cellStyle name="计算 2 3 2 2 5" xfId="31571"/>
    <cellStyle name="计算 2 3 2 2 6" xfId="31572"/>
    <cellStyle name="计算 2 3 2 2 7" xfId="31573"/>
    <cellStyle name="计算 2 3 2 2 8" xfId="31574"/>
    <cellStyle name="计算 2 3 2 2 9" xfId="31575"/>
    <cellStyle name="计算 2 3 2 3" xfId="31576"/>
    <cellStyle name="计算 2 3 2 4" xfId="31577"/>
    <cellStyle name="计算 2 3 2 7" xfId="31578"/>
    <cellStyle name="计算 2 3 3" xfId="31579"/>
    <cellStyle name="计算 2 3 3 10" xfId="31580"/>
    <cellStyle name="计算 2 3 3 11" xfId="31581"/>
    <cellStyle name="计算 2 3 3 12" xfId="31582"/>
    <cellStyle name="计算 2 3 3 13" xfId="31583"/>
    <cellStyle name="计算 2 3 3 14" xfId="31584"/>
    <cellStyle name="计算 2 3 3 15" xfId="31585"/>
    <cellStyle name="计算 2 3 3 16" xfId="31586"/>
    <cellStyle name="计算 2 3 3 17" xfId="31587"/>
    <cellStyle name="计算 2 3 3 2 10" xfId="31588"/>
    <cellStyle name="计算 2 3 3 2 11" xfId="31589"/>
    <cellStyle name="计算 2 3 3 2 12" xfId="31590"/>
    <cellStyle name="计算 2 3 3 2 3" xfId="31591"/>
    <cellStyle name="计算 2 3 3 2 4" xfId="31592"/>
    <cellStyle name="计算 2 3 3 2 5" xfId="31593"/>
    <cellStyle name="计算 2 3 3 5" xfId="31594"/>
    <cellStyle name="计算 2 3 4" xfId="31595"/>
    <cellStyle name="计算 2 3 4 11" xfId="31596"/>
    <cellStyle name="计算 2 3 4 12" xfId="31597"/>
    <cellStyle name="计算 2 3 4 13" xfId="31598"/>
    <cellStyle name="计算 2 3 4 14" xfId="31599"/>
    <cellStyle name="计算 2 3 4 15" xfId="31600"/>
    <cellStyle name="计算 2 3 4 16" xfId="31601"/>
    <cellStyle name="计算 2 3 4 17" xfId="31602"/>
    <cellStyle name="计算 2 3 4 2" xfId="31603"/>
    <cellStyle name="计算 2 3 4 2 10" xfId="31604"/>
    <cellStyle name="强调 3 2" xfId="31605"/>
    <cellStyle name="计算 2 3 4 2 3" xfId="31606"/>
    <cellStyle name="强调 3 3" xfId="31607"/>
    <cellStyle name="计算 2 3 4 2 4" xfId="31608"/>
    <cellStyle name="强调 3 4" xfId="31609"/>
    <cellStyle name="计算 2 3 4 2 5" xfId="31610"/>
    <cellStyle name="强调 3 5" xfId="31611"/>
    <cellStyle name="计算 2 3 4 2 6" xfId="31612"/>
    <cellStyle name="强调 3 6" xfId="31613"/>
    <cellStyle name="计算 2 3 4 2 7" xfId="31614"/>
    <cellStyle name="强调 3 7" xfId="31615"/>
    <cellStyle name="计算 2 3 4 2 8" xfId="31616"/>
    <cellStyle name="强调 3 8" xfId="31617"/>
    <cellStyle name="计算 2 3 4 2 9" xfId="31618"/>
    <cellStyle name="计算 2 3 5" xfId="31619"/>
    <cellStyle name="计算 2 3 5 2" xfId="31620"/>
    <cellStyle name="计算 2 3 5 2 10" xfId="31621"/>
    <cellStyle name="计算 2 3 6" xfId="31622"/>
    <cellStyle name="计算 2 3 6 2" xfId="31623"/>
    <cellStyle name="计算 2 3 6 3" xfId="31624"/>
    <cellStyle name="计算 2 3 7" xfId="31625"/>
    <cellStyle name="计算 2 3 8" xfId="31626"/>
    <cellStyle name="计算 2 3 9" xfId="31627"/>
    <cellStyle name="计算 2 4" xfId="31628"/>
    <cellStyle name="输出 2 2 6 15" xfId="31629"/>
    <cellStyle name="输出 2 2 6 20" xfId="31630"/>
    <cellStyle name="计算 2 4 2 10" xfId="31631"/>
    <cellStyle name="输出 2 2 6 16" xfId="31632"/>
    <cellStyle name="输出 2 2 6 21" xfId="31633"/>
    <cellStyle name="计算 2 4 2 11" xfId="31634"/>
    <cellStyle name="输出 2 2 6 17" xfId="31635"/>
    <cellStyle name="计算 2 4 2 12" xfId="31636"/>
    <cellStyle name="输出 2 2 6 3" xfId="31637"/>
    <cellStyle name="计算 2 4 2 2" xfId="31638"/>
    <cellStyle name="输出 2 2 6 4" xfId="31639"/>
    <cellStyle name="计算 2 4 2 3" xfId="31640"/>
    <cellStyle name="输出 2 2 6 5" xfId="31641"/>
    <cellStyle name="计算 2 4 2 4" xfId="31642"/>
    <cellStyle name="输出 2 2 6 8" xfId="31643"/>
    <cellStyle name="计算 2 4 2 7" xfId="31644"/>
    <cellStyle name="输出 2 2 6 9" xfId="31645"/>
    <cellStyle name="计算 2 4 2 8" xfId="31646"/>
    <cellStyle name="计算 2 4 2 9" xfId="31647"/>
    <cellStyle name="计算 2 4 3" xfId="31648"/>
    <cellStyle name="计算 2 4 4" xfId="31649"/>
    <cellStyle name="计算 2 4 5" xfId="31650"/>
    <cellStyle name="计算 2 4 6" xfId="31651"/>
    <cellStyle name="计算 2 5" xfId="31652"/>
    <cellStyle name="计算 2 5 10" xfId="31653"/>
    <cellStyle name="计算 2 5 11" xfId="31654"/>
    <cellStyle name="计算 2 5 12" xfId="31655"/>
    <cellStyle name="计算 2 5 14" xfId="31656"/>
    <cellStyle name="计算 2 5 15" xfId="31657"/>
    <cellStyle name="计算 2 5 16" xfId="31658"/>
    <cellStyle name="计算 2 5 17" xfId="31659"/>
    <cellStyle name="输入 3 2 12 14" xfId="31660"/>
    <cellStyle name="计算 2 5 2" xfId="31661"/>
    <cellStyle name="计算 2 5 2 10" xfId="31662"/>
    <cellStyle name="计算 2 5 2 11" xfId="31663"/>
    <cellStyle name="计算 2 5 2 12" xfId="31664"/>
    <cellStyle name="输出 2 3 6 8" xfId="31665"/>
    <cellStyle name="计算 2 5 2 7" xfId="31666"/>
    <cellStyle name="输出 2 3 6 9" xfId="31667"/>
    <cellStyle name="计算 2 5 2 8" xfId="31668"/>
    <cellStyle name="计算 2 5 2 9" xfId="31669"/>
    <cellStyle name="计算 2 5 3" xfId="31670"/>
    <cellStyle name="计算 2 5 4" xfId="31671"/>
    <cellStyle name="计算 2 5 5" xfId="31672"/>
    <cellStyle name="计算 2 5 6" xfId="31673"/>
    <cellStyle name="计算 2 5 7" xfId="31674"/>
    <cellStyle name="计算 2 5 8" xfId="31675"/>
    <cellStyle name="计算 2 5 9" xfId="31676"/>
    <cellStyle name="计算 2 6" xfId="31677"/>
    <cellStyle name="计算 2 6 10" xfId="31678"/>
    <cellStyle name="计算 2 6 11" xfId="31679"/>
    <cellStyle name="计算 2 6 12" xfId="31680"/>
    <cellStyle name="计算 2 6 13" xfId="31681"/>
    <cellStyle name="计算 2 6 14" xfId="31682"/>
    <cellStyle name="计算 2 6 15" xfId="31683"/>
    <cellStyle name="计算 2 6 16" xfId="31684"/>
    <cellStyle name="计算 2 6 17" xfId="31685"/>
    <cellStyle name="计算 2 6 2" xfId="31686"/>
    <cellStyle name="计算 2 6 3" xfId="31687"/>
    <cellStyle name="计算 2 6 4" xfId="31688"/>
    <cellStyle name="计算 2 7" xfId="31689"/>
    <cellStyle name="计算 2 7 10" xfId="31690"/>
    <cellStyle name="计算 2 7 11" xfId="31691"/>
    <cellStyle name="计算 2 7 12" xfId="31692"/>
    <cellStyle name="计算 2 7 13" xfId="31693"/>
    <cellStyle name="计算 2 7 14" xfId="31694"/>
    <cellStyle name="计算 2 7 15" xfId="31695"/>
    <cellStyle name="计算 2 7 16" xfId="31696"/>
    <cellStyle name="计算 2 7 17" xfId="31697"/>
    <cellStyle name="计算 2 7 2 11" xfId="31698"/>
    <cellStyle name="计算 2 7 2 12" xfId="31699"/>
    <cellStyle name="计算 2 7 2 2" xfId="31700"/>
    <cellStyle name="计算 2 7 2 3" xfId="31701"/>
    <cellStyle name="计算 2 7 2 4" xfId="31702"/>
    <cellStyle name="计算 2 7 3" xfId="31703"/>
    <cellStyle name="计算 2 7 4" xfId="31704"/>
    <cellStyle name="计算 2 7 5" xfId="31705"/>
    <cellStyle name="计算 2 7 6" xfId="31706"/>
    <cellStyle name="计算 2 7 7" xfId="31707"/>
    <cellStyle name="计算 2 7 8" xfId="31708"/>
    <cellStyle name="计算 2 7 9" xfId="31709"/>
    <cellStyle name="计算 2 8" xfId="31710"/>
    <cellStyle name="计算 2 8 2" xfId="31711"/>
    <cellStyle name="计算 2 8 2 7" xfId="31712"/>
    <cellStyle name="计算 2 8 2 8" xfId="31713"/>
    <cellStyle name="计算 2 8 2 9" xfId="31714"/>
    <cellStyle name="计算 2 8 3" xfId="31715"/>
    <cellStyle name="计算 2 8 4" xfId="31716"/>
    <cellStyle name="计算 2 8 5" xfId="31717"/>
    <cellStyle name="计算 2 8 6" xfId="31718"/>
    <cellStyle name="计算 2 8 7" xfId="31719"/>
    <cellStyle name="计算 2 8 8" xfId="31720"/>
    <cellStyle name="计算 2 8 9" xfId="31721"/>
    <cellStyle name="计算 2 9" xfId="31722"/>
    <cellStyle name="计算 2 9 2" xfId="31723"/>
    <cellStyle name="计算 2 9 2 10" xfId="31724"/>
    <cellStyle name="计算 2 9 2 11" xfId="31725"/>
    <cellStyle name="计算 2 9 2 12" xfId="31726"/>
    <cellStyle name="计算 2 9 2 2" xfId="31727"/>
    <cellStyle name="计算 2 9 2 3" xfId="31728"/>
    <cellStyle name="计算 2 9 2 4" xfId="31729"/>
    <cellStyle name="计算 2 9 2 5" xfId="31730"/>
    <cellStyle name="计算 2 9 2 6" xfId="31731"/>
    <cellStyle name="计算 2 9 2 7" xfId="31732"/>
    <cellStyle name="计算 2 9 2 8" xfId="31733"/>
    <cellStyle name="计算 2 9 2 9" xfId="31734"/>
    <cellStyle name="计算 2 9 3" xfId="31735"/>
    <cellStyle name="计算 2 9 4" xfId="31736"/>
    <cellStyle name="计算 2 9 5" xfId="31737"/>
    <cellStyle name="计算 2 9 6" xfId="31738"/>
    <cellStyle name="计算 2 9 7" xfId="31739"/>
    <cellStyle name="计算 2 9 8" xfId="31740"/>
    <cellStyle name="计算 2 9 9" xfId="31741"/>
    <cellStyle name="计算 3" xfId="31742"/>
    <cellStyle name="计算 3 10 10" xfId="31743"/>
    <cellStyle name="计算 3 10 11" xfId="31744"/>
    <cellStyle name="计算 3 10 12" xfId="31745"/>
    <cellStyle name="计算 3 11" xfId="31746"/>
    <cellStyle name="计算 3 12" xfId="31747"/>
    <cellStyle name="计算 3 13" xfId="31748"/>
    <cellStyle name="计算 3 14" xfId="31749"/>
    <cellStyle name="计算 3 15" xfId="31750"/>
    <cellStyle name="计算 3 20" xfId="31751"/>
    <cellStyle name="计算 3 16" xfId="31752"/>
    <cellStyle name="计算 3 21" xfId="31753"/>
    <cellStyle name="计算 3 17" xfId="31754"/>
    <cellStyle name="计算 3 22" xfId="31755"/>
    <cellStyle name="计算 3 18" xfId="31756"/>
    <cellStyle name="计算 3 23" xfId="31757"/>
    <cellStyle name="计算 3 19" xfId="31758"/>
    <cellStyle name="计算 3 24" xfId="31759"/>
    <cellStyle name="计算 3 2" xfId="31760"/>
    <cellStyle name="计算 3 2 10" xfId="31761"/>
    <cellStyle name="输出 3 2 7 2" xfId="31762"/>
    <cellStyle name="计算 3 2 10 10" xfId="31763"/>
    <cellStyle name="输出 3 2 7 3" xfId="31764"/>
    <cellStyle name="计算 3 2 10 11" xfId="31765"/>
    <cellStyle name="输出 3 2 7 4" xfId="31766"/>
    <cellStyle name="计算 3 2 10 12" xfId="31767"/>
    <cellStyle name="输出 3 2 7 5" xfId="31768"/>
    <cellStyle name="计算 3 2 10 13" xfId="31769"/>
    <cellStyle name="输出 3 2 7 6" xfId="31770"/>
    <cellStyle name="计算 3 2 10 14" xfId="31771"/>
    <cellStyle name="输入 2 2 3 9" xfId="31772"/>
    <cellStyle name="计算 3 2 10 2" xfId="31773"/>
    <cellStyle name="计算 3 2 10 2 10" xfId="31774"/>
    <cellStyle name="计算 3 2 10 2 11" xfId="31775"/>
    <cellStyle name="计算 3 2 10 2 12" xfId="31776"/>
    <cellStyle name="计算 3 2 10 3" xfId="31777"/>
    <cellStyle name="计算 3 2 10 4" xfId="31778"/>
    <cellStyle name="计算 3 2 10 5" xfId="31779"/>
    <cellStyle name="计算 3 2 10 6" xfId="31780"/>
    <cellStyle name="计算 3 2 10 7" xfId="31781"/>
    <cellStyle name="计算 3 2 10 8" xfId="31782"/>
    <cellStyle name="计算 3 2 10 9" xfId="31783"/>
    <cellStyle name="计算 3 2 11" xfId="31784"/>
    <cellStyle name="输入 2 2 4 9" xfId="31785"/>
    <cellStyle name="计算 3 2 11 2" xfId="31786"/>
    <cellStyle name="计算 3 2 11 2 11" xfId="31787"/>
    <cellStyle name="计算 3 2 11 2 12" xfId="31788"/>
    <cellStyle name="计算 3 2 11 3" xfId="31789"/>
    <cellStyle name="计算 3 2 11 4" xfId="31790"/>
    <cellStyle name="计算 3 2 11 5" xfId="31791"/>
    <cellStyle name="计算 3 2 11 6" xfId="31792"/>
    <cellStyle name="计算 3 2 11 7" xfId="31793"/>
    <cellStyle name="计算 3 2 11 8" xfId="31794"/>
    <cellStyle name="计算 3 2 11 9" xfId="31795"/>
    <cellStyle name="输入 2 2 5 9" xfId="31796"/>
    <cellStyle name="计算 3 2 12 2" xfId="31797"/>
    <cellStyle name="计算 3 2 12 2 10" xfId="31798"/>
    <cellStyle name="计算 3 2 12 2 6" xfId="31799"/>
    <cellStyle name="计算 3 2 12 2 7" xfId="31800"/>
    <cellStyle name="计算 3 2 12 2 8" xfId="31801"/>
    <cellStyle name="计算 3 2 12 2 9" xfId="31802"/>
    <cellStyle name="计算 3 2 12 3" xfId="31803"/>
    <cellStyle name="计算 3 2 12 4" xfId="31804"/>
    <cellStyle name="计算 3 2 12 5" xfId="31805"/>
    <cellStyle name="计算 3 2 12 6" xfId="31806"/>
    <cellStyle name="计算 3 2 12 7" xfId="31807"/>
    <cellStyle name="计算 3 2 12 9" xfId="31808"/>
    <cellStyle name="计算 3 2 13 5" xfId="31809"/>
    <cellStyle name="计算 3 2 13 6" xfId="31810"/>
    <cellStyle name="计算 3 2 13 7" xfId="31811"/>
    <cellStyle name="计算 3 2 13 8" xfId="31812"/>
    <cellStyle name="计算 3 2 13 9" xfId="31813"/>
    <cellStyle name="计算 3 2 14" xfId="31814"/>
    <cellStyle name="计算 3 2 15" xfId="31815"/>
    <cellStyle name="计算 3 2 20" xfId="31816"/>
    <cellStyle name="计算 3 2 16" xfId="31817"/>
    <cellStyle name="计算 3 2 21" xfId="31818"/>
    <cellStyle name="计算 3 2 17" xfId="31819"/>
    <cellStyle name="计算 3 2 22" xfId="31820"/>
    <cellStyle name="计算 3 2 18" xfId="31821"/>
    <cellStyle name="计算 3 2 23" xfId="31822"/>
    <cellStyle name="计算 3 2 19" xfId="31823"/>
    <cellStyle name="计算 3 2 24" xfId="31824"/>
    <cellStyle name="计算 3 2 2" xfId="31825"/>
    <cellStyle name="计算 3 2 2 2" xfId="31826"/>
    <cellStyle name="计算 3 2 2 2 10" xfId="31827"/>
    <cellStyle name="计算 3 2 2 2 11" xfId="31828"/>
    <cellStyle name="计算 3 2 2 5" xfId="31829"/>
    <cellStyle name="计算 3 2 2 6" xfId="31830"/>
    <cellStyle name="计算 3 2 25" xfId="31831"/>
    <cellStyle name="计算 3 2 26" xfId="31832"/>
    <cellStyle name="计算 3 2 27" xfId="31833"/>
    <cellStyle name="计算 3 2 3" xfId="31834"/>
    <cellStyle name="计算 3 2 3 10" xfId="31835"/>
    <cellStyle name="计算 3 2 3 11" xfId="31836"/>
    <cellStyle name="计算 3 2 3 14" xfId="31837"/>
    <cellStyle name="计算 3 2 3 15" xfId="31838"/>
    <cellStyle name="计算 3 2 3 20" xfId="31839"/>
    <cellStyle name="计算 3 2 3 16" xfId="31840"/>
    <cellStyle name="计算 3 2 3 21" xfId="31841"/>
    <cellStyle name="计算 3 2 3 17" xfId="31842"/>
    <cellStyle name="计算 3 2 3 2" xfId="31843"/>
    <cellStyle name="计算 3 2 3 2 10" xfId="31844"/>
    <cellStyle name="计算 3 2 3 2 11" xfId="31845"/>
    <cellStyle name="计算 3 2 3 2 6" xfId="31846"/>
    <cellStyle name="计算 3 2 3 2 7" xfId="31847"/>
    <cellStyle name="强调 1 5 2" xfId="31848"/>
    <cellStyle name="计算 3 2 3 2 8" xfId="31849"/>
    <cellStyle name="强调 1 5 3" xfId="31850"/>
    <cellStyle name="计算 3 2 3 2 9" xfId="31851"/>
    <cellStyle name="计算 3 2 3 3" xfId="31852"/>
    <cellStyle name="计算 3 2 3 3 2" xfId="31853"/>
    <cellStyle name="计算 3 2 3 3 3" xfId="31854"/>
    <cellStyle name="计算 3 2 3 4" xfId="31855"/>
    <cellStyle name="计算 3 2 3 7" xfId="31856"/>
    <cellStyle name="计算 3 2 3 8" xfId="31857"/>
    <cellStyle name="计算 3 2 3 9" xfId="31858"/>
    <cellStyle name="计算 3 2 4" xfId="31859"/>
    <cellStyle name="计算 3 2 4 10" xfId="31860"/>
    <cellStyle name="计算 3 2 4 11" xfId="31861"/>
    <cellStyle name="计算 3 2 4 12" xfId="31862"/>
    <cellStyle name="计算 3 2 4 13" xfId="31863"/>
    <cellStyle name="计算 3 2 4 14" xfId="31864"/>
    <cellStyle name="计算 3 2 4 15" xfId="31865"/>
    <cellStyle name="计算 3 2 4 16" xfId="31866"/>
    <cellStyle name="计算 3 2 4 17" xfId="31867"/>
    <cellStyle name="计算 3 2 4 2" xfId="31868"/>
    <cellStyle name="计算 3 2 4 2 10" xfId="31869"/>
    <cellStyle name="计算 3 2 4 2 11" xfId="31870"/>
    <cellStyle name="计算 3 2 4 3" xfId="31871"/>
    <cellStyle name="计算 3 2 4 4" xfId="31872"/>
    <cellStyle name="计算 3 2 4 7" xfId="31873"/>
    <cellStyle name="计算 3 2 4 8" xfId="31874"/>
    <cellStyle name="计算 3 2 4 9" xfId="31875"/>
    <cellStyle name="计算 3 2 5" xfId="31876"/>
    <cellStyle name="计算 3 2 5 10" xfId="31877"/>
    <cellStyle name="计算 3 2 5 11" xfId="31878"/>
    <cellStyle name="计算 3 2 5 12" xfId="31879"/>
    <cellStyle name="计算 3 2 5 13" xfId="31880"/>
    <cellStyle name="计算 3 2 5 14" xfId="31881"/>
    <cellStyle name="计算 3 2 5 15" xfId="31882"/>
    <cellStyle name="计算 3 2 5 16" xfId="31883"/>
    <cellStyle name="计算 3 2 5 17" xfId="31884"/>
    <cellStyle name="输出 2 2 12 13" xfId="31885"/>
    <cellStyle name="计算 3 2 5 2" xfId="31886"/>
    <cellStyle name="检查单元格 3 2 15" xfId="31887"/>
    <cellStyle name="计算 3 2 5 2 10" xfId="31888"/>
    <cellStyle name="计算 3 2 5 2 11" xfId="31889"/>
    <cellStyle name="计算 3 2 5 2 5" xfId="31890"/>
    <cellStyle name="计算 3 2 5 2 6" xfId="31891"/>
    <cellStyle name="输出 2 2 12 14" xfId="31892"/>
    <cellStyle name="计算 3 2 5 3" xfId="31893"/>
    <cellStyle name="检查单元格 3 2 16" xfId="31894"/>
    <cellStyle name="计算 3 2 5 4" xfId="31895"/>
    <cellStyle name="检查单元格 3 2 17" xfId="31896"/>
    <cellStyle name="计算 3 2 5 5" xfId="31897"/>
    <cellStyle name="计算 3 2 5 6" xfId="31898"/>
    <cellStyle name="计算 3 2 5 7" xfId="31899"/>
    <cellStyle name="计算 3 2 5 8" xfId="31900"/>
    <cellStyle name="计算 3 2 6" xfId="31901"/>
    <cellStyle name="计算 3 2 6 11" xfId="31902"/>
    <cellStyle name="计算 3 2 6 12" xfId="31903"/>
    <cellStyle name="计算 3 2 6 13" xfId="31904"/>
    <cellStyle name="计算 3 2 6 14" xfId="31905"/>
    <cellStyle name="计算 3 2 6 15" xfId="31906"/>
    <cellStyle name="计算 3 2 6 16" xfId="31907"/>
    <cellStyle name="计算 3 2 6 17" xfId="31908"/>
    <cellStyle name="计算 3 2 6 2" xfId="31909"/>
    <cellStyle name="计算 3 2 6 2 2" xfId="31910"/>
    <cellStyle name="计算 3 2 6 2 3" xfId="31911"/>
    <cellStyle name="计算 3 2 6 2 4" xfId="31912"/>
    <cellStyle name="计算 3 2 6 2 5" xfId="31913"/>
    <cellStyle name="计算 3 2 6 2 6" xfId="31914"/>
    <cellStyle name="计算 3 2 6 2 7" xfId="31915"/>
    <cellStyle name="计算 3 2 6 2 8" xfId="31916"/>
    <cellStyle name="计算 3 2 6 2 9" xfId="31917"/>
    <cellStyle name="计算 3 2 6 3" xfId="31918"/>
    <cellStyle name="计算 3 2 6 4" xfId="31919"/>
    <cellStyle name="计算 3 2 6 5" xfId="31920"/>
    <cellStyle name="计算 3 2 6 6" xfId="31921"/>
    <cellStyle name="计算 3 2 6 7" xfId="31922"/>
    <cellStyle name="计算 3 2 6 8" xfId="31923"/>
    <cellStyle name="计算 3 2 7" xfId="31924"/>
    <cellStyle name="计算 3 2 7 2" xfId="31925"/>
    <cellStyle name="计算 3 2 7 2 9" xfId="31926"/>
    <cellStyle name="计算 3 2 7 3" xfId="31927"/>
    <cellStyle name="计算 3 2 7 4" xfId="31928"/>
    <cellStyle name="计算 3 2 7 5" xfId="31929"/>
    <cellStyle name="计算 3 2 7 6" xfId="31930"/>
    <cellStyle name="计算 3 2 8" xfId="31931"/>
    <cellStyle name="强调文字颜色 2 3 2 11" xfId="31932"/>
    <cellStyle name="计算 3 2 8 10" xfId="31933"/>
    <cellStyle name="强调文字颜色 2 3 2 12" xfId="31934"/>
    <cellStyle name="计算 3 2 8 11" xfId="31935"/>
    <cellStyle name="强调文字颜色 2 3 2 15" xfId="31936"/>
    <cellStyle name="计算 3 2 8 14" xfId="31937"/>
    <cellStyle name="输入 2 2 10 2 4" xfId="31938"/>
    <cellStyle name="计算 3 2 8 2" xfId="31939"/>
    <cellStyle name="计算 3 2 8 2 10" xfId="31940"/>
    <cellStyle name="计算 3 2 8 2 11" xfId="31941"/>
    <cellStyle name="计算 3 2 8 2 12" xfId="31942"/>
    <cellStyle name="计算 3 2 8 2 2" xfId="31943"/>
    <cellStyle name="计算 3 2 8 2 3" xfId="31944"/>
    <cellStyle name="计算 3 2 8 2 4" xfId="31945"/>
    <cellStyle name="计算 3 2 8 2 5" xfId="31946"/>
    <cellStyle name="计算 3 2 8 2 6" xfId="31947"/>
    <cellStyle name="计算 3 2 8 2 7" xfId="31948"/>
    <cellStyle name="计算 3 2 8 2 8" xfId="31949"/>
    <cellStyle name="千位分隔 2 2 2" xfId="31950"/>
    <cellStyle name="计算 3 2 8 2 9" xfId="31951"/>
    <cellStyle name="计算 3 2 9" xfId="31952"/>
    <cellStyle name="输出 3 3 2 2 4" xfId="31953"/>
    <cellStyle name="计算 3 2 9 10" xfId="31954"/>
    <cellStyle name="输出 3 3 2 2 5" xfId="31955"/>
    <cellStyle name="计算 3 2 9 11" xfId="31956"/>
    <cellStyle name="输出 3 3 2 2 6" xfId="31957"/>
    <cellStyle name="计算 3 2 9 12" xfId="31958"/>
    <cellStyle name="输出 3 3 2 2 7" xfId="31959"/>
    <cellStyle name="计算 3 2 9 13" xfId="31960"/>
    <cellStyle name="输出 3 3 2 2 8" xfId="31961"/>
    <cellStyle name="计算 3 2 9 14" xfId="31962"/>
    <cellStyle name="计算 3 2 9 2" xfId="31963"/>
    <cellStyle name="计算 3 2 9 2 10" xfId="31964"/>
    <cellStyle name="计算 3 2 9 2 11" xfId="31965"/>
    <cellStyle name="计算 3 2 9 2 2" xfId="31966"/>
    <cellStyle name="计算 3 2 9 2 3" xfId="31967"/>
    <cellStyle name="计算 3 2 9 2 4" xfId="31968"/>
    <cellStyle name="计算 3 2 9 2 5" xfId="31969"/>
    <cellStyle name="计算 3 2 9 6" xfId="31970"/>
    <cellStyle name="计算 3 2 9 7" xfId="31971"/>
    <cellStyle name="计算 3 2 9 8" xfId="31972"/>
    <cellStyle name="计算 3 2 9 9" xfId="31973"/>
    <cellStyle name="计算 3 3" xfId="31974"/>
    <cellStyle name="计算 3 3 11" xfId="31975"/>
    <cellStyle name="计算 3 3 12" xfId="31976"/>
    <cellStyle name="计算 3 3 13" xfId="31977"/>
    <cellStyle name="计算 3 3 14" xfId="31978"/>
    <cellStyle name="计算 3 3 15" xfId="31979"/>
    <cellStyle name="计算 3 3 20" xfId="31980"/>
    <cellStyle name="计算 3 3 16" xfId="31981"/>
    <cellStyle name="计算 3 3 17" xfId="31982"/>
    <cellStyle name="计算 3 3 18" xfId="31983"/>
    <cellStyle name="计算 3 3 19" xfId="31984"/>
    <cellStyle name="计算 3 3 2" xfId="31985"/>
    <cellStyle name="计算 3 3 2 2 10" xfId="31986"/>
    <cellStyle name="计算 3 3 2 2 11" xfId="31987"/>
    <cellStyle name="计算 3 3 2 2 12" xfId="31988"/>
    <cellStyle name="计算 3 3 2 2 5" xfId="31989"/>
    <cellStyle name="计算 3 9 3" xfId="31990"/>
    <cellStyle name="计算 3 3 2 2 6" xfId="31991"/>
    <cellStyle name="计算 3 9 4" xfId="31992"/>
    <cellStyle name="计算 3 3 2 2 7" xfId="31993"/>
    <cellStyle name="计算 3 9 5" xfId="31994"/>
    <cellStyle name="计算 3 3 2 2 8" xfId="31995"/>
    <cellStyle name="计算 3 9 6" xfId="31996"/>
    <cellStyle name="计算 3 3 2 2 9" xfId="31997"/>
    <cellStyle name="计算 3 9 7" xfId="31998"/>
    <cellStyle name="计算 3 3 2 7" xfId="31999"/>
    <cellStyle name="计算 3 3 3" xfId="32000"/>
    <cellStyle name="计算 3 3 3 16" xfId="32001"/>
    <cellStyle name="计算 3 3 3 2" xfId="32002"/>
    <cellStyle name="计算 3 3 3 2 3" xfId="32003"/>
    <cellStyle name="计算 3 3 3 2 4" xfId="32004"/>
    <cellStyle name="计算 3 3 3 2 5" xfId="32005"/>
    <cellStyle name="计算 3 3 3 2 6" xfId="32006"/>
    <cellStyle name="计算 3 3 3 2 7" xfId="32007"/>
    <cellStyle name="计算 3 3 3 2 8" xfId="32008"/>
    <cellStyle name="计算 3 3 3 2 9" xfId="32009"/>
    <cellStyle name="计算 3 3 3 3" xfId="32010"/>
    <cellStyle name="计算 3 3 3 4" xfId="32011"/>
    <cellStyle name="计算 3 3 3 5" xfId="32012"/>
    <cellStyle name="计算 3 3 3 6" xfId="32013"/>
    <cellStyle name="计算 3 3 3 7" xfId="32014"/>
    <cellStyle name="计算 3 3 3 8" xfId="32015"/>
    <cellStyle name="计算 3 3 3 9" xfId="32016"/>
    <cellStyle name="计算 3 3 4" xfId="32017"/>
    <cellStyle name="计算 3 3 4 2 11" xfId="32018"/>
    <cellStyle name="计算 3 3 4 7" xfId="32019"/>
    <cellStyle name="计算 3 3 4 8" xfId="32020"/>
    <cellStyle name="计算 3 3 4 9" xfId="32021"/>
    <cellStyle name="计算 3 3 5" xfId="32022"/>
    <cellStyle name="计算 3 3 5 2" xfId="32023"/>
    <cellStyle name="计算 3 3 5 3" xfId="32024"/>
    <cellStyle name="计算 3 3 5 4" xfId="32025"/>
    <cellStyle name="计算 3 3 5 5" xfId="32026"/>
    <cellStyle name="计算 3 3 5 6" xfId="32027"/>
    <cellStyle name="计算 3 3 5 7" xfId="32028"/>
    <cellStyle name="计算 3 3 5 8" xfId="32029"/>
    <cellStyle name="计算 3 3 6" xfId="32030"/>
    <cellStyle name="计算 3 3 7" xfId="32031"/>
    <cellStyle name="计算 3 3 8" xfId="32032"/>
    <cellStyle name="计算 3 3 9" xfId="32033"/>
    <cellStyle name="计算 3 4" xfId="32034"/>
    <cellStyle name="计算 3 4 2" xfId="32035"/>
    <cellStyle name="输出 3 2 6 3" xfId="32036"/>
    <cellStyle name="计算 3 4 2 2" xfId="32037"/>
    <cellStyle name="输出 3 2 6 4" xfId="32038"/>
    <cellStyle name="计算 3 4 2 3" xfId="32039"/>
    <cellStyle name="输出 3 2 6 5" xfId="32040"/>
    <cellStyle name="计算 3 4 2 4" xfId="32041"/>
    <cellStyle name="输入 2 3 5 3 3" xfId="32042"/>
    <cellStyle name="输出 3 2 6 8" xfId="32043"/>
    <cellStyle name="计算 3 4 2 7" xfId="32044"/>
    <cellStyle name="输出 3 2 6 9" xfId="32045"/>
    <cellStyle name="计算 3 4 2 8" xfId="32046"/>
    <cellStyle name="计算 3 4 2 9" xfId="32047"/>
    <cellStyle name="计算 3 4 3" xfId="32048"/>
    <cellStyle name="计算 3 4 4" xfId="32049"/>
    <cellStyle name="计算 3 4 5" xfId="32050"/>
    <cellStyle name="计算 3 4 6" xfId="32051"/>
    <cellStyle name="计算 3 4 7" xfId="32052"/>
    <cellStyle name="计算 3 4 8" xfId="32053"/>
    <cellStyle name="计算 3 4 9" xfId="32054"/>
    <cellStyle name="计算 3 5" xfId="32055"/>
    <cellStyle name="计算 3 5 15" xfId="32056"/>
    <cellStyle name="计算 3 5 16" xfId="32057"/>
    <cellStyle name="计算 3 5 17" xfId="32058"/>
    <cellStyle name="计算 3 6" xfId="32059"/>
    <cellStyle name="注释 3 2 4 2 6" xfId="32060"/>
    <cellStyle name="计算 3 6 15" xfId="32061"/>
    <cellStyle name="注释 3 2 4 2 7" xfId="32062"/>
    <cellStyle name="计算 3 6 16" xfId="32063"/>
    <cellStyle name="注释 3 2 4 2 8" xfId="32064"/>
    <cellStyle name="计算 3 6 17" xfId="32065"/>
    <cellStyle name="计算 3 6 2" xfId="32066"/>
    <cellStyle name="计算 3 6 2 2" xfId="32067"/>
    <cellStyle name="计算 3 6 2 3" xfId="32068"/>
    <cellStyle name="计算 3 6 2 4" xfId="32069"/>
    <cellStyle name="计算 3 6 3" xfId="32070"/>
    <cellStyle name="计算 3 6 4" xfId="32071"/>
    <cellStyle name="计算 3 6 5" xfId="32072"/>
    <cellStyle name="计算 3 6 6" xfId="32073"/>
    <cellStyle name="计算 3 6 7" xfId="32074"/>
    <cellStyle name="计算 3 6 8" xfId="32075"/>
    <cellStyle name="计算 3 6 9" xfId="32076"/>
    <cellStyle name="计算 3 7" xfId="32077"/>
    <cellStyle name="计算 3 7 10" xfId="32078"/>
    <cellStyle name="计算 3 7 13" xfId="32079"/>
    <cellStyle name="计算 3 7 14" xfId="32080"/>
    <cellStyle name="计算 3 7 15" xfId="32081"/>
    <cellStyle name="计算 3 7 16" xfId="32082"/>
    <cellStyle name="计算 3 7 2" xfId="32083"/>
    <cellStyle name="计算 3 7 3" xfId="32084"/>
    <cellStyle name="计算 3 7 4" xfId="32085"/>
    <cellStyle name="计算 3 7 5" xfId="32086"/>
    <cellStyle name="计算 3 7 6" xfId="32087"/>
    <cellStyle name="计算 3 7 7" xfId="32088"/>
    <cellStyle name="计算 3 8" xfId="32089"/>
    <cellStyle name="计算 3 8 10" xfId="32090"/>
    <cellStyle name="计算 3 8 11" xfId="32091"/>
    <cellStyle name="计算 3 8 12" xfId="32092"/>
    <cellStyle name="计算 3 8 13" xfId="32093"/>
    <cellStyle name="计算 3 8 14" xfId="32094"/>
    <cellStyle name="计算 3 8 15" xfId="32095"/>
    <cellStyle name="计算 3 8 16" xfId="32096"/>
    <cellStyle name="计算 3 8 2 2" xfId="32097"/>
    <cellStyle name="计算 3 8 2 3" xfId="32098"/>
    <cellStyle name="计算 3 8 2 4" xfId="32099"/>
    <cellStyle name="计算 3 8 2 5" xfId="32100"/>
    <cellStyle name="计算 3 8 2 6" xfId="32101"/>
    <cellStyle name="计算 3 8 2 7" xfId="32102"/>
    <cellStyle name="计算 3 8 2 8" xfId="32103"/>
    <cellStyle name="计算 3 8 2 9" xfId="32104"/>
    <cellStyle name="计算 3 8 7" xfId="32105"/>
    <cellStyle name="计算 3 8 8" xfId="32106"/>
    <cellStyle name="计算 3 8 9" xfId="32107"/>
    <cellStyle name="计算 3 9" xfId="32108"/>
    <cellStyle name="计算 3 9 10" xfId="32109"/>
    <cellStyle name="计算 3 9 11" xfId="32110"/>
    <cellStyle name="计算 3 9 12" xfId="32111"/>
    <cellStyle name="计算 3 9 13" xfId="32112"/>
    <cellStyle name="计算 3 9 14" xfId="32113"/>
    <cellStyle name="输出 2 2 12 4" xfId="32114"/>
    <cellStyle name="计算 3 9 2 2" xfId="32115"/>
    <cellStyle name="输出 2 2 12 7" xfId="32116"/>
    <cellStyle name="计算 3 9 2 5" xfId="32117"/>
    <cellStyle name="输出 2 2 12 8" xfId="32118"/>
    <cellStyle name="计算 3 9 2 6" xfId="32119"/>
    <cellStyle name="输出 2 2 12 9" xfId="32120"/>
    <cellStyle name="计算 3 9 2 7" xfId="32121"/>
    <cellStyle name="输出 2 2 4 10" xfId="32122"/>
    <cellStyle name="计算 3 9 2 8" xfId="32123"/>
    <cellStyle name="输出 2 2 4 11" xfId="32124"/>
    <cellStyle name="计算 3 9 2 9" xfId="32125"/>
    <cellStyle name="计算 3 9 8" xfId="32126"/>
    <cellStyle name="计算 3 9 9" xfId="32127"/>
    <cellStyle name="计算 4" xfId="32128"/>
    <cellStyle name="计算 4 12" xfId="32129"/>
    <cellStyle name="计算 4 13" xfId="32130"/>
    <cellStyle name="计算 4 14" xfId="32131"/>
    <cellStyle name="计算 4 2" xfId="32132"/>
    <cellStyle name="计算 4 2 10" xfId="32133"/>
    <cellStyle name="计算 4 2 11" xfId="32134"/>
    <cellStyle name="计算 4 2 12" xfId="32135"/>
    <cellStyle name="计算 4 2 2" xfId="32136"/>
    <cellStyle name="计算 4 2 3" xfId="32137"/>
    <cellStyle name="计算 4 2 4" xfId="32138"/>
    <cellStyle name="注释 2 2 4 10" xfId="32139"/>
    <cellStyle name="计算 4 2 5" xfId="32140"/>
    <cellStyle name="注释 2 2 4 11" xfId="32141"/>
    <cellStyle name="计算 4 2 6" xfId="32142"/>
    <cellStyle name="注释 2 2 4 12" xfId="32143"/>
    <cellStyle name="计算 4 2 7" xfId="32144"/>
    <cellStyle name="注释 2 2 4 13" xfId="32145"/>
    <cellStyle name="计算 4 2 8" xfId="32146"/>
    <cellStyle name="注释 2 2 4 14" xfId="32147"/>
    <cellStyle name="计算 4 2 9" xfId="32148"/>
    <cellStyle name="计算 4 3" xfId="32149"/>
    <cellStyle name="输出 2 3 3 2 3" xfId="32150"/>
    <cellStyle name="计算 4 6" xfId="32151"/>
    <cellStyle name="输出 2 3 3 2 4" xfId="32152"/>
    <cellStyle name="计算 4 7" xfId="32153"/>
    <cellStyle name="输出 2 3 3 2 5" xfId="32154"/>
    <cellStyle name="计算 4 8" xfId="32155"/>
    <cellStyle name="输出 2 3 3 2 6" xfId="32156"/>
    <cellStyle name="计算 4 9" xfId="32157"/>
    <cellStyle name="检查单元格 2 2" xfId="32158"/>
    <cellStyle name="检查单元格 2 2 15" xfId="32159"/>
    <cellStyle name="检查单元格 2 2 16" xfId="32160"/>
    <cellStyle name="检查单元格 2 2 17" xfId="32161"/>
    <cellStyle name="检查单元格 2 2 6" xfId="32162"/>
    <cellStyle name="检查单元格 2 2 7" xfId="32163"/>
    <cellStyle name="检查单元格 2 2 8" xfId="32164"/>
    <cellStyle name="检查单元格 2 2 9" xfId="32165"/>
    <cellStyle name="检查单元格 2 3" xfId="32166"/>
    <cellStyle name="检查单元格 2 3 10" xfId="32167"/>
    <cellStyle name="检查单元格 2 3 11" xfId="32168"/>
    <cellStyle name="检查单元格 2 3 12" xfId="32169"/>
    <cellStyle name="检查单元格 2 3 13" xfId="32170"/>
    <cellStyle name="检查单元格 2 3 14" xfId="32171"/>
    <cellStyle name="检查单元格 2 3 16" xfId="32172"/>
    <cellStyle name="检查单元格 2 3 17" xfId="32173"/>
    <cellStyle name="检查单元格 2 3 2" xfId="32174"/>
    <cellStyle name="检查单元格 2 3 2 2" xfId="32175"/>
    <cellStyle name="检查单元格 2 3 3" xfId="32176"/>
    <cellStyle name="检查单元格 2 3 4" xfId="32177"/>
    <cellStyle name="检查单元格 2 3 5" xfId="32178"/>
    <cellStyle name="检查单元格 2 3 6" xfId="32179"/>
    <cellStyle name="检查单元格 2 3 7" xfId="32180"/>
    <cellStyle name="检查单元格 2 3 8" xfId="32181"/>
    <cellStyle name="检查单元格 2 3 9" xfId="32182"/>
    <cellStyle name="强调文字颜色 5 3 2 3 2 2" xfId="32183"/>
    <cellStyle name="检查单元格 3 2" xfId="32184"/>
    <cellStyle name="输出 2 2 4 2 9" xfId="32185"/>
    <cellStyle name="检查单元格 3 2 11" xfId="32186"/>
    <cellStyle name="输出 2 2 12 10" xfId="32187"/>
    <cellStyle name="检查单元格 3 2 12" xfId="32188"/>
    <cellStyle name="输出 2 2 12 11" xfId="32189"/>
    <cellStyle name="检查单元格 3 2 13" xfId="32190"/>
    <cellStyle name="输出 2 2 12 12" xfId="32191"/>
    <cellStyle name="检查单元格 3 2 14" xfId="32192"/>
    <cellStyle name="检查单元格 3 2 2" xfId="32193"/>
    <cellStyle name="检查单元格 3 2 2 2" xfId="32194"/>
    <cellStyle name="检查单元格 3 2 3" xfId="32195"/>
    <cellStyle name="检查单元格 3 2 4" xfId="32196"/>
    <cellStyle name="检查单元格 3 2 5" xfId="32197"/>
    <cellStyle name="检查单元格 3 2 6" xfId="32198"/>
    <cellStyle name="检查单元格 3 2 7" xfId="32199"/>
    <cellStyle name="检查单元格 3 2 8" xfId="32200"/>
    <cellStyle name="检查单元格 3 2 9" xfId="32201"/>
    <cellStyle name="强调文字颜色 5 3 2 3 3" xfId="32202"/>
    <cellStyle name="检查单元格 4" xfId="32203"/>
    <cellStyle name="解释性文本 3 2" xfId="32204"/>
    <cellStyle name="借出原因" xfId="32205"/>
    <cellStyle name="借出原因 2" xfId="32206"/>
    <cellStyle name="警告文本 2" xfId="32207"/>
    <cellStyle name="警告文本 2 2 2" xfId="32208"/>
    <cellStyle name="警告文本 2 2 3" xfId="32209"/>
    <cellStyle name="警告文本 2 2 4" xfId="32210"/>
    <cellStyle name="警告文本 2 3" xfId="32211"/>
    <cellStyle name="警告文本 2 3 2" xfId="32212"/>
    <cellStyle name="警告文本 2 3 3" xfId="32213"/>
    <cellStyle name="警告文本 2 3 4" xfId="32214"/>
    <cellStyle name="警告文本 3" xfId="32215"/>
    <cellStyle name="警告文本 3 2 2" xfId="32216"/>
    <cellStyle name="警告文本 3 2 3" xfId="32217"/>
    <cellStyle name="警告文本 3 2 4" xfId="32218"/>
    <cellStyle name="警告文本 4" xfId="32219"/>
    <cellStyle name="警告文本 4 3" xfId="32220"/>
    <cellStyle name="链接单元格 3 2" xfId="32221"/>
    <cellStyle name="链接单元格 4" xfId="32222"/>
    <cellStyle name="普通_laroux" xfId="32223"/>
    <cellStyle name="千分位[0]_laroux" xfId="32224"/>
    <cellStyle name="千分位_laroux" xfId="32225"/>
    <cellStyle name="千位[0]_ 方正PC" xfId="32226"/>
    <cellStyle name="千位_ 方正PC" xfId="32227"/>
    <cellStyle name="千位分隔 2" xfId="32228"/>
    <cellStyle name="千位分隔 2 10" xfId="32229"/>
    <cellStyle name="输入 3 2 9 2 2" xfId="32230"/>
    <cellStyle name="千位分隔 2 11" xfId="32231"/>
    <cellStyle name="输入 3 2 9 2 3" xfId="32232"/>
    <cellStyle name="千位分隔 2 12" xfId="32233"/>
    <cellStyle name="输入 3 2 9 2 4" xfId="32234"/>
    <cellStyle name="千位分隔 2 13" xfId="32235"/>
    <cellStyle name="输入 3 2 9 2 5" xfId="32236"/>
    <cellStyle name="千位分隔 2 14" xfId="32237"/>
    <cellStyle name="输入 3 2 9 2 8" xfId="32238"/>
    <cellStyle name="千位分隔 2 17" xfId="32239"/>
    <cellStyle name="千位分隔 2 22" xfId="32240"/>
    <cellStyle name="输入 3 2 9 2 9" xfId="32241"/>
    <cellStyle name="千位分隔 2 18" xfId="32242"/>
    <cellStyle name="千位分隔 2 23" xfId="32243"/>
    <cellStyle name="千位分隔 2 19" xfId="32244"/>
    <cellStyle name="千位分隔 2 2" xfId="32245"/>
    <cellStyle name="千位分隔 2 2 10" xfId="32246"/>
    <cellStyle name="千位分隔 2 2 11" xfId="32247"/>
    <cellStyle name="千位分隔 2 2 12" xfId="32248"/>
    <cellStyle name="千位分隔 2 2 2 2" xfId="32249"/>
    <cellStyle name="千位分隔 2 2 2 3" xfId="32250"/>
    <cellStyle name="注释 3 4 17" xfId="32251"/>
    <cellStyle name="千位分隔 2 2 3 2 2" xfId="32252"/>
    <cellStyle name="千位分隔 2 2 3 2 3" xfId="32253"/>
    <cellStyle name="千位分隔 2 2 5" xfId="32254"/>
    <cellStyle name="千位分隔 2 2 6" xfId="32255"/>
    <cellStyle name="千位分隔 2 2 7" xfId="32256"/>
    <cellStyle name="千位分隔 2 3" xfId="32257"/>
    <cellStyle name="千位分隔 2 3 2" xfId="32258"/>
    <cellStyle name="千位分隔 2 3 2 2" xfId="32259"/>
    <cellStyle name="千位分隔 2 3 2 3" xfId="32260"/>
    <cellStyle name="千位分隔 2 3 3" xfId="32261"/>
    <cellStyle name="千位分隔 2 3 4" xfId="32262"/>
    <cellStyle name="千位分隔 2 4" xfId="32263"/>
    <cellStyle name="千位分隔 2 4 2" xfId="32264"/>
    <cellStyle name="千位分隔 2 4 3" xfId="32265"/>
    <cellStyle name="千位分隔 2 5" xfId="32266"/>
    <cellStyle name="千位分隔 2 6" xfId="32267"/>
    <cellStyle name="输出 3 2 5 2 10" xfId="32268"/>
    <cellStyle name="千位分隔 2 7" xfId="32269"/>
    <cellStyle name="输出 3 2 5 2 11" xfId="32270"/>
    <cellStyle name="千位分隔 2 8" xfId="32271"/>
    <cellStyle name="输出 3 2 5 2 12" xfId="32272"/>
    <cellStyle name="千位分隔 2 9" xfId="32273"/>
    <cellStyle name="千位分隔 3" xfId="32274"/>
    <cellStyle name="千位分隔 3 11" xfId="32275"/>
    <cellStyle name="千位分隔 3 12" xfId="32276"/>
    <cellStyle name="千位分隔 3 13" xfId="32277"/>
    <cellStyle name="千位分隔 3 14" xfId="32278"/>
    <cellStyle name="千位分隔 3 15" xfId="32279"/>
    <cellStyle name="千位分隔 3 20" xfId="32280"/>
    <cellStyle name="千位分隔 3 16" xfId="32281"/>
    <cellStyle name="千位分隔 3 21" xfId="32282"/>
    <cellStyle name="千位分隔 3 17" xfId="32283"/>
    <cellStyle name="千位分隔 3 22" xfId="32284"/>
    <cellStyle name="千位分隔 3 18" xfId="32285"/>
    <cellStyle name="千位分隔 3 19" xfId="32286"/>
    <cellStyle name="输出 2 2 28" xfId="32287"/>
    <cellStyle name="千位分隔 3 2" xfId="32288"/>
    <cellStyle name="千位分隔 3 2 10" xfId="32289"/>
    <cellStyle name="强调 2 2 3" xfId="32290"/>
    <cellStyle name="千位分隔 3 2 16" xfId="32291"/>
    <cellStyle name="千位分隔 3 2 17" xfId="32292"/>
    <cellStyle name="千位分隔 3 2 18" xfId="32293"/>
    <cellStyle name="千位分隔 3 2 2 2" xfId="32294"/>
    <cellStyle name="强调文字颜色 3 2 5" xfId="32295"/>
    <cellStyle name="千位分隔 3 2 2 3" xfId="32296"/>
    <cellStyle name="强调文字颜色 3 2 6" xfId="32297"/>
    <cellStyle name="千位分隔 3 2 3 2" xfId="32298"/>
    <cellStyle name="千位分隔 3 2 3 2 2" xfId="32299"/>
    <cellStyle name="千位分隔 3 2 3 2 3" xfId="32300"/>
    <cellStyle name="千位分隔 3 2 3 3" xfId="32301"/>
    <cellStyle name="输出 2 2 29" xfId="32302"/>
    <cellStyle name="千位分隔 3 3" xfId="32303"/>
    <cellStyle name="千位分隔 3 4" xfId="32304"/>
    <cellStyle name="千位分隔 3 4 2 2" xfId="32305"/>
    <cellStyle name="强调文字颜色 5 2 5" xfId="32306"/>
    <cellStyle name="千位分隔 3 4 2 3" xfId="32307"/>
    <cellStyle name="强调文字颜色 5 2 6" xfId="32308"/>
    <cellStyle name="输入 2 2 5 10" xfId="32309"/>
    <cellStyle name="千位分隔 3 5" xfId="32310"/>
    <cellStyle name="输入 2 2 5 11" xfId="32311"/>
    <cellStyle name="千位分隔 3 6" xfId="32312"/>
    <cellStyle name="输入 2 2 5 12" xfId="32313"/>
    <cellStyle name="千位分隔 3 7" xfId="32314"/>
    <cellStyle name="输入 2 2 5 13" xfId="32315"/>
    <cellStyle name="千位分隔 3 8" xfId="32316"/>
    <cellStyle name="输入 2 2 5 14" xfId="32317"/>
    <cellStyle name="千位分隔 3 9" xfId="32318"/>
    <cellStyle name="千位分隔 4" xfId="32319"/>
    <cellStyle name="强调 1 10" xfId="32320"/>
    <cellStyle name="强调 1 11" xfId="32321"/>
    <cellStyle name="强调 1 12" xfId="32322"/>
    <cellStyle name="强调 1 13" xfId="32323"/>
    <cellStyle name="强调 1 14" xfId="32324"/>
    <cellStyle name="强调 1 15" xfId="32325"/>
    <cellStyle name="强调 1 20" xfId="32326"/>
    <cellStyle name="强调 1 16" xfId="32327"/>
    <cellStyle name="强调 1 21" xfId="32328"/>
    <cellStyle name="强调 1 17" xfId="32329"/>
    <cellStyle name="强调 1 22" xfId="32330"/>
    <cellStyle name="强调 1 18" xfId="32331"/>
    <cellStyle name="强调 1 23" xfId="32332"/>
    <cellStyle name="强调 1 19" xfId="32333"/>
    <cellStyle name="强调 1 2" xfId="32334"/>
    <cellStyle name="强调 1 2 14" xfId="32335"/>
    <cellStyle name="强调 1 2 15" xfId="32336"/>
    <cellStyle name="强调 1 2 16" xfId="32337"/>
    <cellStyle name="强调 1 2 17" xfId="32338"/>
    <cellStyle name="强调 1 2 18" xfId="32339"/>
    <cellStyle name="强调 1 2 2" xfId="32340"/>
    <cellStyle name="强调 1 2 3" xfId="32341"/>
    <cellStyle name="强调 1 2 3 2" xfId="32342"/>
    <cellStyle name="强调 1 2 3 2 2" xfId="32343"/>
    <cellStyle name="强调 1 2 3 2 3" xfId="32344"/>
    <cellStyle name="强调 1 2 3 3" xfId="32345"/>
    <cellStyle name="强调 1 2 4" xfId="32346"/>
    <cellStyle name="强调 1 2 5" xfId="32347"/>
    <cellStyle name="强调 1 2 8" xfId="32348"/>
    <cellStyle name="强调 1 2 9" xfId="32349"/>
    <cellStyle name="强调 1 3" xfId="32350"/>
    <cellStyle name="强调 1 3 2" xfId="32351"/>
    <cellStyle name="强调 1 3 3" xfId="32352"/>
    <cellStyle name="强调 1 4" xfId="32353"/>
    <cellStyle name="强调 1 5" xfId="32354"/>
    <cellStyle name="强调 1 6" xfId="32355"/>
    <cellStyle name="强调 1 7" xfId="32356"/>
    <cellStyle name="强调 1 8" xfId="32357"/>
    <cellStyle name="强调 1 9" xfId="32358"/>
    <cellStyle name="强调 2" xfId="32359"/>
    <cellStyle name="强调 2 2" xfId="32360"/>
    <cellStyle name="强调文字颜色 3 3 2 3 3" xfId="32361"/>
    <cellStyle name="强调 2 2 2" xfId="32362"/>
    <cellStyle name="强调 2 3" xfId="32363"/>
    <cellStyle name="强调 2 3 2" xfId="32364"/>
    <cellStyle name="强调 2 3 3" xfId="32365"/>
    <cellStyle name="强调 2 3 4" xfId="32366"/>
    <cellStyle name="输出 2 2 10" xfId="32367"/>
    <cellStyle name="强调 2 4" xfId="32368"/>
    <cellStyle name="强调 2 5" xfId="32369"/>
    <cellStyle name="强调 2 6" xfId="32370"/>
    <cellStyle name="强调 2 7" xfId="32371"/>
    <cellStyle name="强调 2 8" xfId="32372"/>
    <cellStyle name="强调 2 9" xfId="32373"/>
    <cellStyle name="强调 3" xfId="32374"/>
    <cellStyle name="强调 3 3 2" xfId="32375"/>
    <cellStyle name="强调 3 3 3" xfId="32376"/>
    <cellStyle name="强调 3 3 4" xfId="32377"/>
    <cellStyle name="输出 2 7 10" xfId="32378"/>
    <cellStyle name="强调 3 9" xfId="32379"/>
    <cellStyle name="强调文字颜色 1 2 3 4" xfId="32380"/>
    <cellStyle name="输出 3 2 10 5" xfId="32381"/>
    <cellStyle name="强调文字颜色 1 2 8" xfId="32382"/>
    <cellStyle name="输出 3 2 10 6" xfId="32383"/>
    <cellStyle name="强调文字颜色 1 2 9" xfId="32384"/>
    <cellStyle name="强调文字颜色 1 3 2 2" xfId="32385"/>
    <cellStyle name="强调文字颜色 1 3 2 3" xfId="32386"/>
    <cellStyle name="强调文字颜色 1 3 2 4" xfId="32387"/>
    <cellStyle name="强调文字颜色 2 2 2" xfId="32388"/>
    <cellStyle name="强调文字颜色 2 2 2 10" xfId="32389"/>
    <cellStyle name="强调文字颜色 2 2 2 11" xfId="32390"/>
    <cellStyle name="强调文字颜色 2 2 2 12" xfId="32391"/>
    <cellStyle name="强调文字颜色 2 2 2 13" xfId="32392"/>
    <cellStyle name="强调文字颜色 2 2 2 14" xfId="32393"/>
    <cellStyle name="强调文字颜色 2 2 2 15" xfId="32394"/>
    <cellStyle name="强调文字颜色 2 2 2 16" xfId="32395"/>
    <cellStyle name="强调文字颜色 2 2 2 17" xfId="32396"/>
    <cellStyle name="强调文字颜色 2 2 2 18" xfId="32397"/>
    <cellStyle name="强调文字颜色 2 2 2 3 2 2" xfId="32398"/>
    <cellStyle name="强调文字颜色 2 2 2 3 2 3" xfId="32399"/>
    <cellStyle name="强调文字颜色 2 2 3" xfId="32400"/>
    <cellStyle name="强调文字颜色 2 2 3 4" xfId="32401"/>
    <cellStyle name="强调文字颜色 2 2 4" xfId="32402"/>
    <cellStyle name="强调文字颜色 2 2 5" xfId="32403"/>
    <cellStyle name="强调文字颜色 2 3 2 10" xfId="32404"/>
    <cellStyle name="强调文字颜色 2 3 2 16" xfId="32405"/>
    <cellStyle name="强调文字颜色 2 3 2 17" xfId="32406"/>
    <cellStyle name="强调文字颜色 2 3 2 18" xfId="32407"/>
    <cellStyle name="强调文字颜色 2 3 2 2" xfId="32408"/>
    <cellStyle name="强调文字颜色 2 3 2 3" xfId="32409"/>
    <cellStyle name="强调文字颜色 2 3 2 3 2" xfId="32410"/>
    <cellStyle name="强调文字颜色 2 3 2 3 3" xfId="32411"/>
    <cellStyle name="强调文字颜色 2 3 2 4" xfId="32412"/>
    <cellStyle name="强调文字颜色 3 2" xfId="32413"/>
    <cellStyle name="强调文字颜色 3 2 2" xfId="32414"/>
    <cellStyle name="强调文字颜色 3 2 3" xfId="32415"/>
    <cellStyle name="强调文字颜色 3 2 3 2" xfId="32416"/>
    <cellStyle name="强调文字颜色 3 2 3 3" xfId="32417"/>
    <cellStyle name="强调文字颜色 3 2 3 4" xfId="32418"/>
    <cellStyle name="强调文字颜色 3 2 4" xfId="32419"/>
    <cellStyle name="强调文字颜色 3 2 7" xfId="32420"/>
    <cellStyle name="强调文字颜色 3 2 8" xfId="32421"/>
    <cellStyle name="强调文字颜色 3 2 9" xfId="32422"/>
    <cellStyle name="强调文字颜色 3 3" xfId="32423"/>
    <cellStyle name="强调文字颜色 3 3 2" xfId="32424"/>
    <cellStyle name="强调文字颜色 3 3 2 10" xfId="32425"/>
    <cellStyle name="输出 2 2 2" xfId="32426"/>
    <cellStyle name="强调文字颜色 3 3 2 11" xfId="32427"/>
    <cellStyle name="输出 2 2 3" xfId="32428"/>
    <cellStyle name="强调文字颜色 3 3 2 12" xfId="32429"/>
    <cellStyle name="输出 2 2 4" xfId="32430"/>
    <cellStyle name="强调文字颜色 3 3 2 13" xfId="32431"/>
    <cellStyle name="输出 2 2 5" xfId="32432"/>
    <cellStyle name="强调文字颜色 3 3 2 14" xfId="32433"/>
    <cellStyle name="输出 2 2 6" xfId="32434"/>
    <cellStyle name="强调文字颜色 3 3 2 15" xfId="32435"/>
    <cellStyle name="输出 2 2 7" xfId="32436"/>
    <cellStyle name="强调文字颜色 3 3 2 16" xfId="32437"/>
    <cellStyle name="输出 2 2 8" xfId="32438"/>
    <cellStyle name="强调文字颜色 3 3 2 17" xfId="32439"/>
    <cellStyle name="输出 2 2 9" xfId="32440"/>
    <cellStyle name="强调文字颜色 3 3 2 18" xfId="32441"/>
    <cellStyle name="强调文字颜色 3 3 2 3" xfId="32442"/>
    <cellStyle name="强调文字颜色 3 3 2 3 2" xfId="32443"/>
    <cellStyle name="注释 3 2 5 8" xfId="32444"/>
    <cellStyle name="强调文字颜色 3 3 2 3 2 2" xfId="32445"/>
    <cellStyle name="注释 3 2 5 9" xfId="32446"/>
    <cellStyle name="强调文字颜色 3 3 2 3 2 3" xfId="32447"/>
    <cellStyle name="强调文字颜色 3 3 2 4" xfId="32448"/>
    <cellStyle name="强调文字颜色 3 3 2 5" xfId="32449"/>
    <cellStyle name="强调文字颜色 3 3 2 6" xfId="32450"/>
    <cellStyle name="强调文字颜色 3 3 2 7" xfId="32451"/>
    <cellStyle name="强调文字颜色 3 3 2 8" xfId="32452"/>
    <cellStyle name="强调文字颜色 3 3 2 9" xfId="32453"/>
    <cellStyle name="强调文字颜色 3 4" xfId="32454"/>
    <cellStyle name="强调文字颜色 3 4 2" xfId="32455"/>
    <cellStyle name="强调文字颜色 3 4 3" xfId="32456"/>
    <cellStyle name="强调文字颜色 3 4 4" xfId="32457"/>
    <cellStyle name="强调文字颜色 4 2" xfId="32458"/>
    <cellStyle name="强调文字颜色 4 2 2" xfId="32459"/>
    <cellStyle name="强调文字颜色 4 2 3" xfId="32460"/>
    <cellStyle name="强调文字颜色 4 2 3 2" xfId="32461"/>
    <cellStyle name="输入 2 2 2 6" xfId="32462"/>
    <cellStyle name="强调文字颜色 4 2 3 3" xfId="32463"/>
    <cellStyle name="输入 2 2 2 7" xfId="32464"/>
    <cellStyle name="强调文字颜色 4 2 3 4" xfId="32465"/>
    <cellStyle name="输入 2 2 2 8" xfId="32466"/>
    <cellStyle name="强调文字颜色 4 2 4" xfId="32467"/>
    <cellStyle name="强调文字颜色 4 2 5" xfId="32468"/>
    <cellStyle name="强调文字颜色 4 2 6" xfId="32469"/>
    <cellStyle name="强调文字颜色 4 2 7" xfId="32470"/>
    <cellStyle name="强调文字颜色 4 2 8" xfId="32471"/>
    <cellStyle name="强调文字颜色 4 3 2" xfId="32472"/>
    <cellStyle name="强调文字颜色 4 4 2" xfId="32473"/>
    <cellStyle name="强调文字颜色 4 4 3" xfId="32474"/>
    <cellStyle name="强调文字颜色 4 4 4" xfId="32475"/>
    <cellStyle name="输出 2 2 8 3 2 2" xfId="32476"/>
    <cellStyle name="强调文字颜色 5 2" xfId="32477"/>
    <cellStyle name="强调文字颜色 5 2 2" xfId="32478"/>
    <cellStyle name="强调文字颜色 5 2 2 10" xfId="32479"/>
    <cellStyle name="强调文字颜色 5 2 2 11" xfId="32480"/>
    <cellStyle name="强调文字颜色 5 2 2 12" xfId="32481"/>
    <cellStyle name="强调文字颜色 5 2 2 13" xfId="32482"/>
    <cellStyle name="强调文字颜色 5 2 2 14" xfId="32483"/>
    <cellStyle name="强调文字颜色 5 2 2 15" xfId="32484"/>
    <cellStyle name="强调文字颜色 5 2 2 16" xfId="32485"/>
    <cellStyle name="强调文字颜色 5 2 2 17" xfId="32486"/>
    <cellStyle name="强调文字颜色 5 2 2 18" xfId="32487"/>
    <cellStyle name="强调文字颜色 5 2 2 2" xfId="32488"/>
    <cellStyle name="强调文字颜色 5 2 2 3" xfId="32489"/>
    <cellStyle name="强调文字颜色 5 2 2 3 2" xfId="32490"/>
    <cellStyle name="强调文字颜色 5 2 2 3 2 2" xfId="32491"/>
    <cellStyle name="强调文字颜色 5 2 2 3 2 3" xfId="32492"/>
    <cellStyle name="强调文字颜色 5 2 2 3 3" xfId="32493"/>
    <cellStyle name="强调文字颜色 5 2 3" xfId="32494"/>
    <cellStyle name="强调文字颜色 5 2 3 10" xfId="32495"/>
    <cellStyle name="强调文字颜色 5 2 3 11" xfId="32496"/>
    <cellStyle name="强调文字颜色 5 2 3 12" xfId="32497"/>
    <cellStyle name="强调文字颜色 5 2 3 13" xfId="32498"/>
    <cellStyle name="强调文字颜色 5 2 3 14" xfId="32499"/>
    <cellStyle name="强调文字颜色 5 2 3 15" xfId="32500"/>
    <cellStyle name="强调文字颜色 5 2 3 16" xfId="32501"/>
    <cellStyle name="强调文字颜色 5 2 3 17" xfId="32502"/>
    <cellStyle name="强调文字颜色 5 2 3 18" xfId="32503"/>
    <cellStyle name="输入 3 2 2 6" xfId="32504"/>
    <cellStyle name="输入 2 6 18" xfId="32505"/>
    <cellStyle name="强调文字颜色 5 2 3 2" xfId="32506"/>
    <cellStyle name="输入 3 2 2 7" xfId="32507"/>
    <cellStyle name="输入 2 6 19" xfId="32508"/>
    <cellStyle name="强调文字颜色 5 2 3 3" xfId="32509"/>
    <cellStyle name="强调文字颜色 5 2 3 3 2 2" xfId="32510"/>
    <cellStyle name="强调文字颜色 5 2 3 3 2 3" xfId="32511"/>
    <cellStyle name="强调文字颜色 5 2 3 6" xfId="32512"/>
    <cellStyle name="强调文字颜色 5 2 4" xfId="32513"/>
    <cellStyle name="强调文字颜色 5 2 7" xfId="32514"/>
    <cellStyle name="输出 2 2 8 3 2 3" xfId="32515"/>
    <cellStyle name="强调文字颜色 5 3" xfId="32516"/>
    <cellStyle name="强调文字颜色 5 3 2" xfId="32517"/>
    <cellStyle name="输出 3 2 2 16" xfId="32518"/>
    <cellStyle name="强调文字颜色 5 3 2 13" xfId="32519"/>
    <cellStyle name="输出 3 2 2 17" xfId="32520"/>
    <cellStyle name="强调文字颜色 5 3 2 14" xfId="32521"/>
    <cellStyle name="强调文字颜色 5 3 2 15" xfId="32522"/>
    <cellStyle name="强调文字颜色 5 3 2 16" xfId="32523"/>
    <cellStyle name="强调文字颜色 5 3 2 17" xfId="32524"/>
    <cellStyle name="强调文字颜色 5 3 2 18" xfId="32525"/>
    <cellStyle name="强调文字颜色 5 3 2 2" xfId="32526"/>
    <cellStyle name="强调文字颜色 5 3 2 3" xfId="32527"/>
    <cellStyle name="强调文字颜色 5 3 2 4" xfId="32528"/>
    <cellStyle name="强调文字颜色 5 3 2 5" xfId="32529"/>
    <cellStyle name="强调文字颜色 5 3 2 6" xfId="32530"/>
    <cellStyle name="强调文字颜色 5 3 2 7" xfId="32531"/>
    <cellStyle name="强调文字颜色 5 3 2 8" xfId="32532"/>
    <cellStyle name="强调文字颜色 5 3 2 9" xfId="32533"/>
    <cellStyle name="强调文字颜色 6 2 2" xfId="32534"/>
    <cellStyle name="强调文字颜色 6 2 2 2" xfId="32535"/>
    <cellStyle name="强调文字颜色 6 2 2 3" xfId="32536"/>
    <cellStyle name="强调文字颜色 6 2 2 4" xfId="32537"/>
    <cellStyle name="强调文字颜色 6 2 3" xfId="32538"/>
    <cellStyle name="强调文字颜色 6 2 4" xfId="32539"/>
    <cellStyle name="强调文字颜色 6 2 5" xfId="32540"/>
    <cellStyle name="强调文字颜色 6 2 6" xfId="32541"/>
    <cellStyle name="强调文字颜色 6 2 7" xfId="32542"/>
    <cellStyle name="强调文字颜色 6 2 8" xfId="32543"/>
    <cellStyle name="强调文字颜色 6 2 9" xfId="32544"/>
    <cellStyle name="强调文字颜色 6 3 2" xfId="32545"/>
    <cellStyle name="注释 3 2 7 12" xfId="32546"/>
    <cellStyle name="强调文字颜色 6 3 2 10" xfId="32547"/>
    <cellStyle name="注释 3 2 7 13" xfId="32548"/>
    <cellStyle name="强调文字颜色 6 3 2 11" xfId="32549"/>
    <cellStyle name="注释 3 2 7 14" xfId="32550"/>
    <cellStyle name="强调文字颜色 6 3 2 12" xfId="32551"/>
    <cellStyle name="强调文字颜色 6 3 2 13" xfId="32552"/>
    <cellStyle name="强调文字颜色 6 3 2 14" xfId="32553"/>
    <cellStyle name="强调文字颜色 6 3 2 15" xfId="32554"/>
    <cellStyle name="强调文字颜色 6 3 2 16" xfId="32555"/>
    <cellStyle name="强调文字颜色 6 3 2 17" xfId="32556"/>
    <cellStyle name="强调文字颜色 6 3 2 18" xfId="32557"/>
    <cellStyle name="强调文字颜色 6 3 2 2" xfId="32558"/>
    <cellStyle name="强调文字颜色 6 3 2 3" xfId="32559"/>
    <cellStyle name="强调文字颜色 6 3 2 4" xfId="32560"/>
    <cellStyle name="强调文字颜色 6 4 4" xfId="32561"/>
    <cellStyle name="日期" xfId="32562"/>
    <cellStyle name="日期 2" xfId="32563"/>
    <cellStyle name="商品名称" xfId="32564"/>
    <cellStyle name="商品名称 10" xfId="32565"/>
    <cellStyle name="商品名称 11" xfId="32566"/>
    <cellStyle name="商品名称 4" xfId="32567"/>
    <cellStyle name="商品名称 4 10" xfId="32568"/>
    <cellStyle name="商品名称 4 11" xfId="32569"/>
    <cellStyle name="商品名称 4 12" xfId="32570"/>
    <cellStyle name="商品名称 4 13" xfId="32571"/>
    <cellStyle name="商品名称 4 14" xfId="32572"/>
    <cellStyle name="商品名称 4 15" xfId="32573"/>
    <cellStyle name="商品名称 4 16" xfId="32574"/>
    <cellStyle name="商品名称 4 17" xfId="32575"/>
    <cellStyle name="商品名称 4 2" xfId="32576"/>
    <cellStyle name="商品名称 4 3" xfId="32577"/>
    <cellStyle name="商品名称 4 9" xfId="32578"/>
    <cellStyle name="商品名称 5" xfId="32579"/>
    <cellStyle name="商品名称 5 10" xfId="32580"/>
    <cellStyle name="商品名称 5 12" xfId="32581"/>
    <cellStyle name="商品名称 5 13" xfId="32582"/>
    <cellStyle name="商品名称 5 14" xfId="32583"/>
    <cellStyle name="商品名称 5 15" xfId="32584"/>
    <cellStyle name="商品名称 5 16" xfId="32585"/>
    <cellStyle name="商品名称 5 17" xfId="32586"/>
    <cellStyle name="商品名称 5 2" xfId="32587"/>
    <cellStyle name="商品名称 5 3" xfId="32588"/>
    <cellStyle name="商品名称 5 4" xfId="32589"/>
    <cellStyle name="商品名称 5 5" xfId="32590"/>
    <cellStyle name="商品名称 5 6" xfId="32591"/>
    <cellStyle name="商品名称 5 7" xfId="32592"/>
    <cellStyle name="商品名称 5 8" xfId="32593"/>
    <cellStyle name="商品名称 5 9" xfId="32594"/>
    <cellStyle name="商品名称 6" xfId="32595"/>
    <cellStyle name="商品名称 7" xfId="32596"/>
    <cellStyle name="商品名称 7 10" xfId="32597"/>
    <cellStyle name="商品名称 7 11" xfId="32598"/>
    <cellStyle name="商品名称 7 12" xfId="32599"/>
    <cellStyle name="商品名称 7 13" xfId="32600"/>
    <cellStyle name="商品名称 7 14" xfId="32601"/>
    <cellStyle name="商品名称 7 15" xfId="32602"/>
    <cellStyle name="商品名称 7 16" xfId="32603"/>
    <cellStyle name="商品名称 7 17" xfId="32604"/>
    <cellStyle name="商品名称 7 4" xfId="32605"/>
    <cellStyle name="商品名称 7 5" xfId="32606"/>
    <cellStyle name="商品名称 7 8" xfId="32607"/>
    <cellStyle name="商品名称 7 9" xfId="32608"/>
    <cellStyle name="商品名称 8 17" xfId="32609"/>
    <cellStyle name="商品名称 8 2" xfId="32610"/>
    <cellStyle name="商品名称 8 3" xfId="32611"/>
    <cellStyle name="商品名称 9" xfId="32612"/>
    <cellStyle name="商品名称 9 15" xfId="32613"/>
    <cellStyle name="商品名称 9 16" xfId="32614"/>
    <cellStyle name="商品名称 9 17" xfId="32615"/>
    <cellStyle name="商品名称 9 9" xfId="32616"/>
    <cellStyle name="适中 2 2" xfId="32617"/>
    <cellStyle name="适中 2 3" xfId="32618"/>
    <cellStyle name="适中 3 10" xfId="32619"/>
    <cellStyle name="适中 3 11" xfId="32620"/>
    <cellStyle name="适中 3 12" xfId="32621"/>
    <cellStyle name="适中 3 13" xfId="32622"/>
    <cellStyle name="适中 3 14" xfId="32623"/>
    <cellStyle name="适中 3 15" xfId="32624"/>
    <cellStyle name="适中 3 16" xfId="32625"/>
    <cellStyle name="适中 3 17" xfId="32626"/>
    <cellStyle name="适中 3 2" xfId="32627"/>
    <cellStyle name="适中 3 2 12" xfId="32628"/>
    <cellStyle name="适中 3 2 13" xfId="32629"/>
    <cellStyle name="适中 3 2 14" xfId="32630"/>
    <cellStyle name="适中 3 2 15" xfId="32631"/>
    <cellStyle name="适中 3 2 16" xfId="32632"/>
    <cellStyle name="适中 3 2 17" xfId="32633"/>
    <cellStyle name="适中 3 2 2" xfId="32634"/>
    <cellStyle name="适中 3 2 2 2" xfId="32635"/>
    <cellStyle name="适中 3 2 3" xfId="32636"/>
    <cellStyle name="适中 3 2 4" xfId="32637"/>
    <cellStyle name="适中 3 2 5" xfId="32638"/>
    <cellStyle name="适中 3 2 6" xfId="32639"/>
    <cellStyle name="适中 3 2 7" xfId="32640"/>
    <cellStyle name="适中 3 2 8" xfId="32641"/>
    <cellStyle name="适中 3 2 9" xfId="32642"/>
    <cellStyle name="适中 3 3" xfId="32643"/>
    <cellStyle name="适中 3 4" xfId="32644"/>
    <cellStyle name="适中 3 5" xfId="32645"/>
    <cellStyle name="适中 3 6" xfId="32646"/>
    <cellStyle name="适中 3 7" xfId="32647"/>
    <cellStyle name="适中 3 8" xfId="32648"/>
    <cellStyle name="适中 3 9" xfId="32649"/>
    <cellStyle name="输出 2 10" xfId="32650"/>
    <cellStyle name="输出 2 10 10" xfId="32651"/>
    <cellStyle name="输出 2 10 11" xfId="32652"/>
    <cellStyle name="输出 2 10 12" xfId="32653"/>
    <cellStyle name="输出 2 10 2" xfId="32654"/>
    <cellStyle name="输出 2 10 3" xfId="32655"/>
    <cellStyle name="输出 2 11" xfId="32656"/>
    <cellStyle name="输出 2 11 2" xfId="32657"/>
    <cellStyle name="输出 2 11 3" xfId="32658"/>
    <cellStyle name="输出 2 2" xfId="32659"/>
    <cellStyle name="输出 2 2 10 10" xfId="32660"/>
    <cellStyle name="输出 2 2 10 11" xfId="32661"/>
    <cellStyle name="输出 2 2 10 12" xfId="32662"/>
    <cellStyle name="输出 2 2 10 13" xfId="32663"/>
    <cellStyle name="输出 2 2 10 14" xfId="32664"/>
    <cellStyle name="输出 2 2 10 2" xfId="32665"/>
    <cellStyle name="输出 2 2 10 3" xfId="32666"/>
    <cellStyle name="输出 2 2 10 4" xfId="32667"/>
    <cellStyle name="输出 2 2 10 5" xfId="32668"/>
    <cellStyle name="输出 2 2 10 6" xfId="32669"/>
    <cellStyle name="输出 2 2 10 7" xfId="32670"/>
    <cellStyle name="输出 2 2 10 8" xfId="32671"/>
    <cellStyle name="输出 2 2 10 9" xfId="32672"/>
    <cellStyle name="输出 2 2 11" xfId="32673"/>
    <cellStyle name="输出 2 2 11 10" xfId="32674"/>
    <cellStyle name="输出 2 2 11 11" xfId="32675"/>
    <cellStyle name="输出 2 2 11 12" xfId="32676"/>
    <cellStyle name="输出 2 2 11 13" xfId="32677"/>
    <cellStyle name="输出 2 2 11 14" xfId="32678"/>
    <cellStyle name="输出 2 2 11 2 2" xfId="32679"/>
    <cellStyle name="输出 2 2 11 2 3" xfId="32680"/>
    <cellStyle name="输出 2 2 11 2 4" xfId="32681"/>
    <cellStyle name="输出 2 2 11 2 5" xfId="32682"/>
    <cellStyle name="输出 2 2 11 2 6" xfId="32683"/>
    <cellStyle name="输出 2 2 11 2 7" xfId="32684"/>
    <cellStyle name="输出 2 2 11 2 8" xfId="32685"/>
    <cellStyle name="输出 2 2 11 2 9" xfId="32686"/>
    <cellStyle name="输出 2 2 11 9" xfId="32687"/>
    <cellStyle name="输出 2 2 12" xfId="32688"/>
    <cellStyle name="输出 2 2 12 2" xfId="32689"/>
    <cellStyle name="输入 2 2 8 4" xfId="32690"/>
    <cellStyle name="输出 2 2 12 2 2" xfId="32691"/>
    <cellStyle name="输入 2 2 8 5" xfId="32692"/>
    <cellStyle name="输出 2 2 12 2 3" xfId="32693"/>
    <cellStyle name="输入 2 2 8 6" xfId="32694"/>
    <cellStyle name="输出 2 2 12 2 4" xfId="32695"/>
    <cellStyle name="输入 2 2 8 7" xfId="32696"/>
    <cellStyle name="输出 2 2 12 2 5" xfId="32697"/>
    <cellStyle name="输入 2 2 8 8" xfId="32698"/>
    <cellStyle name="输出 2 2 12 2 6" xfId="32699"/>
    <cellStyle name="输入 2 2 8 9" xfId="32700"/>
    <cellStyle name="输出 2 2 12 2 7" xfId="32701"/>
    <cellStyle name="输出 2 2 12 2 8" xfId="32702"/>
    <cellStyle name="输出 2 2 12 2 9" xfId="32703"/>
    <cellStyle name="输出 2 2 12 3" xfId="32704"/>
    <cellStyle name="输出 2 2 13" xfId="32705"/>
    <cellStyle name="输出 2 2 13 10" xfId="32706"/>
    <cellStyle name="输出 2 2 13 11" xfId="32707"/>
    <cellStyle name="输出 2 2 13 4" xfId="32708"/>
    <cellStyle name="输出 2 2 13 5" xfId="32709"/>
    <cellStyle name="输出 2 2 13 6" xfId="32710"/>
    <cellStyle name="输出 2 2 13 7" xfId="32711"/>
    <cellStyle name="输出 2 2 13 8" xfId="32712"/>
    <cellStyle name="输出 2 2 13 9" xfId="32713"/>
    <cellStyle name="输出 2 2 14" xfId="32714"/>
    <cellStyle name="输出 2 2 14 2" xfId="32715"/>
    <cellStyle name="输出 2 2 14 2 2" xfId="32716"/>
    <cellStyle name="输出 2 2 14 2 3" xfId="32717"/>
    <cellStyle name="输出 2 2 14 3" xfId="32718"/>
    <cellStyle name="输出 2 2 15" xfId="32719"/>
    <cellStyle name="输出 2 2 20" xfId="32720"/>
    <cellStyle name="输出 2 2 16" xfId="32721"/>
    <cellStyle name="输出 2 2 21" xfId="32722"/>
    <cellStyle name="输出 2 2 17" xfId="32723"/>
    <cellStyle name="输出 2 2 22" xfId="32724"/>
    <cellStyle name="输出 2 2 18" xfId="32725"/>
    <cellStyle name="输出 2 2 23" xfId="32726"/>
    <cellStyle name="输出 2 2 2 12" xfId="32727"/>
    <cellStyle name="输出 2 2 2 13" xfId="32728"/>
    <cellStyle name="输出 2 2 2 15" xfId="32729"/>
    <cellStyle name="输出 2 2 2 16" xfId="32730"/>
    <cellStyle name="输出 2 2 2 17" xfId="32731"/>
    <cellStyle name="输出 2 2 2 2" xfId="32732"/>
    <cellStyle name="输出 2 2 2 2 10" xfId="32733"/>
    <cellStyle name="输出 2 2 2 2 3" xfId="32734"/>
    <cellStyle name="输出 2 2 2 2 4" xfId="32735"/>
    <cellStyle name="输出 2 2 2 2 5" xfId="32736"/>
    <cellStyle name="输出 2 2 2 3" xfId="32737"/>
    <cellStyle name="输出 2 2 2 4" xfId="32738"/>
    <cellStyle name="输出 2 2 2 5" xfId="32739"/>
    <cellStyle name="输出 2 2 2 6" xfId="32740"/>
    <cellStyle name="输出 2 2 2 7" xfId="32741"/>
    <cellStyle name="输出 2 2 26" xfId="32742"/>
    <cellStyle name="输出 2 2 31" xfId="32743"/>
    <cellStyle name="输出 2 2 27" xfId="32744"/>
    <cellStyle name="输出 2 2 32" xfId="32745"/>
    <cellStyle name="输出 2 2 3 10" xfId="32746"/>
    <cellStyle name="输出 2 2 3 11" xfId="32747"/>
    <cellStyle name="输出 2 2 3 12" xfId="32748"/>
    <cellStyle name="输出 2 2 3 13" xfId="32749"/>
    <cellStyle name="输出 2 2 3 14" xfId="32750"/>
    <cellStyle name="输出 2 2 3 15" xfId="32751"/>
    <cellStyle name="输出 2 2 3 16" xfId="32752"/>
    <cellStyle name="输出 2 2 3 17" xfId="32753"/>
    <cellStyle name="输出 2 2 3 2 3" xfId="32754"/>
    <cellStyle name="输出 2 2 3 2 4" xfId="32755"/>
    <cellStyle name="输出 2 2 3 2 5" xfId="32756"/>
    <cellStyle name="输出 2 2 3 2 6" xfId="32757"/>
    <cellStyle name="输出 2 2 3 2 7" xfId="32758"/>
    <cellStyle name="输出 2 2 3 2 8" xfId="32759"/>
    <cellStyle name="输出 2 2 3 2 9" xfId="32760"/>
    <cellStyle name="输出 2 2 4 12" xfId="32761"/>
    <cellStyle name="输出 2 2 4 13" xfId="32762"/>
    <cellStyle name="输出 2 2 4 14" xfId="32763"/>
    <cellStyle name="输出 2 2 4 15" xfId="32764"/>
    <cellStyle name="输出 2 2 4 16" xfId="32765"/>
    <cellStyle name="输出 2 2 4 17" xfId="32766"/>
    <cellStyle name="输出 2 2 4 2 10" xfId="32767"/>
    <cellStyle name="输出 2 2 4 2 2" xfId="32768"/>
    <cellStyle name="输出 2 2 4 2 3" xfId="32769"/>
    <cellStyle name="输出 2 2 4 2 4" xfId="32770"/>
    <cellStyle name="输出 2 2 4 2 5" xfId="32771"/>
    <cellStyle name="输出 2 2 4 2 6" xfId="32772"/>
    <cellStyle name="输出 2 2 4 3" xfId="32773"/>
    <cellStyle name="输出 2 2 4 4" xfId="32774"/>
    <cellStyle name="输出 2 2 4 5" xfId="32775"/>
    <cellStyle name="输出 2 2 4 6" xfId="32776"/>
    <cellStyle name="输出 2 2 4 7" xfId="32777"/>
    <cellStyle name="输出 2 2 4 8" xfId="32778"/>
    <cellStyle name="输出 2 2 4 9" xfId="32779"/>
    <cellStyle name="输出 2 2 5 10" xfId="32780"/>
    <cellStyle name="输出 2 2 5 11" xfId="32781"/>
    <cellStyle name="输出 2 2 5 12" xfId="32782"/>
    <cellStyle name="输出 2 2 5 13" xfId="32783"/>
    <cellStyle name="输出 2 2 5 14" xfId="32784"/>
    <cellStyle name="输出 2 2 5 20" xfId="32785"/>
    <cellStyle name="输出 2 2 5 15" xfId="32786"/>
    <cellStyle name="输出 2 2 5 21" xfId="32787"/>
    <cellStyle name="输出 2 2 5 16" xfId="32788"/>
    <cellStyle name="输出 2 2 5 17" xfId="32789"/>
    <cellStyle name="输出 2 2 5 19" xfId="32790"/>
    <cellStyle name="输出 2 2 5 2" xfId="32791"/>
    <cellStyle name="输出 2 2 5 2 2" xfId="32792"/>
    <cellStyle name="输出 2 2 5 2 3" xfId="32793"/>
    <cellStyle name="输出 2 2 5 2 4" xfId="32794"/>
    <cellStyle name="输出 2 2 5 2 5" xfId="32795"/>
    <cellStyle name="输出 2 2 5 2 6" xfId="32796"/>
    <cellStyle name="输出 2 2 5 2 7" xfId="32797"/>
    <cellStyle name="输出 2 2 5 2 8" xfId="32798"/>
    <cellStyle name="输出 2 2 5 2 9" xfId="32799"/>
    <cellStyle name="输出 2 2 5 3" xfId="32800"/>
    <cellStyle name="输出 2 2 5 3 2" xfId="32801"/>
    <cellStyle name="输出 2 2 5 3 2 3" xfId="32802"/>
    <cellStyle name="输出 2 2 5 3 3" xfId="32803"/>
    <cellStyle name="输出 2 2 5 4" xfId="32804"/>
    <cellStyle name="输出 2 2 5 5" xfId="32805"/>
    <cellStyle name="输出 2 2 5 6" xfId="32806"/>
    <cellStyle name="输出 2 2 5 7" xfId="32807"/>
    <cellStyle name="输入 2 2 5 2 2" xfId="32808"/>
    <cellStyle name="输出 2 2 5 8" xfId="32809"/>
    <cellStyle name="输入 2 2 5 2 3" xfId="32810"/>
    <cellStyle name="输出 2 2 5 9" xfId="32811"/>
    <cellStyle name="输入 2 2 5 2 4" xfId="32812"/>
    <cellStyle name="输出 2 2 6 10" xfId="32813"/>
    <cellStyle name="输出 2 2 6 11" xfId="32814"/>
    <cellStyle name="输出 2 2 6 12" xfId="32815"/>
    <cellStyle name="输出 2 2 6 13" xfId="32816"/>
    <cellStyle name="输出 2 2 6 14" xfId="32817"/>
    <cellStyle name="输出 2 2 6 18" xfId="32818"/>
    <cellStyle name="输出 2 2 6 19" xfId="32819"/>
    <cellStyle name="输出 2 2 6 2" xfId="32820"/>
    <cellStyle name="输出 2 2 6 2 2" xfId="32821"/>
    <cellStyle name="输出 2 2 6 2 3" xfId="32822"/>
    <cellStyle name="输出 2 2 6 2 4" xfId="32823"/>
    <cellStyle name="输出 2 2 6 2 5" xfId="32824"/>
    <cellStyle name="输出 2 2 6 2 6" xfId="32825"/>
    <cellStyle name="输出 2 2 6 2 7" xfId="32826"/>
    <cellStyle name="输出 2 2 6 2 8" xfId="32827"/>
    <cellStyle name="输出 2 2 6 2 9" xfId="32828"/>
    <cellStyle name="输出 2 2 6 3 2 2" xfId="32829"/>
    <cellStyle name="输出 2 2 6 3 2 3" xfId="32830"/>
    <cellStyle name="输出 2 2 6 3 3" xfId="32831"/>
    <cellStyle name="输出 2 2 7 12" xfId="32832"/>
    <cellStyle name="输出 2 2 7 13" xfId="32833"/>
    <cellStyle name="输出 2 2 7 2" xfId="32834"/>
    <cellStyle name="输出 2 2 7 2 3" xfId="32835"/>
    <cellStyle name="输出 2 2 7 2 4" xfId="32836"/>
    <cellStyle name="输出 2 2 7 2 5" xfId="32837"/>
    <cellStyle name="输出 2 2 7 2 7" xfId="32838"/>
    <cellStyle name="输出 2 2 7 2 8" xfId="32839"/>
    <cellStyle name="输出 2 2 7 2 9" xfId="32840"/>
    <cellStyle name="输出 2 2 7 3" xfId="32841"/>
    <cellStyle name="输出 2 2 7 4" xfId="32842"/>
    <cellStyle name="输出 2 2 7 5" xfId="32843"/>
    <cellStyle name="输出 2 2 7 6" xfId="32844"/>
    <cellStyle name="输出 2 2 7 7" xfId="32845"/>
    <cellStyle name="输出 2 2 7 8" xfId="32846"/>
    <cellStyle name="输出 2 2 7 9" xfId="32847"/>
    <cellStyle name="输出 2 2 8 17" xfId="32848"/>
    <cellStyle name="输出 2 2 8 18" xfId="32849"/>
    <cellStyle name="输出 2 2 8 2 8" xfId="32850"/>
    <cellStyle name="输出 2 2 8 2 9" xfId="32851"/>
    <cellStyle name="输出 2 2 9 10" xfId="32852"/>
    <cellStyle name="输出 2 2 9 2" xfId="32853"/>
    <cellStyle name="输出 2 2 9 2 2" xfId="32854"/>
    <cellStyle name="输出 2 2 9 2 3" xfId="32855"/>
    <cellStyle name="输出 2 2 9 2 4" xfId="32856"/>
    <cellStyle name="输出 2 2 9 2 5" xfId="32857"/>
    <cellStyle name="输出 2 2 9 2 6" xfId="32858"/>
    <cellStyle name="输出 2 2 9 3" xfId="32859"/>
    <cellStyle name="输出 2 2 9 4" xfId="32860"/>
    <cellStyle name="输出 2 2 9 5" xfId="32861"/>
    <cellStyle name="输出 2 2 9 6" xfId="32862"/>
    <cellStyle name="输出 2 2 9 7" xfId="32863"/>
    <cellStyle name="输出 2 2 9 8" xfId="32864"/>
    <cellStyle name="输出 2 2 9 9" xfId="32865"/>
    <cellStyle name="输出 2 3" xfId="32866"/>
    <cellStyle name="输出 2 3 13" xfId="32867"/>
    <cellStyle name="输出 2 3 14" xfId="32868"/>
    <cellStyle name="输出 2 3 20" xfId="32869"/>
    <cellStyle name="输出 2 3 15" xfId="32870"/>
    <cellStyle name="输出 2 3 21" xfId="32871"/>
    <cellStyle name="输出 2 3 16" xfId="32872"/>
    <cellStyle name="输出 2 3 17" xfId="32873"/>
    <cellStyle name="输出 2 3 18" xfId="32874"/>
    <cellStyle name="输出 2 3 19" xfId="32875"/>
    <cellStyle name="输出 2 3 2 14" xfId="32876"/>
    <cellStyle name="输出 2 3 2 15" xfId="32877"/>
    <cellStyle name="输出 2 3 2 16" xfId="32878"/>
    <cellStyle name="输出 2 3 2 17" xfId="32879"/>
    <cellStyle name="输出 2 3 2 2 9" xfId="32880"/>
    <cellStyle name="输出 2 3 2 8" xfId="32881"/>
    <cellStyle name="输出 2 3 2 9" xfId="32882"/>
    <cellStyle name="输出 2 3 3 14" xfId="32883"/>
    <cellStyle name="输出 2 3 3 15" xfId="32884"/>
    <cellStyle name="输出 2 3 3 16" xfId="32885"/>
    <cellStyle name="输出 2 3 3 17" xfId="32886"/>
    <cellStyle name="输出 2 3 3 2 10" xfId="32887"/>
    <cellStyle name="输出 2 3 3 2 7" xfId="32888"/>
    <cellStyle name="输出 2 3 3 2 8" xfId="32889"/>
    <cellStyle name="输出 2 3 3 2 9" xfId="32890"/>
    <cellStyle name="输出 2 3 3 3" xfId="32891"/>
    <cellStyle name="输出 2 3 3 4" xfId="32892"/>
    <cellStyle name="输出 2 3 3 5" xfId="32893"/>
    <cellStyle name="输出 2 3 3 6" xfId="32894"/>
    <cellStyle name="输出 2 3 3 7" xfId="32895"/>
    <cellStyle name="输出 2 3 3 8" xfId="32896"/>
    <cellStyle name="输出 2 3 3 9" xfId="32897"/>
    <cellStyle name="输出 2 3 4 2 10" xfId="32898"/>
    <cellStyle name="输出 2 3 4 2 2" xfId="32899"/>
    <cellStyle name="输出 2 3 4 2 3" xfId="32900"/>
    <cellStyle name="输出 2 3 4 2 4" xfId="32901"/>
    <cellStyle name="输出 2 3 4 2 5" xfId="32902"/>
    <cellStyle name="输出 2 3 4 2 6" xfId="32903"/>
    <cellStyle name="输出 2 3 4 2 7" xfId="32904"/>
    <cellStyle name="输出 2 3 4 2 8" xfId="32905"/>
    <cellStyle name="输出 2 3 4 2 9" xfId="32906"/>
    <cellStyle name="输出 2 3 5 10" xfId="32907"/>
    <cellStyle name="输出 2 3 5 11" xfId="32908"/>
    <cellStyle name="输出 2 3 5 12" xfId="32909"/>
    <cellStyle name="输出 2 3 5 13" xfId="32910"/>
    <cellStyle name="输出 2 3 5 14" xfId="32911"/>
    <cellStyle name="输出 2 3 5 2 10" xfId="32912"/>
    <cellStyle name="输入 2 8 13" xfId="32913"/>
    <cellStyle name="输出 2 3 5 2 3" xfId="32914"/>
    <cellStyle name="注释 2 2 11 4" xfId="32915"/>
    <cellStyle name="输出 2 3 5 2 4" xfId="32916"/>
    <cellStyle name="注释 2 2 11 5" xfId="32917"/>
    <cellStyle name="输出 2 3 5 2 5" xfId="32918"/>
    <cellStyle name="注释 2 2 11 6" xfId="32919"/>
    <cellStyle name="输出 2 3 5 2 6" xfId="32920"/>
    <cellStyle name="注释 2 2 11 7" xfId="32921"/>
    <cellStyle name="输出 2 3 5 2 7" xfId="32922"/>
    <cellStyle name="注释 2 2 11 8" xfId="32923"/>
    <cellStyle name="输出 2 3 5 2 8" xfId="32924"/>
    <cellStyle name="注释 2 2 11 9" xfId="32925"/>
    <cellStyle name="输出 2 3 5 2 9" xfId="32926"/>
    <cellStyle name="输出 2 3 5 7" xfId="32927"/>
    <cellStyle name="输入 2 2 6 2 2" xfId="32928"/>
    <cellStyle name="输出 2 3 5 8" xfId="32929"/>
    <cellStyle name="输入 2 2 6 2 3" xfId="32930"/>
    <cellStyle name="输出 2 3 5 9" xfId="32931"/>
    <cellStyle name="输入 2 2 6 2 4" xfId="32932"/>
    <cellStyle name="输出 2 3 6 10" xfId="32933"/>
    <cellStyle name="输出 2 3 6 11" xfId="32934"/>
    <cellStyle name="输出 2 3 6 12" xfId="32935"/>
    <cellStyle name="输出 2 4" xfId="32936"/>
    <cellStyle name="输出 2 4 10" xfId="32937"/>
    <cellStyle name="输出 2 4 11" xfId="32938"/>
    <cellStyle name="输出 2 4 12" xfId="32939"/>
    <cellStyle name="输出 2 4 13" xfId="32940"/>
    <cellStyle name="输出 2 4 14" xfId="32941"/>
    <cellStyle name="输出 2 4 15" xfId="32942"/>
    <cellStyle name="输出 2 4 16" xfId="32943"/>
    <cellStyle name="输出 2 4 17" xfId="32944"/>
    <cellStyle name="输出 2 4 2 2" xfId="32945"/>
    <cellStyle name="输出 2 4 3" xfId="32946"/>
    <cellStyle name="输出 2 5 10" xfId="32947"/>
    <cellStyle name="输出 2 5 11" xfId="32948"/>
    <cellStyle name="输出 3 3 5 2" xfId="32949"/>
    <cellStyle name="输出 2 5 12" xfId="32950"/>
    <cellStyle name="输出 3 3 5 3" xfId="32951"/>
    <cellStyle name="输出 2 5 13" xfId="32952"/>
    <cellStyle name="输出 3 3 5 4" xfId="32953"/>
    <cellStyle name="输出 2 5 14" xfId="32954"/>
    <cellStyle name="输出 3 3 5 5" xfId="32955"/>
    <cellStyle name="输出 2 5 15" xfId="32956"/>
    <cellStyle name="输出 3 3 5 6" xfId="32957"/>
    <cellStyle name="输出 2 5 16" xfId="32958"/>
    <cellStyle name="输出 3 3 5 7" xfId="32959"/>
    <cellStyle name="输出 2 5 17" xfId="32960"/>
    <cellStyle name="输出 3 3 5 8" xfId="32961"/>
    <cellStyle name="输出 2 5 2 2" xfId="32962"/>
    <cellStyle name="输出 2 5 2 3" xfId="32963"/>
    <cellStyle name="输出 2 5 2 4" xfId="32964"/>
    <cellStyle name="输出 2 5 2 5" xfId="32965"/>
    <cellStyle name="输出 2 5 2 6" xfId="32966"/>
    <cellStyle name="输出 2 5 3" xfId="32967"/>
    <cellStyle name="输出 2 5 4" xfId="32968"/>
    <cellStyle name="输出 2 5 5" xfId="32969"/>
    <cellStyle name="输出 2 5 6" xfId="32970"/>
    <cellStyle name="输出 2 5 7" xfId="32971"/>
    <cellStyle name="输出 2 5 8" xfId="32972"/>
    <cellStyle name="输出 2 5 9" xfId="32973"/>
    <cellStyle name="输出 2 6 10" xfId="32974"/>
    <cellStyle name="输出 2 6 11" xfId="32975"/>
    <cellStyle name="输出 2 6 12" xfId="32976"/>
    <cellStyle name="输出 2 6 13" xfId="32977"/>
    <cellStyle name="输出 2 6 14" xfId="32978"/>
    <cellStyle name="输出 2 6 15" xfId="32979"/>
    <cellStyle name="输出 2 6 16" xfId="32980"/>
    <cellStyle name="输出 2 6 17" xfId="32981"/>
    <cellStyle name="输出 2 6 2" xfId="32982"/>
    <cellStyle name="注释 3 2 11 11" xfId="32983"/>
    <cellStyle name="输出 2 6 2 2" xfId="32984"/>
    <cellStyle name="输出 2 6 2 3" xfId="32985"/>
    <cellStyle name="输出 2 6 3" xfId="32986"/>
    <cellStyle name="注释 3 2 11 12" xfId="32987"/>
    <cellStyle name="输出 2 6 6" xfId="32988"/>
    <cellStyle name="输出 2 6 7" xfId="32989"/>
    <cellStyle name="输出 2 6 8" xfId="32990"/>
    <cellStyle name="输出 2 6 9" xfId="32991"/>
    <cellStyle name="输出 2 7 11" xfId="32992"/>
    <cellStyle name="输出 2 7 12" xfId="32993"/>
    <cellStyle name="输出 2 7 2" xfId="32994"/>
    <cellStyle name="输出 2 7 2 2" xfId="32995"/>
    <cellStyle name="输出 2 7 2 3" xfId="32996"/>
    <cellStyle name="输出 2 7 2 4" xfId="32997"/>
    <cellStyle name="输出 2 7 2 5" xfId="32998"/>
    <cellStyle name="输出 2 7 2 8" xfId="32999"/>
    <cellStyle name="输出 2 7 2 9" xfId="33000"/>
    <cellStyle name="输出 2 7 3" xfId="33001"/>
    <cellStyle name="输出 2 7 4" xfId="33002"/>
    <cellStyle name="输出 2 7 5" xfId="33003"/>
    <cellStyle name="输出 2 7 6" xfId="33004"/>
    <cellStyle name="输出 2 7 7" xfId="33005"/>
    <cellStyle name="输出 2 7 8" xfId="33006"/>
    <cellStyle name="输出 2 7 9" xfId="33007"/>
    <cellStyle name="输出 2 8 10" xfId="33008"/>
    <cellStyle name="输出 2 8 11" xfId="33009"/>
    <cellStyle name="输出 2 8 12" xfId="33010"/>
    <cellStyle name="输出 2 8 13" xfId="33011"/>
    <cellStyle name="输出 2 8 14" xfId="33012"/>
    <cellStyle name="输出 2 8 17" xfId="33013"/>
    <cellStyle name="输出 2 8 18" xfId="33014"/>
    <cellStyle name="输出 2 8 19" xfId="33015"/>
    <cellStyle name="输出 2 8 2" xfId="33016"/>
    <cellStyle name="输出 2 8 2 12" xfId="33017"/>
    <cellStyle name="输出 2 8 2 3" xfId="33018"/>
    <cellStyle name="输出 2 8 2 4" xfId="33019"/>
    <cellStyle name="输出 2 8 2 5" xfId="33020"/>
    <cellStyle name="输出 2 8 2 6" xfId="33021"/>
    <cellStyle name="输出 2 8 2 7" xfId="33022"/>
    <cellStyle name="输出 2 8 2 8" xfId="33023"/>
    <cellStyle name="输出 2 8 2 9" xfId="33024"/>
    <cellStyle name="输出 2 8 3" xfId="33025"/>
    <cellStyle name="输出 2 8 3 2 2" xfId="33026"/>
    <cellStyle name="输出 2 8 3 2 3" xfId="33027"/>
    <cellStyle name="输出 2 8 3 3" xfId="33028"/>
    <cellStyle name="输出 2 8 4" xfId="33029"/>
    <cellStyle name="输出 2 8 5" xfId="33030"/>
    <cellStyle name="输出 2 8 6" xfId="33031"/>
    <cellStyle name="输出 2 8 7" xfId="33032"/>
    <cellStyle name="输出 2 8 8" xfId="33033"/>
    <cellStyle name="输出 2 9 2" xfId="33034"/>
    <cellStyle name="输出 2 9 2 12" xfId="33035"/>
    <cellStyle name="输出 2 9 3" xfId="33036"/>
    <cellStyle name="输出 2 9 4" xfId="33037"/>
    <cellStyle name="输入 2 2" xfId="33038"/>
    <cellStyle name="输出 2 9 5" xfId="33039"/>
    <cellStyle name="输出 2 9 6" xfId="33040"/>
    <cellStyle name="输出 3 10 10" xfId="33041"/>
    <cellStyle name="输出 3 10 11" xfId="33042"/>
    <cellStyle name="输出 3 10 12" xfId="33043"/>
    <cellStyle name="输出 3 11 2" xfId="33044"/>
    <cellStyle name="输出 3 11 3" xfId="33045"/>
    <cellStyle name="输出 3 2 10" xfId="33046"/>
    <cellStyle name="输出 3 2 10 10" xfId="33047"/>
    <cellStyle name="输出 3 2 10 11" xfId="33048"/>
    <cellStyle name="输出 3 2 10 12" xfId="33049"/>
    <cellStyle name="输出 3 2 10 13" xfId="33050"/>
    <cellStyle name="输出 3 2 10 14" xfId="33051"/>
    <cellStyle name="输出 3 2 10 2 11" xfId="33052"/>
    <cellStyle name="输出 3 2 10 2 12" xfId="33053"/>
    <cellStyle name="输出 3 2 10 7" xfId="33054"/>
    <cellStyle name="输出 3 2 10 8" xfId="33055"/>
    <cellStyle name="输出 3 2 10 9" xfId="33056"/>
    <cellStyle name="输出 3 2 11" xfId="33057"/>
    <cellStyle name="输出 3 2 11 11" xfId="33058"/>
    <cellStyle name="输出 3 2 11 12" xfId="33059"/>
    <cellStyle name="输出 3 2 11 13" xfId="33060"/>
    <cellStyle name="输出 3 2 11 14" xfId="33061"/>
    <cellStyle name="输出 3 2 11 2 10" xfId="33062"/>
    <cellStyle name="输出 3 2 11 2 11" xfId="33063"/>
    <cellStyle name="输出 3 2 11 2 12" xfId="33064"/>
    <cellStyle name="输出 3 2 11 9" xfId="33065"/>
    <cellStyle name="输出 3 2 12" xfId="33066"/>
    <cellStyle name="输出 3 2 12 10" xfId="33067"/>
    <cellStyle name="输出 3 2 12 11" xfId="33068"/>
    <cellStyle name="输出 3 2 12 12" xfId="33069"/>
    <cellStyle name="输出 3 2 12 2 10" xfId="33070"/>
    <cellStyle name="输出 3 2 12 2 11" xfId="33071"/>
    <cellStyle name="输出 3 2 12 2 12" xfId="33072"/>
    <cellStyle name="输出 3 2 12 5" xfId="33073"/>
    <cellStyle name="输出 3 2 12 6" xfId="33074"/>
    <cellStyle name="输出 3 2 12 7" xfId="33075"/>
    <cellStyle name="输出 3 2 12 8" xfId="33076"/>
    <cellStyle name="输出 3 2 12 9" xfId="33077"/>
    <cellStyle name="输出 3 2 13 10" xfId="33078"/>
    <cellStyle name="输出 3 2 20" xfId="33079"/>
    <cellStyle name="输出 3 2 15" xfId="33080"/>
    <cellStyle name="输出 3 2 2" xfId="33081"/>
    <cellStyle name="输出 3 2 2 2" xfId="33082"/>
    <cellStyle name="输出 3 2 2 2 10" xfId="33083"/>
    <cellStyle name="输出 3 2 2 2 2" xfId="33084"/>
    <cellStyle name="输出 3 2 2 2 3" xfId="33085"/>
    <cellStyle name="输出 3 2 2 2 4" xfId="33086"/>
    <cellStyle name="输出 3 2 2 2 5" xfId="33087"/>
    <cellStyle name="输出 3 2 2 2 6" xfId="33088"/>
    <cellStyle name="输出 3 2 2 2 7" xfId="33089"/>
    <cellStyle name="输出 3 2 2 2 8" xfId="33090"/>
    <cellStyle name="输出 3 2 2 2 9" xfId="33091"/>
    <cellStyle name="输出 3 2 2 3" xfId="33092"/>
    <cellStyle name="输出 3 2 2 4" xfId="33093"/>
    <cellStyle name="输出 3 2 2 5" xfId="33094"/>
    <cellStyle name="输出 3 2 2 6" xfId="33095"/>
    <cellStyle name="输出 3 2 2 7" xfId="33096"/>
    <cellStyle name="输出 3 2 3" xfId="33097"/>
    <cellStyle name="输出 3 2 3 10" xfId="33098"/>
    <cellStyle name="输出 3 2 3 11" xfId="33099"/>
    <cellStyle name="输出 3 2 3 12" xfId="33100"/>
    <cellStyle name="输出 3 2 3 13" xfId="33101"/>
    <cellStyle name="输出 3 2 3 14" xfId="33102"/>
    <cellStyle name="输出 3 2 3 15" xfId="33103"/>
    <cellStyle name="输出 3 2 3 2 11" xfId="33104"/>
    <cellStyle name="输出 3 2 3 2 7" xfId="33105"/>
    <cellStyle name="输出 3 2 3 2 8" xfId="33106"/>
    <cellStyle name="输出 3 2 3 2 9" xfId="33107"/>
    <cellStyle name="输出 3 2 4" xfId="33108"/>
    <cellStyle name="输出 3 2 4 10" xfId="33109"/>
    <cellStyle name="输出 3 2 4 11" xfId="33110"/>
    <cellStyle name="输出 3 2 4 12" xfId="33111"/>
    <cellStyle name="输出 3 2 4 13" xfId="33112"/>
    <cellStyle name="输出 3 2 4 14" xfId="33113"/>
    <cellStyle name="输出 3 2 4 15" xfId="33114"/>
    <cellStyle name="输出 3 2 4 16" xfId="33115"/>
    <cellStyle name="输出 3 2 4 17" xfId="33116"/>
    <cellStyle name="输出 3 2 4 2 11" xfId="33117"/>
    <cellStyle name="输出 3 2 4 2 12" xfId="33118"/>
    <cellStyle name="输出 3 2 4 2 2" xfId="33119"/>
    <cellStyle name="输出 3 2 4 2 3" xfId="33120"/>
    <cellStyle name="输出 3 2 4 2 4" xfId="33121"/>
    <cellStyle name="输出 3 2 4 2 5" xfId="33122"/>
    <cellStyle name="输出 3 2 4 2 6" xfId="33123"/>
    <cellStyle name="输出 3 2 4 2 7" xfId="33124"/>
    <cellStyle name="输出 3 2 4 2 8" xfId="33125"/>
    <cellStyle name="输出 3 2 4 2 9" xfId="33126"/>
    <cellStyle name="输出 3 2 4 3" xfId="33127"/>
    <cellStyle name="输出 3 2 4 4" xfId="33128"/>
    <cellStyle name="输出 3 2 4 5" xfId="33129"/>
    <cellStyle name="输出 3 2 4 6" xfId="33130"/>
    <cellStyle name="输出 3 2 4 7" xfId="33131"/>
    <cellStyle name="输出 3 2 4 8" xfId="33132"/>
    <cellStyle name="输出 3 2 4 9" xfId="33133"/>
    <cellStyle name="输出 3 2 5" xfId="33134"/>
    <cellStyle name="输出 3 2 5 14" xfId="33135"/>
    <cellStyle name="输出 3 2 5 15" xfId="33136"/>
    <cellStyle name="输出 3 2 5 2" xfId="33137"/>
    <cellStyle name="输出 3 2 5 2 2" xfId="33138"/>
    <cellStyle name="输出 3 2 5 2 3" xfId="33139"/>
    <cellStyle name="输出 3 2 5 2 4" xfId="33140"/>
    <cellStyle name="输出 3 2 5 2 5" xfId="33141"/>
    <cellStyle name="输出 3 2 5 2 6" xfId="33142"/>
    <cellStyle name="输出 3 2 5 2 8" xfId="33143"/>
    <cellStyle name="输出 3 2 5 2 9" xfId="33144"/>
    <cellStyle name="输出 3 2 5 3" xfId="33145"/>
    <cellStyle name="输出 3 2 5 4" xfId="33146"/>
    <cellStyle name="输出 3 2 6" xfId="33147"/>
    <cellStyle name="输出 3 2 6 2" xfId="33148"/>
    <cellStyle name="输出 3 2 6 2 10" xfId="33149"/>
    <cellStyle name="输出 3 2 6 2 11" xfId="33150"/>
    <cellStyle name="输出 3 2 6 2 12" xfId="33151"/>
    <cellStyle name="输出 3 2 6 2 2" xfId="33152"/>
    <cellStyle name="输出 3 2 6 2 3" xfId="33153"/>
    <cellStyle name="输出 3 2 6 2 4" xfId="33154"/>
    <cellStyle name="输出 3 2 6 2 5" xfId="33155"/>
    <cellStyle name="输出 3 2 6 2 6" xfId="33156"/>
    <cellStyle name="输出 3 2 6 2 7" xfId="33157"/>
    <cellStyle name="输出 3 2 6 2 8" xfId="33158"/>
    <cellStyle name="输出 3 2 6 2 9" xfId="33159"/>
    <cellStyle name="输出 3 2 7" xfId="33160"/>
    <cellStyle name="输出 3 2 7 2 10" xfId="33161"/>
    <cellStyle name="输出 3 2 7 2 11" xfId="33162"/>
    <cellStyle name="输出 3 2 7 2 12" xfId="33163"/>
    <cellStyle name="输出 3 2 7 7" xfId="33164"/>
    <cellStyle name="输出 3 2 7 8" xfId="33165"/>
    <cellStyle name="输出 3 2 7 9" xfId="33166"/>
    <cellStyle name="输出 3 2 8" xfId="33167"/>
    <cellStyle name="输出 3 2 8 10" xfId="33168"/>
    <cellStyle name="输出 3 2 8 2 10" xfId="33169"/>
    <cellStyle name="输出 3 2 8 2 11" xfId="33170"/>
    <cellStyle name="输出 3 2 8 2 12" xfId="33171"/>
    <cellStyle name="输出 3 2 8 3 2" xfId="33172"/>
    <cellStyle name="输出 3 2 8 3 2 2" xfId="33173"/>
    <cellStyle name="输出 3 2 8 3 3" xfId="33174"/>
    <cellStyle name="输出 3 2 9 2" xfId="33175"/>
    <cellStyle name="输出 3 2 9 2 10" xfId="33176"/>
    <cellStyle name="输出 3 2 9 2 11" xfId="33177"/>
    <cellStyle name="输出 3 2 9 2 12" xfId="33178"/>
    <cellStyle name="输出 3 2 9 2 2" xfId="33179"/>
    <cellStyle name="输出 3 2 9 2 3" xfId="33180"/>
    <cellStyle name="输出 3 2 9 2 4" xfId="33181"/>
    <cellStyle name="输出 3 2 9 2 5" xfId="33182"/>
    <cellStyle name="输出 3 2 9 2 6" xfId="33183"/>
    <cellStyle name="输出 3 2 9 2 7" xfId="33184"/>
    <cellStyle name="输出 3 2 9 2 8" xfId="33185"/>
    <cellStyle name="输出 3 2 9 2 9" xfId="33186"/>
    <cellStyle name="输出 3 2 9 3" xfId="33187"/>
    <cellStyle name="输出 3 2 9 3 2 2" xfId="33188"/>
    <cellStyle name="输出 3 2 9 3 2 3" xfId="33189"/>
    <cellStyle name="输出 3 2 9 4" xfId="33190"/>
    <cellStyle name="输出 3 2 9 5" xfId="33191"/>
    <cellStyle name="输出 3 2 9 6" xfId="33192"/>
    <cellStyle name="输出 3 2 9 7" xfId="33193"/>
    <cellStyle name="输出 3 2 9 8" xfId="33194"/>
    <cellStyle name="输出 3 2 9 9" xfId="33195"/>
    <cellStyle name="输入 2 2 11 2" xfId="33196"/>
    <cellStyle name="输出 3 27" xfId="33197"/>
    <cellStyle name="输出 3 28" xfId="33198"/>
    <cellStyle name="输出 3 3" xfId="33199"/>
    <cellStyle name="输出 3 3 16" xfId="33200"/>
    <cellStyle name="输出 3 3 17" xfId="33201"/>
    <cellStyle name="输出 3 3 18" xfId="33202"/>
    <cellStyle name="输出 3 3 2 10" xfId="33203"/>
    <cellStyle name="输出 3 3 2 11" xfId="33204"/>
    <cellStyle name="输出 3 3 2 12" xfId="33205"/>
    <cellStyle name="输出 3 3 2 13" xfId="33206"/>
    <cellStyle name="输出 3 3 2 14" xfId="33207"/>
    <cellStyle name="输出 3 3 2 15" xfId="33208"/>
    <cellStyle name="输出 3 3 2 16" xfId="33209"/>
    <cellStyle name="输出 3 3 2 17" xfId="33210"/>
    <cellStyle name="输出 3 3 2 2 10" xfId="33211"/>
    <cellStyle name="输出 3 3 2 2 11" xfId="33212"/>
    <cellStyle name="输出 3 3 2 2 2" xfId="33213"/>
    <cellStyle name="输出 3 3 2 2 3" xfId="33214"/>
    <cellStyle name="输出 3 3 2 2 9" xfId="33215"/>
    <cellStyle name="输出 3 3 2 4" xfId="33216"/>
    <cellStyle name="输出 3 3 2 5" xfId="33217"/>
    <cellStyle name="输出 3 3 3 13" xfId="33218"/>
    <cellStyle name="输出 3 3 3 2 10" xfId="33219"/>
    <cellStyle name="输出 3 3 3 2 11" xfId="33220"/>
    <cellStyle name="输出 3 3 3 2 7" xfId="33221"/>
    <cellStyle name="输出 3 3 3 2 8" xfId="33222"/>
    <cellStyle name="输出 3 3 3 2 9" xfId="33223"/>
    <cellStyle name="输出 3 3 3 3" xfId="33224"/>
    <cellStyle name="输出 3 3 3 4" xfId="33225"/>
    <cellStyle name="输出 3 3 3 5" xfId="33226"/>
    <cellStyle name="输出 3 3 3 6" xfId="33227"/>
    <cellStyle name="输出 3 3 3 8" xfId="33228"/>
    <cellStyle name="输出 3 3 4 2 10" xfId="33229"/>
    <cellStyle name="输出 3 3 4 2 11" xfId="33230"/>
    <cellStyle name="输出 3 3 4 2 12" xfId="33231"/>
    <cellStyle name="输出 3 3 4 2 2" xfId="33232"/>
    <cellStyle name="输出 3 3 4 2 3" xfId="33233"/>
    <cellStyle name="输出 3 3 4 2 4" xfId="33234"/>
    <cellStyle name="输出 3 3 4 2 5" xfId="33235"/>
    <cellStyle name="输出 3 3 4 2 6" xfId="33236"/>
    <cellStyle name="输出 3 3 4 2 7" xfId="33237"/>
    <cellStyle name="输出 3 3 5 9" xfId="33238"/>
    <cellStyle name="输出 3 4" xfId="33239"/>
    <cellStyle name="输出 3 4 13" xfId="33240"/>
    <cellStyle name="输出 3 4 14" xfId="33241"/>
    <cellStyle name="输出 3 4 17" xfId="33242"/>
    <cellStyle name="输出 3 4 18" xfId="33243"/>
    <cellStyle name="输出 3 4 19" xfId="33244"/>
    <cellStyle name="输出 3 4 2 2" xfId="33245"/>
    <cellStyle name="输出 3 4 2 3" xfId="33246"/>
    <cellStyle name="输出 3 4 2 4" xfId="33247"/>
    <cellStyle name="输出 3 4 2 5" xfId="33248"/>
    <cellStyle name="输出 3 4 2 7" xfId="33249"/>
    <cellStyle name="输出 3 4 2 8" xfId="33250"/>
    <cellStyle name="输出 3 4 2 9" xfId="33251"/>
    <cellStyle name="输出 3 4 3 2" xfId="33252"/>
    <cellStyle name="输出 3 4 3 3" xfId="33253"/>
    <cellStyle name="输出 3 5 13" xfId="33254"/>
    <cellStyle name="输出 3 5 14" xfId="33255"/>
    <cellStyle name="输出 3 5 15" xfId="33256"/>
    <cellStyle name="输出 3 5 16" xfId="33257"/>
    <cellStyle name="输出 3 5 17" xfId="33258"/>
    <cellStyle name="输出 3 5 2 2" xfId="33259"/>
    <cellStyle name="输出 3 5 2 3" xfId="33260"/>
    <cellStyle name="输出 3 5 2 6" xfId="33261"/>
    <cellStyle name="输出 3 5 2 7" xfId="33262"/>
    <cellStyle name="输出 3 5 2 8" xfId="33263"/>
    <cellStyle name="输出 3 5 2 9" xfId="33264"/>
    <cellStyle name="输出 3 5 3" xfId="33265"/>
    <cellStyle name="输出 3 5 4" xfId="33266"/>
    <cellStyle name="输出 3 5 5" xfId="33267"/>
    <cellStyle name="输出 3 5 6" xfId="33268"/>
    <cellStyle name="输出 3 5 7" xfId="33269"/>
    <cellStyle name="输出 3 5 8" xfId="33270"/>
    <cellStyle name="输出 3 5 9" xfId="33271"/>
    <cellStyle name="输出 3 6 19" xfId="33272"/>
    <cellStyle name="输出 3 6 2 10" xfId="33273"/>
    <cellStyle name="输出 3 6 2 11" xfId="33274"/>
    <cellStyle name="输出 3 6 2 12" xfId="33275"/>
    <cellStyle name="输出 3 6 2 3" xfId="33276"/>
    <cellStyle name="输出 3 6 2 4" xfId="33277"/>
    <cellStyle name="输出 3 6 2 5" xfId="33278"/>
    <cellStyle name="输出 3 7 10" xfId="33279"/>
    <cellStyle name="输出 3 7 11" xfId="33280"/>
    <cellStyle name="输出 3 7 12" xfId="33281"/>
    <cellStyle name="输出 3 7 16" xfId="33282"/>
    <cellStyle name="输出 3 7 17" xfId="33283"/>
    <cellStyle name="输出 3 7 2 2" xfId="33284"/>
    <cellStyle name="输出 3 7 2 3" xfId="33285"/>
    <cellStyle name="输出 3 7 2 4" xfId="33286"/>
    <cellStyle name="输出 3 7 2 5" xfId="33287"/>
    <cellStyle name="输出 3 7 2 8" xfId="33288"/>
    <cellStyle name="输出 3 7 2 9" xfId="33289"/>
    <cellStyle name="输出 3 7 5" xfId="33290"/>
    <cellStyle name="输出 3 7 6" xfId="33291"/>
    <cellStyle name="输出 3 7 7" xfId="33292"/>
    <cellStyle name="输出 3 7 8" xfId="33293"/>
    <cellStyle name="输出 3 8 10" xfId="33294"/>
    <cellStyle name="输出 3 8 11" xfId="33295"/>
    <cellStyle name="输出 3 8 2 4" xfId="33296"/>
    <cellStyle name="输出 3 8 2 5" xfId="33297"/>
    <cellStyle name="输出 3 8 2 6" xfId="33298"/>
    <cellStyle name="输出 3 8 2 7" xfId="33299"/>
    <cellStyle name="输出 3 8 2 8" xfId="33300"/>
    <cellStyle name="输出 3 8 2 9" xfId="33301"/>
    <cellStyle name="输出 3 9 10" xfId="33302"/>
    <cellStyle name="输出 3 9 11" xfId="33303"/>
    <cellStyle name="输出 3 9 12" xfId="33304"/>
    <cellStyle name="输出 3 9 13" xfId="33305"/>
    <cellStyle name="输出 3 9 14" xfId="33306"/>
    <cellStyle name="输出 3 9 2 3" xfId="33307"/>
    <cellStyle name="输出 3 9 9" xfId="33308"/>
    <cellStyle name="输出 4 10" xfId="33309"/>
    <cellStyle name="输出 4 11" xfId="33310"/>
    <cellStyle name="输出 4 2 10" xfId="33311"/>
    <cellStyle name="输出 4 2 11" xfId="33312"/>
    <cellStyle name="输出 4 2 12" xfId="33313"/>
    <cellStyle name="输出 4 2 7" xfId="33314"/>
    <cellStyle name="输出 4 2 8" xfId="33315"/>
    <cellStyle name="输出 4 2 9" xfId="33316"/>
    <cellStyle name="输入 2 10" xfId="33317"/>
    <cellStyle name="输入 2 10 11" xfId="33318"/>
    <cellStyle name="输入 2 10 12" xfId="33319"/>
    <cellStyle name="输入 2 10 3" xfId="33320"/>
    <cellStyle name="输入 2 10 4" xfId="33321"/>
    <cellStyle name="输入 2 10 5" xfId="33322"/>
    <cellStyle name="输入 2 10 6" xfId="33323"/>
    <cellStyle name="输入 2 10 7" xfId="33324"/>
    <cellStyle name="输入 2 10 8" xfId="33325"/>
    <cellStyle name="输入 2 10 9" xfId="33326"/>
    <cellStyle name="输入 2 11" xfId="33327"/>
    <cellStyle name="输入 2 12" xfId="33328"/>
    <cellStyle name="输入 2 13" xfId="33329"/>
    <cellStyle name="输入 2 14" xfId="33330"/>
    <cellStyle name="输入 2 20" xfId="33331"/>
    <cellStyle name="输入 2 15" xfId="33332"/>
    <cellStyle name="输入 2 21" xfId="33333"/>
    <cellStyle name="输入 2 16" xfId="33334"/>
    <cellStyle name="输入 2 22" xfId="33335"/>
    <cellStyle name="输入 2 17" xfId="33336"/>
    <cellStyle name="输入 2 2 10 2 2" xfId="33337"/>
    <cellStyle name="输入 2 2 10 2 3" xfId="33338"/>
    <cellStyle name="输入 2 2 10 5" xfId="33339"/>
    <cellStyle name="输入 2 2 10 6" xfId="33340"/>
    <cellStyle name="输入 2 2 10 7" xfId="33341"/>
    <cellStyle name="输入 2 2 10 8" xfId="33342"/>
    <cellStyle name="输入 2 2 10 9" xfId="33343"/>
    <cellStyle name="输入 2 2 11 2 10" xfId="33344"/>
    <cellStyle name="输入 2 2 11 2 11" xfId="33345"/>
    <cellStyle name="输入 2 2 11 2 2" xfId="33346"/>
    <cellStyle name="输入 2 2 11 2 3" xfId="33347"/>
    <cellStyle name="输入 2 2 11 2 4" xfId="33348"/>
    <cellStyle name="输入 2 2 11 2 5" xfId="33349"/>
    <cellStyle name="输入 2 2 11 2 6" xfId="33350"/>
    <cellStyle name="输入 2 2 11 2 7" xfId="33351"/>
    <cellStyle name="输入 2 2 11 2 8" xfId="33352"/>
    <cellStyle name="输入 2 2 11 2 9" xfId="33353"/>
    <cellStyle name="输入 2 2 12" xfId="33354"/>
    <cellStyle name="输入 2 2 12 2" xfId="33355"/>
    <cellStyle name="输入 2 2 12 2 10" xfId="33356"/>
    <cellStyle name="输入 2 2 12 2 11" xfId="33357"/>
    <cellStyle name="输入 2 2 12 2 12" xfId="33358"/>
    <cellStyle name="输入 2 2 12 2 2" xfId="33359"/>
    <cellStyle name="输入 2 2 13" xfId="33360"/>
    <cellStyle name="输入 2 2 14" xfId="33361"/>
    <cellStyle name="输入 2 2 15" xfId="33362"/>
    <cellStyle name="输入 2 2 20" xfId="33363"/>
    <cellStyle name="输入 2 2 16" xfId="33364"/>
    <cellStyle name="输入 2 2 21" xfId="33365"/>
    <cellStyle name="输入 2 2 17" xfId="33366"/>
    <cellStyle name="输入 2 2 22" xfId="33367"/>
    <cellStyle name="输入 2 2 19" xfId="33368"/>
    <cellStyle name="输入 2 2 24" xfId="33369"/>
    <cellStyle name="输入 2 2 2" xfId="33370"/>
    <cellStyle name="输入 2 2 2 17" xfId="33371"/>
    <cellStyle name="输入 2 2 2 2" xfId="33372"/>
    <cellStyle name="输入 2 2 2 2 9" xfId="33373"/>
    <cellStyle name="输入 2 2 2 3" xfId="33374"/>
    <cellStyle name="输入 2 2 2 4" xfId="33375"/>
    <cellStyle name="输入 2 2 2 5" xfId="33376"/>
    <cellStyle name="输入 2 2 2 9" xfId="33377"/>
    <cellStyle name="输入 2 2 3" xfId="33378"/>
    <cellStyle name="输入 2 2 3 15" xfId="33379"/>
    <cellStyle name="输入 2 2 3 16" xfId="33380"/>
    <cellStyle name="输入 2 2 3 17" xfId="33381"/>
    <cellStyle name="输入 2 2 3 2" xfId="33382"/>
    <cellStyle name="输入 2 2 3 3" xfId="33383"/>
    <cellStyle name="输入 2 2 3 4" xfId="33384"/>
    <cellStyle name="输入 2 2 3 5" xfId="33385"/>
    <cellStyle name="输入 2 2 3 6" xfId="33386"/>
    <cellStyle name="输入 2 2 3 7" xfId="33387"/>
    <cellStyle name="输入 2 2 3 8" xfId="33388"/>
    <cellStyle name="输入 2 2 4" xfId="33389"/>
    <cellStyle name="输入 2 2 4 11" xfId="33390"/>
    <cellStyle name="输入 2 2 4 12" xfId="33391"/>
    <cellStyle name="输入 2 2 4 13" xfId="33392"/>
    <cellStyle name="输入 2 2 4 14" xfId="33393"/>
    <cellStyle name="输入 2 2 4 15" xfId="33394"/>
    <cellStyle name="输入 2 2 4 16" xfId="33395"/>
    <cellStyle name="输入 2 2 4 17" xfId="33396"/>
    <cellStyle name="输入 2 2 4 2" xfId="33397"/>
    <cellStyle name="输入 2 2 4 2 3" xfId="33398"/>
    <cellStyle name="输入 2 2 4 3" xfId="33399"/>
    <cellStyle name="输入 2 2 4 4" xfId="33400"/>
    <cellStyle name="输入 2 2 4 5" xfId="33401"/>
    <cellStyle name="输入 2 2 4 6" xfId="33402"/>
    <cellStyle name="输入 2 2 4 7" xfId="33403"/>
    <cellStyle name="输入 2 2 4 8" xfId="33404"/>
    <cellStyle name="输入 2 2 5" xfId="33405"/>
    <cellStyle name="输入 2 2 5 2 10" xfId="33406"/>
    <cellStyle name="输入 2 2 5 2 5" xfId="33407"/>
    <cellStyle name="输入 2 2 5 2 6" xfId="33408"/>
    <cellStyle name="输入 2 2 5 2 7" xfId="33409"/>
    <cellStyle name="输入 2 2 5 2 8" xfId="33410"/>
    <cellStyle name="输入 2 2 5 2 9" xfId="33411"/>
    <cellStyle name="输入 2 2 5 8" xfId="33412"/>
    <cellStyle name="输入 2 2 6 2 10" xfId="33413"/>
    <cellStyle name="输入 2 2 6 2 11" xfId="33414"/>
    <cellStyle name="输入 2 2 6 2 12" xfId="33415"/>
    <cellStyle name="输入 2 2 6 2 5" xfId="33416"/>
    <cellStyle name="输入 2 2 6 2 6" xfId="33417"/>
    <cellStyle name="输入 2 2 6 2 7" xfId="33418"/>
    <cellStyle name="输入 2 2 7 2 10" xfId="33419"/>
    <cellStyle name="输入 2 2 7 2 11" xfId="33420"/>
    <cellStyle name="输入 2 2 7 2 12" xfId="33421"/>
    <cellStyle name="输入 2 2 7 2 2" xfId="33422"/>
    <cellStyle name="输入 2 2 7 2 3" xfId="33423"/>
    <cellStyle name="输入 2 2 7 9" xfId="33424"/>
    <cellStyle name="输入 2 2 8 10" xfId="33425"/>
    <cellStyle name="输入 2 2 8 11" xfId="33426"/>
    <cellStyle name="输入 2 2 8 12" xfId="33427"/>
    <cellStyle name="输入 2 2 8 2" xfId="33428"/>
    <cellStyle name="输入 2 2 8 2 10" xfId="33429"/>
    <cellStyle name="输入 2 2 8 2 11" xfId="33430"/>
    <cellStyle name="输入 2 2 8 2 12" xfId="33431"/>
    <cellStyle name="输入 2 2 8 2 2" xfId="33432"/>
    <cellStyle name="输入 2 2 8 2 3" xfId="33433"/>
    <cellStyle name="输入 2 2 8 2 4" xfId="33434"/>
    <cellStyle name="输入 2 2 8 2 5" xfId="33435"/>
    <cellStyle name="输入 2 2 8 2 6" xfId="33436"/>
    <cellStyle name="输入 2 2 8 3" xfId="33437"/>
    <cellStyle name="输入 2 2 9" xfId="33438"/>
    <cellStyle name="输入 2 2 9 10" xfId="33439"/>
    <cellStyle name="输入 2 2 9 11" xfId="33440"/>
    <cellStyle name="输入 2 2 9 12" xfId="33441"/>
    <cellStyle name="输入 2 2 9 13" xfId="33442"/>
    <cellStyle name="输入 2 2 9 14" xfId="33443"/>
    <cellStyle name="输入 2 2 9 2" xfId="33444"/>
    <cellStyle name="输入 2 2 9 2 10" xfId="33445"/>
    <cellStyle name="输入 2 2 9 2 11" xfId="33446"/>
    <cellStyle name="输入 2 2 9 2 12" xfId="33447"/>
    <cellStyle name="输入 2 2 9 2 2" xfId="33448"/>
    <cellStyle name="输入 2 2 9 2 3" xfId="33449"/>
    <cellStyle name="输入 2 2 9 2 4" xfId="33450"/>
    <cellStyle name="输入 2 2 9 2 5" xfId="33451"/>
    <cellStyle name="输入 2 2 9 2 6" xfId="33452"/>
    <cellStyle name="输入 2 2 9 2 9" xfId="33453"/>
    <cellStyle name="输入 2 2 9 3" xfId="33454"/>
    <cellStyle name="输入 2 2 9 4" xfId="33455"/>
    <cellStyle name="输入 2 2 9 5" xfId="33456"/>
    <cellStyle name="输入 2 2 9 6" xfId="33457"/>
    <cellStyle name="输入 2 2 9 7" xfId="33458"/>
    <cellStyle name="输入 2 2 9 8" xfId="33459"/>
    <cellStyle name="输入 2 2 9 9" xfId="33460"/>
    <cellStyle name="输入 2 25" xfId="33461"/>
    <cellStyle name="输入 2 3" xfId="33462"/>
    <cellStyle name="输入 2 3 10" xfId="33463"/>
    <cellStyle name="输入 2 3 11" xfId="33464"/>
    <cellStyle name="输入 2 3 12" xfId="33465"/>
    <cellStyle name="输入 2 3 13" xfId="33466"/>
    <cellStyle name="输入 2 3 14" xfId="33467"/>
    <cellStyle name="输入 2 3 20" xfId="33468"/>
    <cellStyle name="输入 2 3 15" xfId="33469"/>
    <cellStyle name="输入 2 3 21" xfId="33470"/>
    <cellStyle name="输入 2 3 16" xfId="33471"/>
    <cellStyle name="输入 2 3 17" xfId="33472"/>
    <cellStyle name="输入 2 3 18" xfId="33473"/>
    <cellStyle name="输入 2 3 19" xfId="33474"/>
    <cellStyle name="输入 2 3 2 10" xfId="33475"/>
    <cellStyle name="输入 2 3 2 14" xfId="33476"/>
    <cellStyle name="输入 2 3 2 15" xfId="33477"/>
    <cellStyle name="输入 2 3 2 16" xfId="33478"/>
    <cellStyle name="输入 2 3 2 17" xfId="33479"/>
    <cellStyle name="输入 2 3 2 2" xfId="33480"/>
    <cellStyle name="输入 2 3 2 2 9" xfId="33481"/>
    <cellStyle name="输入 2 3 2 3" xfId="33482"/>
    <cellStyle name="输入 2 3 2 5" xfId="33483"/>
    <cellStyle name="输入 2 3 2 6" xfId="33484"/>
    <cellStyle name="输入 2 3 2 7" xfId="33485"/>
    <cellStyle name="输入 2 3 2 8" xfId="33486"/>
    <cellStyle name="输入 2 3 2 9" xfId="33487"/>
    <cellStyle name="输入 2 3 3 10" xfId="33488"/>
    <cellStyle name="输入 2 3 3 11" xfId="33489"/>
    <cellStyle name="输入 2 3 3 12" xfId="33490"/>
    <cellStyle name="输入 2 3 3 13" xfId="33491"/>
    <cellStyle name="输入 2 3 3 14" xfId="33492"/>
    <cellStyle name="输入 2 3 3 16" xfId="33493"/>
    <cellStyle name="输入 2 3 3 17" xfId="33494"/>
    <cellStyle name="输入 2 3 3 2" xfId="33495"/>
    <cellStyle name="输入 2 3 3 2 9" xfId="33496"/>
    <cellStyle name="输入 2 3 3 3" xfId="33497"/>
    <cellStyle name="输入 2 3 3 4" xfId="33498"/>
    <cellStyle name="输入 2 3 3 5" xfId="33499"/>
    <cellStyle name="输入 2 3 3 6" xfId="33500"/>
    <cellStyle name="输入 2 3 3 7" xfId="33501"/>
    <cellStyle name="输入 2 3 3 8" xfId="33502"/>
    <cellStyle name="输入 2 3 3 9" xfId="33503"/>
    <cellStyle name="输入 2 3 4" xfId="33504"/>
    <cellStyle name="输入 2 3 4 10" xfId="33505"/>
    <cellStyle name="输入 2 3 4 11" xfId="33506"/>
    <cellStyle name="输入 2 3 4 12" xfId="33507"/>
    <cellStyle name="输入 2 3 4 13" xfId="33508"/>
    <cellStyle name="输入 2 3 4 14" xfId="33509"/>
    <cellStyle name="输入 2 3 4 15" xfId="33510"/>
    <cellStyle name="输入 2 3 4 16" xfId="33511"/>
    <cellStyle name="输入 2 3 4 17" xfId="33512"/>
    <cellStyle name="输入 2 3 4 2" xfId="33513"/>
    <cellStyle name="输入 2 3 4 2 10" xfId="33514"/>
    <cellStyle name="输入 2 3 4 2 11" xfId="33515"/>
    <cellStyle name="输入 2 3 4 2 12" xfId="33516"/>
    <cellStyle name="输入 2 3 4 2 2" xfId="33517"/>
    <cellStyle name="输入 2 3 4 2 3" xfId="33518"/>
    <cellStyle name="输入 2 3 5" xfId="33519"/>
    <cellStyle name="输入 2 3 5 11" xfId="33520"/>
    <cellStyle name="输入 2 3 5 12" xfId="33521"/>
    <cellStyle name="输入 2 3 5 13" xfId="33522"/>
    <cellStyle name="输入 2 3 5 14" xfId="33523"/>
    <cellStyle name="输入 2 3 5 15" xfId="33524"/>
    <cellStyle name="输入 2 3 5 16" xfId="33525"/>
    <cellStyle name="输入 2 3 5 17" xfId="33526"/>
    <cellStyle name="输入 2 3 5 18" xfId="33527"/>
    <cellStyle name="输入 2 3 5 2" xfId="33528"/>
    <cellStyle name="输入 2 3 5 3" xfId="33529"/>
    <cellStyle name="输入 2 3 5 4" xfId="33530"/>
    <cellStyle name="输入 2 3 5 5" xfId="33531"/>
    <cellStyle name="输入 2 3 5 6" xfId="33532"/>
    <cellStyle name="输入 2 3 5 7" xfId="33533"/>
    <cellStyle name="输入 2 3 5 8" xfId="33534"/>
    <cellStyle name="输入 2 3 5 9" xfId="33535"/>
    <cellStyle name="输入 2 3 6" xfId="33536"/>
    <cellStyle name="输入 2 3 7" xfId="33537"/>
    <cellStyle name="输入 2 3 8" xfId="33538"/>
    <cellStyle name="输入 2 3 9" xfId="33539"/>
    <cellStyle name="输入 2 4" xfId="33540"/>
    <cellStyle name="输入 2 4 10" xfId="33541"/>
    <cellStyle name="输入 2 4 11" xfId="33542"/>
    <cellStyle name="输入 2 4 12" xfId="33543"/>
    <cellStyle name="输入 2 4 13" xfId="33544"/>
    <cellStyle name="输入 2 4 14" xfId="33545"/>
    <cellStyle name="输入 2 4 20" xfId="33546"/>
    <cellStyle name="输入 2 4 15" xfId="33547"/>
    <cellStyle name="输入 2 4 21" xfId="33548"/>
    <cellStyle name="输入 2 4 16" xfId="33549"/>
    <cellStyle name="输入 2 4 17" xfId="33550"/>
    <cellStyle name="输入 2 4 18" xfId="33551"/>
    <cellStyle name="输入 2 4 19" xfId="33552"/>
    <cellStyle name="输入 2 4 2" xfId="33553"/>
    <cellStyle name="输入 2 4 2 10" xfId="33554"/>
    <cellStyle name="输入 2 4 2 11" xfId="33555"/>
    <cellStyle name="输入 2 4 2 12" xfId="33556"/>
    <cellStyle name="输入 2 4 2 2" xfId="33557"/>
    <cellStyle name="注释 2 2 3 2 12" xfId="33558"/>
    <cellStyle name="输入 2 4 2 5" xfId="33559"/>
    <cellStyle name="输入 2 4 2 6" xfId="33560"/>
    <cellStyle name="输入 2 4 2 7" xfId="33561"/>
    <cellStyle name="输入 2 4 2 8" xfId="33562"/>
    <cellStyle name="输入 2 4 2 9" xfId="33563"/>
    <cellStyle name="输入 2 4 3" xfId="33564"/>
    <cellStyle name="输入 2 4 3 2" xfId="33565"/>
    <cellStyle name="输入 2 4 3 3" xfId="33566"/>
    <cellStyle name="输入 2 4 4" xfId="33567"/>
    <cellStyle name="输入 2 4 5" xfId="33568"/>
    <cellStyle name="输入 2 4 6" xfId="33569"/>
    <cellStyle name="输入 2 4 7" xfId="33570"/>
    <cellStyle name="输入 2 4 8" xfId="33571"/>
    <cellStyle name="输入 2 4 9" xfId="33572"/>
    <cellStyle name="输入 2 5" xfId="33573"/>
    <cellStyle name="输入 2 5 12" xfId="33574"/>
    <cellStyle name="输入 2 5 13" xfId="33575"/>
    <cellStyle name="输入 2 5 14" xfId="33576"/>
    <cellStyle name="输入 2 5 15" xfId="33577"/>
    <cellStyle name="输入 2 5 16" xfId="33578"/>
    <cellStyle name="输入 2 5 17" xfId="33579"/>
    <cellStyle name="输入 2 5 2" xfId="33580"/>
    <cellStyle name="输入 2 5 2 2" xfId="33581"/>
    <cellStyle name="输入 2 5 2 3" xfId="33582"/>
    <cellStyle name="输入 2 5 2 4" xfId="33583"/>
    <cellStyle name="输入 2 5 2 5" xfId="33584"/>
    <cellStyle name="输入 2 5 2 6" xfId="33585"/>
    <cellStyle name="输入 2 5 2 7" xfId="33586"/>
    <cellStyle name="输入 2 5 2 8" xfId="33587"/>
    <cellStyle name="输入 2 5 2 9" xfId="33588"/>
    <cellStyle name="输入 2 5 3" xfId="33589"/>
    <cellStyle name="输入 2 5 4" xfId="33590"/>
    <cellStyle name="输入 2 5 5" xfId="33591"/>
    <cellStyle name="输入 2 5 6" xfId="33592"/>
    <cellStyle name="输入 2 5 7" xfId="33593"/>
    <cellStyle name="输入 2 5 8" xfId="33594"/>
    <cellStyle name="输入 2 5 9" xfId="33595"/>
    <cellStyle name="输入 2 6" xfId="33596"/>
    <cellStyle name="输入 2 6 10" xfId="33597"/>
    <cellStyle name="输入 2 6 13" xfId="33598"/>
    <cellStyle name="输入 3 2 2 2" xfId="33599"/>
    <cellStyle name="输入 2 6 14" xfId="33600"/>
    <cellStyle name="输入 3 2 2 3" xfId="33601"/>
    <cellStyle name="输入 2 6 20" xfId="33602"/>
    <cellStyle name="输入 2 6 15" xfId="33603"/>
    <cellStyle name="输入 3 2 2 4" xfId="33604"/>
    <cellStyle name="输入 2 6 21" xfId="33605"/>
    <cellStyle name="输入 2 6 16" xfId="33606"/>
    <cellStyle name="输入 3 2 2 5" xfId="33607"/>
    <cellStyle name="输入 2 6 17" xfId="33608"/>
    <cellStyle name="输入 2 6 2 2" xfId="33609"/>
    <cellStyle name="输入 2 6 2 3" xfId="33610"/>
    <cellStyle name="输入 2 6 2 4" xfId="33611"/>
    <cellStyle name="输入 2 6 2 5" xfId="33612"/>
    <cellStyle name="输入 2 6 2 6" xfId="33613"/>
    <cellStyle name="输入 2 6 2 7" xfId="33614"/>
    <cellStyle name="输入 2 6 2 8" xfId="33615"/>
    <cellStyle name="输入 2 6 2 9" xfId="33616"/>
    <cellStyle name="输入 2 6 3" xfId="33617"/>
    <cellStyle name="输入 2 6 3 2" xfId="33618"/>
    <cellStyle name="输入 2 6 3 3" xfId="33619"/>
    <cellStyle name="输入 2 6 4" xfId="33620"/>
    <cellStyle name="输入 2 6 5" xfId="33621"/>
    <cellStyle name="输入 2 6 6" xfId="33622"/>
    <cellStyle name="输入 2 6 7" xfId="33623"/>
    <cellStyle name="输入 2 6 8" xfId="33624"/>
    <cellStyle name="输入 2 6 9" xfId="33625"/>
    <cellStyle name="输入 2 7" xfId="33626"/>
    <cellStyle name="输入 3 2 7 5" xfId="33627"/>
    <cellStyle name="输入 2 7 17" xfId="33628"/>
    <cellStyle name="输入 3 2 7 6" xfId="33629"/>
    <cellStyle name="输入 2 7 18" xfId="33630"/>
    <cellStyle name="输入 3 2 7 7" xfId="33631"/>
    <cellStyle name="输入 2 7 19" xfId="33632"/>
    <cellStyle name="输入 2 7 2 11" xfId="33633"/>
    <cellStyle name="输入 2 7 2 12" xfId="33634"/>
    <cellStyle name="输入 2 7 2 2" xfId="33635"/>
    <cellStyle name="输入 2 7 2 3" xfId="33636"/>
    <cellStyle name="输入 2 7 2 4" xfId="33637"/>
    <cellStyle name="输入 2 7 2 5" xfId="33638"/>
    <cellStyle name="输入 2 7 2 6" xfId="33639"/>
    <cellStyle name="输入 2 7 2 7" xfId="33640"/>
    <cellStyle name="输入 2 7 2 8" xfId="33641"/>
    <cellStyle name="输入 2 7 2 9" xfId="33642"/>
    <cellStyle name="输入 2 7 3" xfId="33643"/>
    <cellStyle name="输入 2 7 3 2" xfId="33644"/>
    <cellStyle name="输入 2 7 3 3" xfId="33645"/>
    <cellStyle name="输入 2 7 4" xfId="33646"/>
    <cellStyle name="输入 2 7 5" xfId="33647"/>
    <cellStyle name="输入 2 7 6" xfId="33648"/>
    <cellStyle name="输入 2 7 7" xfId="33649"/>
    <cellStyle name="输入 2 7 8" xfId="33650"/>
    <cellStyle name="输入 2 7 9" xfId="33651"/>
    <cellStyle name="输入 2 8" xfId="33652"/>
    <cellStyle name="输入 2 8 10" xfId="33653"/>
    <cellStyle name="注释 2 2 11 12" xfId="33654"/>
    <cellStyle name="输入 2 8 11" xfId="33655"/>
    <cellStyle name="输入 2 8 12" xfId="33656"/>
    <cellStyle name="输入 2 8 19" xfId="33657"/>
    <cellStyle name="输入 2 8 2 11" xfId="33658"/>
    <cellStyle name="输入 2 8 2 12" xfId="33659"/>
    <cellStyle name="输入 2 8 2 2" xfId="33660"/>
    <cellStyle name="输入 2 8 2 3" xfId="33661"/>
    <cellStyle name="输入 2 8 2 4" xfId="33662"/>
    <cellStyle name="输入 2 8 2 5" xfId="33663"/>
    <cellStyle name="输入 2 8 2 6" xfId="33664"/>
    <cellStyle name="输入 2 8 2 7" xfId="33665"/>
    <cellStyle name="输入 2 8 2 8" xfId="33666"/>
    <cellStyle name="输入 2 8 3" xfId="33667"/>
    <cellStyle name="输入 2 8 3 2" xfId="33668"/>
    <cellStyle name="输入 2 8 3 2 2" xfId="33669"/>
    <cellStyle name="输入 2 8 3 2 3" xfId="33670"/>
    <cellStyle name="输入 2 8 3 3" xfId="33671"/>
    <cellStyle name="输入 2 8 4" xfId="33672"/>
    <cellStyle name="输入 2 8 5" xfId="33673"/>
    <cellStyle name="输入 2 8 6" xfId="33674"/>
    <cellStyle name="输入 2 8 7" xfId="33675"/>
    <cellStyle name="输入 2 8 8" xfId="33676"/>
    <cellStyle name="输入 2 8 9" xfId="33677"/>
    <cellStyle name="输入 2 9" xfId="33678"/>
    <cellStyle name="输入 2 9 10" xfId="33679"/>
    <cellStyle name="输入 2 9 11" xfId="33680"/>
    <cellStyle name="输入 2 9 12" xfId="33681"/>
    <cellStyle name="输入 2 9 13" xfId="33682"/>
    <cellStyle name="输入 2 9 14" xfId="33683"/>
    <cellStyle name="输入 2 9 2 10" xfId="33684"/>
    <cellStyle name="输入 2 9 2 2" xfId="33685"/>
    <cellStyle name="注释 2 2 4 2 12" xfId="33686"/>
    <cellStyle name="输入 2 9 2 3" xfId="33687"/>
    <cellStyle name="输入 2 9 2 4" xfId="33688"/>
    <cellStyle name="输入 2 9 2 5" xfId="33689"/>
    <cellStyle name="输入 2 9 2 6" xfId="33690"/>
    <cellStyle name="输入 2 9 2 7" xfId="33691"/>
    <cellStyle name="输入 2 9 2 8" xfId="33692"/>
    <cellStyle name="输入 2 9 2 9" xfId="33693"/>
    <cellStyle name="输入 2 9 3" xfId="33694"/>
    <cellStyle name="输入 2 9 3 2" xfId="33695"/>
    <cellStyle name="输入 2 9 3 2 2" xfId="33696"/>
    <cellStyle name="输入 2 9 3 2 3" xfId="33697"/>
    <cellStyle name="输入 2 9 3 3" xfId="33698"/>
    <cellStyle name="输入 2 9 4" xfId="33699"/>
    <cellStyle name="输入 2 9 5" xfId="33700"/>
    <cellStyle name="输入 2 9 6" xfId="33701"/>
    <cellStyle name="输入 2 9 7" xfId="33702"/>
    <cellStyle name="输入 2 9 8" xfId="33703"/>
    <cellStyle name="输入 2 9 9" xfId="33704"/>
    <cellStyle name="输入 3" xfId="33705"/>
    <cellStyle name="输入 3 10" xfId="33706"/>
    <cellStyle name="输入 3 10 11" xfId="33707"/>
    <cellStyle name="输入 3 10 12" xfId="33708"/>
    <cellStyle name="输入 3 10 2" xfId="33709"/>
    <cellStyle name="输入 3 10 3" xfId="33710"/>
    <cellStyle name="输入 3 10 6" xfId="33711"/>
    <cellStyle name="输入 3 10 7" xfId="33712"/>
    <cellStyle name="输入 3 10 8" xfId="33713"/>
    <cellStyle name="输入 3 10 9" xfId="33714"/>
    <cellStyle name="输入 3 11" xfId="33715"/>
    <cellStyle name="输入 3 12" xfId="33716"/>
    <cellStyle name="输入 3 13" xfId="33717"/>
    <cellStyle name="输入 3 14" xfId="33718"/>
    <cellStyle name="输入 3 20" xfId="33719"/>
    <cellStyle name="输入 3 15" xfId="33720"/>
    <cellStyle name="输入 3 21" xfId="33721"/>
    <cellStyle name="输入 3 16" xfId="33722"/>
    <cellStyle name="输入 3 22" xfId="33723"/>
    <cellStyle name="输入 3 17" xfId="33724"/>
    <cellStyle name="输入 3 23" xfId="33725"/>
    <cellStyle name="输入 3 18" xfId="33726"/>
    <cellStyle name="输入 3 24" xfId="33727"/>
    <cellStyle name="输入 3 19" xfId="33728"/>
    <cellStyle name="输入 3 2" xfId="33729"/>
    <cellStyle name="输入 3 2 10" xfId="33730"/>
    <cellStyle name="输入 3 2 10 12" xfId="33731"/>
    <cellStyle name="输入 3 2 10 2" xfId="33732"/>
    <cellStyle name="输入 3 2 10 2 12" xfId="33733"/>
    <cellStyle name="输入 3 2 10 2 2" xfId="33734"/>
    <cellStyle name="输入 3 2 10 2 3" xfId="33735"/>
    <cellStyle name="输入 3 2 10 2 4" xfId="33736"/>
    <cellStyle name="输入 3 2 10 2 5" xfId="33737"/>
    <cellStyle name="输入 3 2 10 2 6" xfId="33738"/>
    <cellStyle name="输入 3 2 10 2 7" xfId="33739"/>
    <cellStyle name="输入 3 2 10 2 9" xfId="33740"/>
    <cellStyle name="输入 3 2 10 3" xfId="33741"/>
    <cellStyle name="输入 3 2 10 4" xfId="33742"/>
    <cellStyle name="输入 3 2 10 5" xfId="33743"/>
    <cellStyle name="输入 3 2 10 6" xfId="33744"/>
    <cellStyle name="输入 3 2 10 7" xfId="33745"/>
    <cellStyle name="输入 3 2 10 8" xfId="33746"/>
    <cellStyle name="输入 3 2 10 9" xfId="33747"/>
    <cellStyle name="输入 3 2 11" xfId="33748"/>
    <cellStyle name="输入 3 2 11 10" xfId="33749"/>
    <cellStyle name="输入 3 2 11 11" xfId="33750"/>
    <cellStyle name="输入 3 2 11 12" xfId="33751"/>
    <cellStyle name="输入 3 2 11 13" xfId="33752"/>
    <cellStyle name="输入 3 2 11 14" xfId="33753"/>
    <cellStyle name="输入 3 2 11 2" xfId="33754"/>
    <cellStyle name="输入 3 2 11 2 10" xfId="33755"/>
    <cellStyle name="输入 3 2 11 2 11" xfId="33756"/>
    <cellStyle name="输入 3 2 11 2 2" xfId="33757"/>
    <cellStyle name="输入 3 2 11 2 3" xfId="33758"/>
    <cellStyle name="输入 3 2 11 2 4" xfId="33759"/>
    <cellStyle name="输入 3 2 11 2 5" xfId="33760"/>
    <cellStyle name="输入 3 2 11 2 6" xfId="33761"/>
    <cellStyle name="输入 3 2 11 2 7" xfId="33762"/>
    <cellStyle name="输入 3 2 11 2 8" xfId="33763"/>
    <cellStyle name="输入 3 2 11 2 9" xfId="33764"/>
    <cellStyle name="输入 3 2 11 3" xfId="33765"/>
    <cellStyle name="输入 3 2 12" xfId="33766"/>
    <cellStyle name="输入 3 2 12 10" xfId="33767"/>
    <cellStyle name="输入 3 2 12 11" xfId="33768"/>
    <cellStyle name="输入 3 2 12 12" xfId="33769"/>
    <cellStyle name="输入 3 2 12 13" xfId="33770"/>
    <cellStyle name="输入 3 2 12 2" xfId="33771"/>
    <cellStyle name="输入 3 2 12 2 10" xfId="33772"/>
    <cellStyle name="输入 3 2 12 2 11" xfId="33773"/>
    <cellStyle name="输入 3 2 12 2 12" xfId="33774"/>
    <cellStyle name="输入 3 2 12 2 2" xfId="33775"/>
    <cellStyle name="输入 3 2 12 2 3" xfId="33776"/>
    <cellStyle name="输入 3 2 12 3" xfId="33777"/>
    <cellStyle name="输入 3 2 12 4" xfId="33778"/>
    <cellStyle name="输入 3 2 12 5" xfId="33779"/>
    <cellStyle name="输入 3 2 12 6" xfId="33780"/>
    <cellStyle name="输入 3 2 12 9" xfId="33781"/>
    <cellStyle name="输入 3 2 13" xfId="33782"/>
    <cellStyle name="输入 3 2 13 10" xfId="33783"/>
    <cellStyle name="输入 3 2 13 11" xfId="33784"/>
    <cellStyle name="输入 3 2 13 12" xfId="33785"/>
    <cellStyle name="输入 3 2 13 2" xfId="33786"/>
    <cellStyle name="输入 3 2 13 3" xfId="33787"/>
    <cellStyle name="输入 3 2 13 4" xfId="33788"/>
    <cellStyle name="输入 3 2 13 5" xfId="33789"/>
    <cellStyle name="输入 3 2 13 6" xfId="33790"/>
    <cellStyle name="输入 3 2 13 7" xfId="33791"/>
    <cellStyle name="输入 3 2 13 8" xfId="33792"/>
    <cellStyle name="输入 3 2 13 9" xfId="33793"/>
    <cellStyle name="输入 3 2 14" xfId="33794"/>
    <cellStyle name="输入 3 2 20" xfId="33795"/>
    <cellStyle name="输入 3 2 15" xfId="33796"/>
    <cellStyle name="输入 3 2 21" xfId="33797"/>
    <cellStyle name="输入 3 2 16" xfId="33798"/>
    <cellStyle name="输入 3 2 22" xfId="33799"/>
    <cellStyle name="输入 3 2 17" xfId="33800"/>
    <cellStyle name="输入 3 2 23" xfId="33801"/>
    <cellStyle name="输入 3 2 18" xfId="33802"/>
    <cellStyle name="输入 3 2 24" xfId="33803"/>
    <cellStyle name="输入 3 2 19" xfId="33804"/>
    <cellStyle name="输入 3 2 2" xfId="33805"/>
    <cellStyle name="输入 3 2 2 10" xfId="33806"/>
    <cellStyle name="输入 3 2 2 11" xfId="33807"/>
    <cellStyle name="输入 3 2 2 12" xfId="33808"/>
    <cellStyle name="输入 3 2 2 13" xfId="33809"/>
    <cellStyle name="输入 3 2 2 14" xfId="33810"/>
    <cellStyle name="输入 3 2 2 15" xfId="33811"/>
    <cellStyle name="输入 3 2 2 16" xfId="33812"/>
    <cellStyle name="输入 3 2 2 17" xfId="33813"/>
    <cellStyle name="输入 3 2 2 2 2" xfId="33814"/>
    <cellStyle name="输入 3 2 2 2 3" xfId="33815"/>
    <cellStyle name="输入 3 2 2 2 4" xfId="33816"/>
    <cellStyle name="输入 3 2 2 2 5" xfId="33817"/>
    <cellStyle name="输入 3 2 2 2 6" xfId="33818"/>
    <cellStyle name="输入 3 2 2 2 7" xfId="33819"/>
    <cellStyle name="输入 3 2 2 2 8" xfId="33820"/>
    <cellStyle name="输入 3 2 2 2 9" xfId="33821"/>
    <cellStyle name="输入 3 2 25" xfId="33822"/>
    <cellStyle name="输入 3 2 26" xfId="33823"/>
    <cellStyle name="输入 3 2 27" xfId="33824"/>
    <cellStyle name="输入 3 2 28" xfId="33825"/>
    <cellStyle name="输入 3 2 3" xfId="33826"/>
    <cellStyle name="输入 3 2 3 10" xfId="33827"/>
    <cellStyle name="输入 3 2 3 11" xfId="33828"/>
    <cellStyle name="输入 3 2 3 12" xfId="33829"/>
    <cellStyle name="输入 3 2 3 13" xfId="33830"/>
    <cellStyle name="输入 3 2 3 14" xfId="33831"/>
    <cellStyle name="输入 3 2 3 15" xfId="33832"/>
    <cellStyle name="输入 3 2 3 16" xfId="33833"/>
    <cellStyle name="输入 3 2 3 17" xfId="33834"/>
    <cellStyle name="输入 3 2 3 2" xfId="33835"/>
    <cellStyle name="输入 3 2 3 2 10" xfId="33836"/>
    <cellStyle name="输入 3 2 3 2 11" xfId="33837"/>
    <cellStyle name="输入 3 2 3 2 2" xfId="33838"/>
    <cellStyle name="输入 3 2 3 2 3" xfId="33839"/>
    <cellStyle name="输入 3 2 3 2 4" xfId="33840"/>
    <cellStyle name="输入 3 2 3 3" xfId="33841"/>
    <cellStyle name="输入 3 2 3 4" xfId="33842"/>
    <cellStyle name="输入 3 2 3 5" xfId="33843"/>
    <cellStyle name="输入 3 2 3 6" xfId="33844"/>
    <cellStyle name="输入 3 2 3 7" xfId="33845"/>
    <cellStyle name="输入 3 2 3 8" xfId="33846"/>
    <cellStyle name="输入 3 2 3 9" xfId="33847"/>
    <cellStyle name="输入 3 2 4" xfId="33848"/>
    <cellStyle name="输入 3 2 4 10" xfId="33849"/>
    <cellStyle name="输入 3 2 4 11" xfId="33850"/>
    <cellStyle name="输入 3 2 4 12" xfId="33851"/>
    <cellStyle name="输入 3 2 4 13" xfId="33852"/>
    <cellStyle name="输入 3 2 4 14" xfId="33853"/>
    <cellStyle name="输入 3 2 4 15" xfId="33854"/>
    <cellStyle name="输入 3 2 4 16" xfId="33855"/>
    <cellStyle name="输入 3 2 4 17" xfId="33856"/>
    <cellStyle name="输入 3 2 4 2" xfId="33857"/>
    <cellStyle name="输入 3 2 4 2 5" xfId="33858"/>
    <cellStyle name="输入 3 2 4 2 6" xfId="33859"/>
    <cellStyle name="输入 3 2 4 2 7" xfId="33860"/>
    <cellStyle name="输入 3 2 4 2 8" xfId="33861"/>
    <cellStyle name="输入 3 2 4 2 9" xfId="33862"/>
    <cellStyle name="输入 3 2 4 3" xfId="33863"/>
    <cellStyle name="输入 3 2 4 4" xfId="33864"/>
    <cellStyle name="输入 3 2 4 5" xfId="33865"/>
    <cellStyle name="输入 3 2 4 6" xfId="33866"/>
    <cellStyle name="输入 3 2 4 7" xfId="33867"/>
    <cellStyle name="输入 3 2 4 8" xfId="33868"/>
    <cellStyle name="输入 3 2 4 9" xfId="33869"/>
    <cellStyle name="输入 3 2 5" xfId="33870"/>
    <cellStyle name="输入 3 2 5 10" xfId="33871"/>
    <cellStyle name="输入 3 2 5 11" xfId="33872"/>
    <cellStyle name="输入 3 2 5 12" xfId="33873"/>
    <cellStyle name="输入 3 2 5 13" xfId="33874"/>
    <cellStyle name="输入 3 2 5 14" xfId="33875"/>
    <cellStyle name="输入 3 2 5 15" xfId="33876"/>
    <cellStyle name="输入 3 2 5 16" xfId="33877"/>
    <cellStyle name="输入 3 2 5 2" xfId="33878"/>
    <cellStyle name="输入 3 2 5 2 8" xfId="33879"/>
    <cellStyle name="输入 3 2 5 2 9" xfId="33880"/>
    <cellStyle name="输入 3 2 5 3" xfId="33881"/>
    <cellStyle name="输入 3 2 5 4" xfId="33882"/>
    <cellStyle name="输入 3 2 5 5" xfId="33883"/>
    <cellStyle name="输入 3 2 5 6" xfId="33884"/>
    <cellStyle name="输入 3 2 5 7" xfId="33885"/>
    <cellStyle name="输入 3 2 6" xfId="33886"/>
    <cellStyle name="输入 3 2 6 10" xfId="33887"/>
    <cellStyle name="输入 3 2 6 11" xfId="33888"/>
    <cellStyle name="输入 3 2 6 12" xfId="33889"/>
    <cellStyle name="输入 3 2 6 13" xfId="33890"/>
    <cellStyle name="输入 3 2 6 2" xfId="33891"/>
    <cellStyle name="输入 3 2 6 2 2" xfId="33892"/>
    <cellStyle name="输入 3 2 6 3" xfId="33893"/>
    <cellStyle name="输入 3 2 6 4" xfId="33894"/>
    <cellStyle name="输入 3 2 6 5" xfId="33895"/>
    <cellStyle name="输入 3 2 6 6" xfId="33896"/>
    <cellStyle name="输入 3 2 6 7" xfId="33897"/>
    <cellStyle name="输入 3 2 7" xfId="33898"/>
    <cellStyle name="输入 3 2 7 10" xfId="33899"/>
    <cellStyle name="输入 3 2 7 11" xfId="33900"/>
    <cellStyle name="输入 3 2 7 12" xfId="33901"/>
    <cellStyle name="输入 3 2 7 13" xfId="33902"/>
    <cellStyle name="输入 3 2 7 14" xfId="33903"/>
    <cellStyle name="输入 3 2 7 2 10" xfId="33904"/>
    <cellStyle name="输入 3 2 7 2 11" xfId="33905"/>
    <cellStyle name="输入 3 2 7 8" xfId="33906"/>
    <cellStyle name="输入 3 2 7 9" xfId="33907"/>
    <cellStyle name="输入 3 2 8" xfId="33908"/>
    <cellStyle name="输入 3 2 8 10" xfId="33909"/>
    <cellStyle name="输入 3 2 8 11" xfId="33910"/>
    <cellStyle name="输入 3 2 8 12" xfId="33911"/>
    <cellStyle name="输入 3 2 8 13" xfId="33912"/>
    <cellStyle name="输入 3 2 8 14" xfId="33913"/>
    <cellStyle name="输入 3 2 8 2" xfId="33914"/>
    <cellStyle name="输入 3 2 8 2 10" xfId="33915"/>
    <cellStyle name="输入 3 2 8 2 11" xfId="33916"/>
    <cellStyle name="输入 3 2 8 2 12" xfId="33917"/>
    <cellStyle name="输入 3 2 8 2 2" xfId="33918"/>
    <cellStyle name="输入 3 2 8 2 3" xfId="33919"/>
    <cellStyle name="输入 3 2 8 2 4" xfId="33920"/>
    <cellStyle name="输入 3 2 8 2 5" xfId="33921"/>
    <cellStyle name="输入 3 2 8 2 6" xfId="33922"/>
    <cellStyle name="输入 3 2 8 2 7" xfId="33923"/>
    <cellStyle name="输入 3 2 8 2 8" xfId="33924"/>
    <cellStyle name="输入 3 2 8 3" xfId="33925"/>
    <cellStyle name="输入 3 2 8 4" xfId="33926"/>
    <cellStyle name="输入 3 2 9" xfId="33927"/>
    <cellStyle name="输入 3 2 9 10" xfId="33928"/>
    <cellStyle name="输入 3 2 9 11" xfId="33929"/>
    <cellStyle name="输入 3 2 9 12" xfId="33930"/>
    <cellStyle name="输入 3 2 9 13" xfId="33931"/>
    <cellStyle name="输入 3 2 9 14" xfId="33932"/>
    <cellStyle name="输入 3 2 9 2" xfId="33933"/>
    <cellStyle name="输入 3 2 9 2 10" xfId="33934"/>
    <cellStyle name="输入 3 2 9 2 11" xfId="33935"/>
    <cellStyle name="输入 3 2 9 2 12" xfId="33936"/>
    <cellStyle name="输入 3 2 9 3" xfId="33937"/>
    <cellStyle name="输入 3 2 9 4" xfId="33938"/>
    <cellStyle name="输入 3 3" xfId="33939"/>
    <cellStyle name="输入 3 3 10" xfId="33940"/>
    <cellStyle name="输入 3 3 11" xfId="33941"/>
    <cellStyle name="输入 3 3 12" xfId="33942"/>
    <cellStyle name="输入 3 3 13" xfId="33943"/>
    <cellStyle name="输入 3 3 14" xfId="33944"/>
    <cellStyle name="输入 3 3 20" xfId="33945"/>
    <cellStyle name="输入 3 3 15" xfId="33946"/>
    <cellStyle name="输入 3 3 16" xfId="33947"/>
    <cellStyle name="输入 3 3 17" xfId="33948"/>
    <cellStyle name="输入 3 3 18" xfId="33949"/>
    <cellStyle name="输入 3 3 19" xfId="33950"/>
    <cellStyle name="输入 3 3 2" xfId="33951"/>
    <cellStyle name="输入 3 3 2 10" xfId="33952"/>
    <cellStyle name="输入 3 3 2 11" xfId="33953"/>
    <cellStyle name="输入 3 3 2 12" xfId="33954"/>
    <cellStyle name="输入 3 3 2 13" xfId="33955"/>
    <cellStyle name="输入 3 3 2 2 10" xfId="33956"/>
    <cellStyle name="输入 3 3 2 2 11" xfId="33957"/>
    <cellStyle name="输入 3 3 2 2 12" xfId="33958"/>
    <cellStyle name="输入 3 3 2 2 2" xfId="33959"/>
    <cellStyle name="输入 3 3 2 2 3" xfId="33960"/>
    <cellStyle name="输入 3 3 2 2 4" xfId="33961"/>
    <cellStyle name="输入 3 3 2 2 5" xfId="33962"/>
    <cellStyle name="输入 3 3 2 2 6" xfId="33963"/>
    <cellStyle name="输入 3 3 2 2 7" xfId="33964"/>
    <cellStyle name="输入 3 3 2 2 8" xfId="33965"/>
    <cellStyle name="输入 3 3 2 2 9" xfId="33966"/>
    <cellStyle name="输入 3 3 3" xfId="33967"/>
    <cellStyle name="输入 3 3 3 10" xfId="33968"/>
    <cellStyle name="输入 3 3 3 11" xfId="33969"/>
    <cellStyle name="输入 3 3 3 12" xfId="33970"/>
    <cellStyle name="输入 3 3 3 13" xfId="33971"/>
    <cellStyle name="输入 3 3 3 2" xfId="33972"/>
    <cellStyle name="输入 3 3 3 2 12" xfId="33973"/>
    <cellStyle name="输入 3 3 3 2 2" xfId="33974"/>
    <cellStyle name="输入 3 3 3 2 3" xfId="33975"/>
    <cellStyle name="输入 3 3 3 2 4" xfId="33976"/>
    <cellStyle name="输入 3 3 3 2 5" xfId="33977"/>
    <cellStyle name="输入 3 3 3 2 6" xfId="33978"/>
    <cellStyle name="输入 3 3 3 2 7" xfId="33979"/>
    <cellStyle name="输入 3 3 3 2 8" xfId="33980"/>
    <cellStyle name="输入 3 3 3 3" xfId="33981"/>
    <cellStyle name="输入 3 3 3 4" xfId="33982"/>
    <cellStyle name="输入 3 3 3 5" xfId="33983"/>
    <cellStyle name="输入 3 3 3 6" xfId="33984"/>
    <cellStyle name="输入 3 3 3 7" xfId="33985"/>
    <cellStyle name="输入 3 3 3 8" xfId="33986"/>
    <cellStyle name="输入 3 3 3 9" xfId="33987"/>
    <cellStyle name="输入 3 3 4" xfId="33988"/>
    <cellStyle name="输入 3 3 4 10" xfId="33989"/>
    <cellStyle name="输入 3 3 4 11" xfId="33990"/>
    <cellStyle name="输入 3 3 4 12" xfId="33991"/>
    <cellStyle name="输入 3 3 4 13" xfId="33992"/>
    <cellStyle name="输入 3 3 4 2" xfId="33993"/>
    <cellStyle name="输入 3 3 4 2 10" xfId="33994"/>
    <cellStyle name="输入 3 3 4 2 11" xfId="33995"/>
    <cellStyle name="输入 3 3 4 2 12" xfId="33996"/>
    <cellStyle name="输入 3 3 4 2 5" xfId="33997"/>
    <cellStyle name="输入 3 3 4 2 6" xfId="33998"/>
    <cellStyle name="输入 3 3 4 2 7" xfId="33999"/>
    <cellStyle name="输入 3 3 4 2 8" xfId="34000"/>
    <cellStyle name="输入 3 3 4 2 9" xfId="34001"/>
    <cellStyle name="输入 3 3 4 3" xfId="34002"/>
    <cellStyle name="输入 3 3 4 4" xfId="34003"/>
    <cellStyle name="输入 3 3 4 5" xfId="34004"/>
    <cellStyle name="输入 3 3 4 6" xfId="34005"/>
    <cellStyle name="输入 3 3 4 7" xfId="34006"/>
    <cellStyle name="输入 3 3 4 8" xfId="34007"/>
    <cellStyle name="输入 3 3 4 9" xfId="34008"/>
    <cellStyle name="输入 3 3 5" xfId="34009"/>
    <cellStyle name="输入 3 3 5 10" xfId="34010"/>
    <cellStyle name="输入 3 3 5 11" xfId="34011"/>
    <cellStyle name="输入 3 3 5 12" xfId="34012"/>
    <cellStyle name="输入 3 3 5 2" xfId="34013"/>
    <cellStyle name="输入 3 3 5 3" xfId="34014"/>
    <cellStyle name="输入 3 3 5 4" xfId="34015"/>
    <cellStyle name="输入 3 3 5 5" xfId="34016"/>
    <cellStyle name="输入 3 3 5 6" xfId="34017"/>
    <cellStyle name="输入 3 3 5 7" xfId="34018"/>
    <cellStyle name="输入 3 3 6" xfId="34019"/>
    <cellStyle name="输入 3 3 7" xfId="34020"/>
    <cellStyle name="输入 3 4" xfId="34021"/>
    <cellStyle name="输入 3 4 10" xfId="34022"/>
    <cellStyle name="输入 3 4 11" xfId="34023"/>
    <cellStyle name="输入 3 4 12" xfId="34024"/>
    <cellStyle name="输入 3 4 13" xfId="34025"/>
    <cellStyle name="输入 3 4 14" xfId="34026"/>
    <cellStyle name="输入 3 4 15" xfId="34027"/>
    <cellStyle name="输入 3 4 16" xfId="34028"/>
    <cellStyle name="输入 3 4 17" xfId="34029"/>
    <cellStyle name="输入 3 4 2" xfId="34030"/>
    <cellStyle name="输入 3 4 2 10" xfId="34031"/>
    <cellStyle name="输入 3 4 2 11" xfId="34032"/>
    <cellStyle name="输入 3 4 2 12" xfId="34033"/>
    <cellStyle name="输入 3 4 2 2" xfId="34034"/>
    <cellStyle name="注释 2 2 8 2 12" xfId="34035"/>
    <cellStyle name="输入 3 4 2 3" xfId="34036"/>
    <cellStyle name="输入 3 4 2 4" xfId="34037"/>
    <cellStyle name="输入 3 4 2 5" xfId="34038"/>
    <cellStyle name="输入 3 4 2 8" xfId="34039"/>
    <cellStyle name="输入 3 4 2 9" xfId="34040"/>
    <cellStyle name="输入 3 4 3" xfId="34041"/>
    <cellStyle name="输入 3 4 4" xfId="34042"/>
    <cellStyle name="输入 3 4 5" xfId="34043"/>
    <cellStyle name="输入 3 4 6" xfId="34044"/>
    <cellStyle name="输入 3 4 7" xfId="34045"/>
    <cellStyle name="输入 3 5" xfId="34046"/>
    <cellStyle name="输入 3 5 2" xfId="34047"/>
    <cellStyle name="输入 3 5 2 10" xfId="34048"/>
    <cellStyle name="输入 3 5 2 11" xfId="34049"/>
    <cellStyle name="输入 3 5 2 12" xfId="34050"/>
    <cellStyle name="输入 3 5 2 2" xfId="34051"/>
    <cellStyle name="输入 3 5 2 3" xfId="34052"/>
    <cellStyle name="输入 3 5 2 4" xfId="34053"/>
    <cellStyle name="输入 3 5 2 5" xfId="34054"/>
    <cellStyle name="输入 3 5 2 6" xfId="34055"/>
    <cellStyle name="输入 3 5 2 7" xfId="34056"/>
    <cellStyle name="输入 3 5 2 8" xfId="34057"/>
    <cellStyle name="输入 3 5 2 9" xfId="34058"/>
    <cellStyle name="输入 3 5 3" xfId="34059"/>
    <cellStyle name="输入 3 5 4" xfId="34060"/>
    <cellStyle name="输入 3 5 5" xfId="34061"/>
    <cellStyle name="输入 3 5 6" xfId="34062"/>
    <cellStyle name="输入 3 5 7" xfId="34063"/>
    <cellStyle name="输入 3 5 8" xfId="34064"/>
    <cellStyle name="输入 3 5 9" xfId="34065"/>
    <cellStyle name="输入 3 6" xfId="34066"/>
    <cellStyle name="输入 3 6 10" xfId="34067"/>
    <cellStyle name="输入 3 6 11" xfId="34068"/>
    <cellStyle name="输入 3 6 12" xfId="34069"/>
    <cellStyle name="输入 3 6 13" xfId="34070"/>
    <cellStyle name="输入 3 7 2 2" xfId="34071"/>
    <cellStyle name="输入 3 6 14" xfId="34072"/>
    <cellStyle name="输入 3 7 2 3" xfId="34073"/>
    <cellStyle name="输入 3 6 15" xfId="34074"/>
    <cellStyle name="输入 3 7 2 4" xfId="34075"/>
    <cellStyle name="输入 3 6 16" xfId="34076"/>
    <cellStyle name="输入 3 7 2 5" xfId="34077"/>
    <cellStyle name="输入 3 6 17" xfId="34078"/>
    <cellStyle name="输入 3 6 2 10" xfId="34079"/>
    <cellStyle name="输入 3 6 2 11" xfId="34080"/>
    <cellStyle name="输入 3 6 2 12" xfId="34081"/>
    <cellStyle name="输入 3 6 2 7" xfId="34082"/>
    <cellStyle name="输入 3 6 2 8" xfId="34083"/>
    <cellStyle name="输入 3 6 2 9" xfId="34084"/>
    <cellStyle name="输入 3 6 3" xfId="34085"/>
    <cellStyle name="输入 3 6 4" xfId="34086"/>
    <cellStyle name="输入 3 6 5" xfId="34087"/>
    <cellStyle name="输入 3 6 6" xfId="34088"/>
    <cellStyle name="输入 3 6 7" xfId="34089"/>
    <cellStyle name="输入 3 6 8" xfId="34090"/>
    <cellStyle name="输入 3 6 9" xfId="34091"/>
    <cellStyle name="输入 3 7" xfId="34092"/>
    <cellStyle name="输入 3 7 10" xfId="34093"/>
    <cellStyle name="输入 3 7 11" xfId="34094"/>
    <cellStyle name="输入 3 7 12" xfId="34095"/>
    <cellStyle name="输入 3 7 13" xfId="34096"/>
    <cellStyle name="输入 3 7 14" xfId="34097"/>
    <cellStyle name="输入 3 7 15" xfId="34098"/>
    <cellStyle name="输入 3 7 16" xfId="34099"/>
    <cellStyle name="输入 3 7 17" xfId="34100"/>
    <cellStyle name="输入 3 7 2 10" xfId="34101"/>
    <cellStyle name="输入 3 7 2 11" xfId="34102"/>
    <cellStyle name="输入 3 7 2 12" xfId="34103"/>
    <cellStyle name="输入 3 7 2 6" xfId="34104"/>
    <cellStyle name="输入 3 7 2 7" xfId="34105"/>
    <cellStyle name="输入 3 7 2 8" xfId="34106"/>
    <cellStyle name="输入 3 7 2 9" xfId="34107"/>
    <cellStyle name="输入 3 7 3" xfId="34108"/>
    <cellStyle name="输入 3 7 4" xfId="34109"/>
    <cellStyle name="输入 3 7 5" xfId="34110"/>
    <cellStyle name="输入 3 7 6" xfId="34111"/>
    <cellStyle name="输入 3 7 7" xfId="34112"/>
    <cellStyle name="输入 3 7 8" xfId="34113"/>
    <cellStyle name="输入 3 7 9" xfId="34114"/>
    <cellStyle name="输入 3 8" xfId="34115"/>
    <cellStyle name="输入 3 8 10" xfId="34116"/>
    <cellStyle name="输入 3 8 11" xfId="34117"/>
    <cellStyle name="输入 3 8 12" xfId="34118"/>
    <cellStyle name="输入 3 8 13" xfId="34119"/>
    <cellStyle name="输入 3 8 14" xfId="34120"/>
    <cellStyle name="输入 3 8 20" xfId="34121"/>
    <cellStyle name="输入 3 8 15" xfId="34122"/>
    <cellStyle name="输入 3 8 21" xfId="34123"/>
    <cellStyle name="输入 3 8 16" xfId="34124"/>
    <cellStyle name="输入 3 8 17" xfId="34125"/>
    <cellStyle name="输入 3 8 18" xfId="34126"/>
    <cellStyle name="输入 3 8 19" xfId="34127"/>
    <cellStyle name="输入 3 8 2 10" xfId="34128"/>
    <cellStyle name="输入 3 8 2 11" xfId="34129"/>
    <cellStyle name="输入 3 8 2 12" xfId="34130"/>
    <cellStyle name="输入 3 8 2 2" xfId="34131"/>
    <cellStyle name="输入 3 8 3 2" xfId="34132"/>
    <cellStyle name="输入 3 8 3 3" xfId="34133"/>
    <cellStyle name="输入 3 8 6" xfId="34134"/>
    <cellStyle name="输入 3 8 7" xfId="34135"/>
    <cellStyle name="输入 3 8 8" xfId="34136"/>
    <cellStyle name="输入 3 8 9" xfId="34137"/>
    <cellStyle name="输入 3 9" xfId="34138"/>
    <cellStyle name="输入 3 9 14" xfId="34139"/>
    <cellStyle name="输入 3 9 2" xfId="34140"/>
    <cellStyle name="输入 3 9 2 10" xfId="34141"/>
    <cellStyle name="输入 3 9 2 11" xfId="34142"/>
    <cellStyle name="输入 3 9 2 12" xfId="34143"/>
    <cellStyle name="输入 3 9 2 2" xfId="34144"/>
    <cellStyle name="注释 2 2 9 2 12" xfId="34145"/>
    <cellStyle name="输入 3 9 2 3" xfId="34146"/>
    <cellStyle name="输入 3 9 2 4" xfId="34147"/>
    <cellStyle name="输入 3 9 2 5" xfId="34148"/>
    <cellStyle name="输入 3 9 2 8" xfId="34149"/>
    <cellStyle name="输入 3 9 2 9" xfId="34150"/>
    <cellStyle name="输入 3 9 3" xfId="34151"/>
    <cellStyle name="输入 3 9 4" xfId="34152"/>
    <cellStyle name="输入 3 9 5" xfId="34153"/>
    <cellStyle name="输入 3 9 6" xfId="34154"/>
    <cellStyle name="输入 3 9 7" xfId="34155"/>
    <cellStyle name="输入 4" xfId="34156"/>
    <cellStyle name="输入 4 2" xfId="34157"/>
    <cellStyle name="输入 4 2 2" xfId="34158"/>
    <cellStyle name="输入 4 2 3" xfId="34159"/>
    <cellStyle name="输入 4 2 4" xfId="34160"/>
    <cellStyle name="输入 4 2 5" xfId="34161"/>
    <cellStyle name="输入 4 2 6" xfId="34162"/>
    <cellStyle name="输入 4 2 7" xfId="34163"/>
    <cellStyle name="输入 4 2 8" xfId="34164"/>
    <cellStyle name="输入 4 2 9" xfId="34165"/>
    <cellStyle name="输入 4 3" xfId="34166"/>
    <cellStyle name="输入 4 4" xfId="34167"/>
    <cellStyle name="输入 4 5" xfId="34168"/>
    <cellStyle name="输入 4 6" xfId="34169"/>
    <cellStyle name="输入 4 7" xfId="34170"/>
    <cellStyle name="数量" xfId="34171"/>
    <cellStyle name="数量 2" xfId="34172"/>
    <cellStyle name="样式 1 10" xfId="34173"/>
    <cellStyle name="样式 1 11" xfId="34174"/>
    <cellStyle name="样式 1 12" xfId="34175"/>
    <cellStyle name="样式 1 13" xfId="34176"/>
    <cellStyle name="样式 1 14" xfId="34177"/>
    <cellStyle name="样式 1 15" xfId="34178"/>
    <cellStyle name="样式 1 16" xfId="34179"/>
    <cellStyle name="样式 1 17" xfId="34180"/>
    <cellStyle name="样式 1 2" xfId="34181"/>
    <cellStyle name="样式 1 2 10" xfId="34182"/>
    <cellStyle name="样式 1 2 11" xfId="34183"/>
    <cellStyle name="样式 1 2 12" xfId="34184"/>
    <cellStyle name="样式 1 2 15" xfId="34185"/>
    <cellStyle name="样式 1 2 16" xfId="34186"/>
    <cellStyle name="样式 1 2 17" xfId="34187"/>
    <cellStyle name="样式 1 2 9" xfId="34188"/>
    <cellStyle name="样式 1 3" xfId="34189"/>
    <cellStyle name="样式 1 3 2" xfId="34190"/>
    <cellStyle name="样式 1 4" xfId="34191"/>
    <cellStyle name="样式 1 5" xfId="34192"/>
    <cellStyle name="样式 1 6" xfId="34193"/>
    <cellStyle name="样式 1 7" xfId="34194"/>
    <cellStyle name="样式 1 8" xfId="34195"/>
    <cellStyle name="昗弨_Pacific Region P&amp;L" xfId="34196"/>
    <cellStyle name="寘嬫愗傝 [0.00]_Region Orders (2)" xfId="34197"/>
    <cellStyle name="寘嬫愗傝_Region Orders (2)" xfId="34198"/>
    <cellStyle name="注释 2 2 8 2 8" xfId="34199"/>
    <cellStyle name="注释 2 11" xfId="34200"/>
    <cellStyle name="注释 2 12" xfId="34201"/>
    <cellStyle name="注释 2 13" xfId="34202"/>
    <cellStyle name="注释 2 2 10" xfId="34203"/>
    <cellStyle name="注释 2 2 10 10" xfId="34204"/>
    <cellStyle name="注释 2 2 10 2 11" xfId="34205"/>
    <cellStyle name="注释 2 2 10 2 12" xfId="34206"/>
    <cellStyle name="注释 2 2 10 2 2" xfId="34207"/>
    <cellStyle name="注释 2 2 10 2 3" xfId="34208"/>
    <cellStyle name="注释 2 2 10 2 4" xfId="34209"/>
    <cellStyle name="注释 2 2 10 2 5" xfId="34210"/>
    <cellStyle name="注释 2 2 10 2 6" xfId="34211"/>
    <cellStyle name="注释 2 2 10 2 8" xfId="34212"/>
    <cellStyle name="注释 2 2 10 2 9" xfId="34213"/>
    <cellStyle name="注释 2 2 11" xfId="34214"/>
    <cellStyle name="注释 2 2 11 10" xfId="34215"/>
    <cellStyle name="注释 2 2 11 11" xfId="34216"/>
    <cellStyle name="注释 2 2 12" xfId="34217"/>
    <cellStyle name="注释 2 2 12 2 2" xfId="34218"/>
    <cellStyle name="注释 2 2 12 2 3" xfId="34219"/>
    <cellStyle name="注释 2 2 13" xfId="34220"/>
    <cellStyle name="注释 2 2 14" xfId="34221"/>
    <cellStyle name="注释 2 2 20" xfId="34222"/>
    <cellStyle name="注释 2 2 15" xfId="34223"/>
    <cellStyle name="注释 2 2 21" xfId="34224"/>
    <cellStyle name="注释 2 2 16" xfId="34225"/>
    <cellStyle name="注释 2 2 22" xfId="34226"/>
    <cellStyle name="注释 2 2 17" xfId="34227"/>
    <cellStyle name="注释 2 2 23" xfId="34228"/>
    <cellStyle name="注释 2 2 18" xfId="34229"/>
    <cellStyle name="注释 2 2 24" xfId="34230"/>
    <cellStyle name="注释 2 2 19" xfId="34231"/>
    <cellStyle name="注释 2 2 2 11" xfId="34232"/>
    <cellStyle name="注释 2 2 2 12" xfId="34233"/>
    <cellStyle name="注释 2 2 2 13" xfId="34234"/>
    <cellStyle name="注释 2 2 2 15" xfId="34235"/>
    <cellStyle name="注释 2 2 2 16" xfId="34236"/>
    <cellStyle name="注释 2 2 2 2" xfId="34237"/>
    <cellStyle name="注释 2 2 2 2 11" xfId="34238"/>
    <cellStyle name="注释 2 2 2 2 12" xfId="34239"/>
    <cellStyle name="注释 2 2 2 2 5" xfId="34240"/>
    <cellStyle name="注释 2 2 2 2 6" xfId="34241"/>
    <cellStyle name="注释 2 2 2 2 7" xfId="34242"/>
    <cellStyle name="注释 2 2 2 2 8" xfId="34243"/>
    <cellStyle name="注释 2 2 2 2 9" xfId="34244"/>
    <cellStyle name="注释 2 2 2 3" xfId="34245"/>
    <cellStyle name="注释 2 2 2 4" xfId="34246"/>
    <cellStyle name="注释 2 2 2 5" xfId="34247"/>
    <cellStyle name="注释 2 2 2 6" xfId="34248"/>
    <cellStyle name="注释 2 2 2 7" xfId="34249"/>
    <cellStyle name="注释 2 2 2 8" xfId="34250"/>
    <cellStyle name="注释 2 2 2 9" xfId="34251"/>
    <cellStyle name="注释 2 2 30" xfId="34252"/>
    <cellStyle name="注释 2 2 25" xfId="34253"/>
    <cellStyle name="注释 2 2 26" xfId="34254"/>
    <cellStyle name="注释 2 2 27" xfId="34255"/>
    <cellStyle name="注释 2 2 28" xfId="34256"/>
    <cellStyle name="注释 2 2 29" xfId="34257"/>
    <cellStyle name="注释 2 2 3 10" xfId="34258"/>
    <cellStyle name="注释 2 2 3 11" xfId="34259"/>
    <cellStyle name="注释 2 2 3 12" xfId="34260"/>
    <cellStyle name="注释 2 2 3 13" xfId="34261"/>
    <cellStyle name="注释 2 2 3 14" xfId="34262"/>
    <cellStyle name="注释 2 2 3 17" xfId="34263"/>
    <cellStyle name="注释 2 2 3 2 10" xfId="34264"/>
    <cellStyle name="注释 2 2 3 2 11" xfId="34265"/>
    <cellStyle name="注释 2 2 3 2 5" xfId="34266"/>
    <cellStyle name="注释 2 2 3 2 6" xfId="34267"/>
    <cellStyle name="注释 2 2 3 2 7" xfId="34268"/>
    <cellStyle name="注释 2 2 3 2 8" xfId="34269"/>
    <cellStyle name="注释 2 2 3 2 9" xfId="34270"/>
    <cellStyle name="注释 2 2 3 8" xfId="34271"/>
    <cellStyle name="注释 2 2 3 9" xfId="34272"/>
    <cellStyle name="注释 2 2 4 15" xfId="34273"/>
    <cellStyle name="注释 2 2 4 16" xfId="34274"/>
    <cellStyle name="注释 2 2 4 17" xfId="34275"/>
    <cellStyle name="注释 2 2 4 2" xfId="34276"/>
    <cellStyle name="注释 2 2 4 2 10" xfId="34277"/>
    <cellStyle name="注释 2 2 4 2 11" xfId="34278"/>
    <cellStyle name="注释 2 2 4 2 2" xfId="34279"/>
    <cellStyle name="注释 2 2 4 2 3" xfId="34280"/>
    <cellStyle name="注释 2 2 4 2 4" xfId="34281"/>
    <cellStyle name="注释 2 2 4 2 5" xfId="34282"/>
    <cellStyle name="注释 2 2 4 2 6" xfId="34283"/>
    <cellStyle name="注释 2 2 4 2 7" xfId="34284"/>
    <cellStyle name="注释 2 2 4 2 8" xfId="34285"/>
    <cellStyle name="注释 2 2 4 2 9" xfId="34286"/>
    <cellStyle name="注释 2 2 4 3" xfId="34287"/>
    <cellStyle name="注释 2 2 4 4" xfId="34288"/>
    <cellStyle name="注释 2 2 4 5" xfId="34289"/>
    <cellStyle name="注释 2 2 4 6" xfId="34290"/>
    <cellStyle name="注释 2 2 4 7" xfId="34291"/>
    <cellStyle name="注释 2 2 4 8" xfId="34292"/>
    <cellStyle name="注释 2 2 4 9" xfId="34293"/>
    <cellStyle name="注释 2 2 5 10" xfId="34294"/>
    <cellStyle name="注释 2 2 5 11" xfId="34295"/>
    <cellStyle name="注释 2 2 5 2 10" xfId="34296"/>
    <cellStyle name="注释 2 2 5 2 11" xfId="34297"/>
    <cellStyle name="注释 2 2 5 2 12" xfId="34298"/>
    <cellStyle name="注释 2 2 6 10" xfId="34299"/>
    <cellStyle name="注释 2 2 6 11" xfId="34300"/>
    <cellStyle name="注释 2 2 6 12" xfId="34301"/>
    <cellStyle name="注释 2 2 6 2" xfId="34302"/>
    <cellStyle name="注释 2 2 6 2 10" xfId="34303"/>
    <cellStyle name="注释 2 2 6 2 11" xfId="34304"/>
    <cellStyle name="注释 2 2 6 2 12" xfId="34305"/>
    <cellStyle name="注释 2 2 6 2 2" xfId="34306"/>
    <cellStyle name="注释 2 2 6 2 3" xfId="34307"/>
    <cellStyle name="注释 2 2 6 2 4" xfId="34308"/>
    <cellStyle name="注释 2 2 6 2 5" xfId="34309"/>
    <cellStyle name="注释 2 2 6 2 6" xfId="34310"/>
    <cellStyle name="注释 2 2 6 2 7" xfId="34311"/>
    <cellStyle name="注释 2 2 6 2 8" xfId="34312"/>
    <cellStyle name="注释 2 2 6 2 9" xfId="34313"/>
    <cellStyle name="注释 2 2 6 3" xfId="34314"/>
    <cellStyle name="注释 2 2 6 3 2" xfId="34315"/>
    <cellStyle name="注释 2 2 6 3 3" xfId="34316"/>
    <cellStyle name="注释 2 2 6 4" xfId="34317"/>
    <cellStyle name="注释 2 2 6 5" xfId="34318"/>
    <cellStyle name="注释 2 2 6 6" xfId="34319"/>
    <cellStyle name="注释 2 2 6 7" xfId="34320"/>
    <cellStyle name="注释 2 2 6 8" xfId="34321"/>
    <cellStyle name="注释 2 2 6 9" xfId="34322"/>
    <cellStyle name="注释 2 2 7" xfId="34323"/>
    <cellStyle name="注释 2 2 7 10" xfId="34324"/>
    <cellStyle name="注释 2 2 7 11" xfId="34325"/>
    <cellStyle name="注释 2 2 7 2" xfId="34326"/>
    <cellStyle name="注释 2 2 7 2 10" xfId="34327"/>
    <cellStyle name="注释 2 2 7 2 11" xfId="34328"/>
    <cellStyle name="注释 2 2 7 2 12" xfId="34329"/>
    <cellStyle name="注释 2 2 7 2 2" xfId="34330"/>
    <cellStyle name="注释 2 2 7 2 3" xfId="34331"/>
    <cellStyle name="注释 2 2 7 2 4" xfId="34332"/>
    <cellStyle name="注释 2 2 7 2 5" xfId="34333"/>
    <cellStyle name="注释 2 2 7 2 6" xfId="34334"/>
    <cellStyle name="注释 2 2 7 2 7" xfId="34335"/>
    <cellStyle name="注释 2 2 7 2 8" xfId="34336"/>
    <cellStyle name="注释 2 2 7 2 9" xfId="34337"/>
    <cellStyle name="注释 2 2 7 3" xfId="34338"/>
    <cellStyle name="注释 2 2 7 4" xfId="34339"/>
    <cellStyle name="注释 2 2 7 5" xfId="34340"/>
    <cellStyle name="注释 2 2 7 6" xfId="34341"/>
    <cellStyle name="注释 2 2 7 7" xfId="34342"/>
    <cellStyle name="注释 2 2 7 8" xfId="34343"/>
    <cellStyle name="注释 2 2 7 9" xfId="34344"/>
    <cellStyle name="注释 2 2 8" xfId="34345"/>
    <cellStyle name="注释 2 2 8 10" xfId="34346"/>
    <cellStyle name="注释 2 2 8 11" xfId="34347"/>
    <cellStyle name="注释 2 2 8 12" xfId="34348"/>
    <cellStyle name="注释 2 2 8 13" xfId="34349"/>
    <cellStyle name="注释 2 2 8 14" xfId="34350"/>
    <cellStyle name="注释 2 2 8 2" xfId="34351"/>
    <cellStyle name="注释 2 2 8 2 10" xfId="34352"/>
    <cellStyle name="注释 2 2 8 2 11" xfId="34353"/>
    <cellStyle name="注释 2 2 8 2 2" xfId="34354"/>
    <cellStyle name="注释 2 2 8 2 3" xfId="34355"/>
    <cellStyle name="注释 2 2 8 2 4" xfId="34356"/>
    <cellStyle name="注释 2 2 8 2 5" xfId="34357"/>
    <cellStyle name="注释 2 2 8 2 6" xfId="34358"/>
    <cellStyle name="注释 2 2 8 2 7" xfId="34359"/>
    <cellStyle name="注释 2 2 8 2 9" xfId="34360"/>
    <cellStyle name="注释 2 2 8 3" xfId="34361"/>
    <cellStyle name="注释 2 2 8 4" xfId="34362"/>
    <cellStyle name="注释 2 2 8 5" xfId="34363"/>
    <cellStyle name="注释 2 2 8 6" xfId="34364"/>
    <cellStyle name="注释 2 2 8 7" xfId="34365"/>
    <cellStyle name="注释 2 2 8 8" xfId="34366"/>
    <cellStyle name="注释 2 2 8 9" xfId="34367"/>
    <cellStyle name="注释 2 2 9" xfId="34368"/>
    <cellStyle name="注释 2 2 9 10" xfId="34369"/>
    <cellStyle name="注释 2 2 9 11" xfId="34370"/>
    <cellStyle name="注释 2 2 9 12" xfId="34371"/>
    <cellStyle name="注释 2 2 9 13" xfId="34372"/>
    <cellStyle name="注释 2 2 9 14" xfId="34373"/>
    <cellStyle name="注释 2 2 9 2" xfId="34374"/>
    <cellStyle name="注释 2 2 9 2 10" xfId="34375"/>
    <cellStyle name="注释 2 2 9 2 11" xfId="34376"/>
    <cellStyle name="注释 2 2 9 2 2" xfId="34377"/>
    <cellStyle name="注释 2 2 9 2 3" xfId="34378"/>
    <cellStyle name="注释 2 2 9 2 4" xfId="34379"/>
    <cellStyle name="注释 2 2 9 2 5" xfId="34380"/>
    <cellStyle name="注释 2 2 9 2 6" xfId="34381"/>
    <cellStyle name="注释 2 2 9 2 7" xfId="34382"/>
    <cellStyle name="注释 2 2 9 3" xfId="34383"/>
    <cellStyle name="注释 2 2 9 6" xfId="34384"/>
    <cellStyle name="注释 2 2 9 7" xfId="34385"/>
    <cellStyle name="注释 2 2 9 8" xfId="34386"/>
    <cellStyle name="注释 2 2 9 9" xfId="34387"/>
    <cellStyle name="注释 2 3 10" xfId="34388"/>
    <cellStyle name="注释 2 3 11" xfId="34389"/>
    <cellStyle name="注释 2 3 12" xfId="34390"/>
    <cellStyle name="注释 2 3 13" xfId="34391"/>
    <cellStyle name="注释 2 3 14" xfId="34392"/>
    <cellStyle name="注释 2 3 15" xfId="34393"/>
    <cellStyle name="注释 2 3 16" xfId="34394"/>
    <cellStyle name="注释 2 3 17" xfId="34395"/>
    <cellStyle name="注释 2 3 18" xfId="34396"/>
    <cellStyle name="注释 2 3 19" xfId="34397"/>
    <cellStyle name="注释 2 3 2" xfId="34398"/>
    <cellStyle name="注释 2 3 2 10" xfId="34399"/>
    <cellStyle name="注释 2 3 2 11" xfId="34400"/>
    <cellStyle name="注释 2 3 2 12" xfId="34401"/>
    <cellStyle name="注释 2 3 2 13" xfId="34402"/>
    <cellStyle name="注释 2 3 2 14" xfId="34403"/>
    <cellStyle name="注释 2 3 2 15" xfId="34404"/>
    <cellStyle name="注释 2 3 2 16" xfId="34405"/>
    <cellStyle name="注释 2 3 2 17" xfId="34406"/>
    <cellStyle name="注释 2 3 2 2" xfId="34407"/>
    <cellStyle name="注释 2 3 2 2 10" xfId="34408"/>
    <cellStyle name="注释 2 3 2 2 11" xfId="34409"/>
    <cellStyle name="注释 2 3 2 2 12" xfId="34410"/>
    <cellStyle name="注释 2 3 2 2 2" xfId="34411"/>
    <cellStyle name="注释 2 3 2 2 3" xfId="34412"/>
    <cellStyle name="注释 2 3 2 2 4" xfId="34413"/>
    <cellStyle name="注释 2 3 2 2 5" xfId="34414"/>
    <cellStyle name="注释 2 3 2 2 6" xfId="34415"/>
    <cellStyle name="注释 2 3 2 2 7" xfId="34416"/>
    <cellStyle name="注释 2 3 2 2 8" xfId="34417"/>
    <cellStyle name="注释 2 3 2 2 9" xfId="34418"/>
    <cellStyle name="注释 2 3 2 3" xfId="34419"/>
    <cellStyle name="注释 2 3 2 4" xfId="34420"/>
    <cellStyle name="注释 2 3 2 8" xfId="34421"/>
    <cellStyle name="注释 2 3 2 9" xfId="34422"/>
    <cellStyle name="注释 2 3 3" xfId="34423"/>
    <cellStyle name="注释 2 3 3 13" xfId="34424"/>
    <cellStyle name="注释 2 3 3 14" xfId="34425"/>
    <cellStyle name="注释 2 3 3 2" xfId="34426"/>
    <cellStyle name="注释 2 3 3 2 12" xfId="34427"/>
    <cellStyle name="注释 2 3 3 2 2" xfId="34428"/>
    <cellStyle name="注释 2 3 3 2 3" xfId="34429"/>
    <cellStyle name="注释 2 3 3 2 4" xfId="34430"/>
    <cellStyle name="注释 2 3 3 3" xfId="34431"/>
    <cellStyle name="注释 2 3 3 4" xfId="34432"/>
    <cellStyle name="注释 2 3 3 7" xfId="34433"/>
    <cellStyle name="注释 2 3 3 8" xfId="34434"/>
    <cellStyle name="注释 2 3 3 9" xfId="34435"/>
    <cellStyle name="注释 2 3 4" xfId="34436"/>
    <cellStyle name="注释 2 3 4 10" xfId="34437"/>
    <cellStyle name="注释 2 3 4 11" xfId="34438"/>
    <cellStyle name="注释 2 3 4 12" xfId="34439"/>
    <cellStyle name="注释 2 3 4 7" xfId="34440"/>
    <cellStyle name="注释 2 3 4 8" xfId="34441"/>
    <cellStyle name="注释 2 3 4 9" xfId="34442"/>
    <cellStyle name="注释 2 3 5" xfId="34443"/>
    <cellStyle name="注释 2 3 6" xfId="34444"/>
    <cellStyle name="注释 2 3 7" xfId="34445"/>
    <cellStyle name="注释 2 3 8" xfId="34446"/>
    <cellStyle name="注释 2 3 9" xfId="34447"/>
    <cellStyle name="注释 2 4" xfId="34448"/>
    <cellStyle name="注释 2 5" xfId="34449"/>
    <cellStyle name="注释 2 5 2" xfId="34450"/>
    <cellStyle name="注释 2 5 2 10" xfId="34451"/>
    <cellStyle name="注释 2 5 2 11" xfId="34452"/>
    <cellStyle name="注释 2 5 2 12" xfId="34453"/>
    <cellStyle name="注释 2 5 2 6" xfId="34454"/>
    <cellStyle name="注释 2 5 2 7" xfId="34455"/>
    <cellStyle name="注释 2 5 2 8" xfId="34456"/>
    <cellStyle name="注释 2 5 2 9" xfId="34457"/>
    <cellStyle name="注释 2 5 3" xfId="34458"/>
    <cellStyle name="注释 2 5 4" xfId="34459"/>
    <cellStyle name="注释 2 5 5" xfId="34460"/>
    <cellStyle name="注释 2 6" xfId="34461"/>
    <cellStyle name="注释 2 6 17" xfId="34462"/>
    <cellStyle name="注释 2 6 2" xfId="34463"/>
    <cellStyle name="注释 2 6 2 10" xfId="34464"/>
    <cellStyle name="注释 2 6 2 11" xfId="34465"/>
    <cellStyle name="注释 2 6 2 12" xfId="34466"/>
    <cellStyle name="注释 2 6 2 2" xfId="34467"/>
    <cellStyle name="注释 2 6 2 3" xfId="34468"/>
    <cellStyle name="注释 2 6 2 4" xfId="34469"/>
    <cellStyle name="注释 2 6 2 5" xfId="34470"/>
    <cellStyle name="注释 2 6 2 7" xfId="34471"/>
    <cellStyle name="注释 2 6 2 8" xfId="34472"/>
    <cellStyle name="注释 2 6 2 9" xfId="34473"/>
    <cellStyle name="注释 2 6 3" xfId="34474"/>
    <cellStyle name="注释 2 6 4" xfId="34475"/>
    <cellStyle name="注释 2 6 5" xfId="34476"/>
    <cellStyle name="注释 2 6 8" xfId="34477"/>
    <cellStyle name="注释 2 6 9" xfId="34478"/>
    <cellStyle name="注释 2 7" xfId="34479"/>
    <cellStyle name="注释 2 7 16" xfId="34480"/>
    <cellStyle name="注释 2 7 17" xfId="34481"/>
    <cellStyle name="注释 2 7 2" xfId="34482"/>
    <cellStyle name="注释 2 7 2 10" xfId="34483"/>
    <cellStyle name="注释 2 7 2 11" xfId="34484"/>
    <cellStyle name="注释 2 7 2 12" xfId="34485"/>
    <cellStyle name="注释 2 7 2 2" xfId="34486"/>
    <cellStyle name="注释 2 7 2 3" xfId="34487"/>
    <cellStyle name="注释 2 7 2 4" xfId="34488"/>
    <cellStyle name="注释 2 7 2 5" xfId="34489"/>
    <cellStyle name="注释 2 7 2 6" xfId="34490"/>
    <cellStyle name="注释 2 7 2 7" xfId="34491"/>
    <cellStyle name="注释 2 7 2 8" xfId="34492"/>
    <cellStyle name="注释 2 7 2 9" xfId="34493"/>
    <cellStyle name="注释 2 7 3" xfId="34494"/>
    <cellStyle name="注释 2 7 4" xfId="34495"/>
    <cellStyle name="注释 2 7 5" xfId="34496"/>
    <cellStyle name="注释 2 7 6" xfId="34497"/>
    <cellStyle name="注释 2 7 7" xfId="34498"/>
    <cellStyle name="注释 2 7 8" xfId="34499"/>
    <cellStyle name="注释 2 7 9" xfId="34500"/>
    <cellStyle name="注释 2 8" xfId="34501"/>
    <cellStyle name="注释 2 8 10" xfId="34502"/>
    <cellStyle name="注释 2 8 11" xfId="34503"/>
    <cellStyle name="注释 2 8 12" xfId="34504"/>
    <cellStyle name="注释 2 8 13" xfId="34505"/>
    <cellStyle name="注释 2 8 14" xfId="34506"/>
    <cellStyle name="注释 2 8 2" xfId="34507"/>
    <cellStyle name="注释 2 8 2 2" xfId="34508"/>
    <cellStyle name="注释 2 8 2 3" xfId="34509"/>
    <cellStyle name="注释 2 8 2 4" xfId="34510"/>
    <cellStyle name="注释 2 8 2 5" xfId="34511"/>
    <cellStyle name="注释 2 8 2 6" xfId="34512"/>
    <cellStyle name="注释 2 8 2 7" xfId="34513"/>
    <cellStyle name="注释 2 8 2 8" xfId="34514"/>
    <cellStyle name="注释 2 8 2 9" xfId="34515"/>
    <cellStyle name="注释 2 8 3" xfId="34516"/>
    <cellStyle name="注释 2 8 4" xfId="34517"/>
    <cellStyle name="注释 2 8 5" xfId="34518"/>
    <cellStyle name="注释 2 8 6" xfId="34519"/>
    <cellStyle name="注释 2 8 7" xfId="34520"/>
    <cellStyle name="注释 2 8 8" xfId="34521"/>
    <cellStyle name="注释 2 8 9" xfId="34522"/>
    <cellStyle name="注释 2 9" xfId="34523"/>
    <cellStyle name="注释 2 9 10" xfId="34524"/>
    <cellStyle name="注释 2 9 11" xfId="34525"/>
    <cellStyle name="注释 2 9 12" xfId="34526"/>
    <cellStyle name="注释 2 9 2" xfId="34527"/>
    <cellStyle name="注释 2 9 3" xfId="34528"/>
    <cellStyle name="注释 2 9 4" xfId="34529"/>
    <cellStyle name="注释 2 9 5" xfId="34530"/>
    <cellStyle name="注释 2 9 6" xfId="34531"/>
    <cellStyle name="注释 2 9 7" xfId="34532"/>
    <cellStyle name="注释 3 2 2 2 2" xfId="34533"/>
    <cellStyle name="注释 2 9 8" xfId="34534"/>
    <cellStyle name="注释 3 2 2 2 3" xfId="34535"/>
    <cellStyle name="注释 2 9 9" xfId="34536"/>
    <cellStyle name="注释 3 10" xfId="34537"/>
    <cellStyle name="注释 3 11" xfId="34538"/>
    <cellStyle name="注释 3 12" xfId="34539"/>
    <cellStyle name="注释 3 13" xfId="34540"/>
    <cellStyle name="注释 3 2" xfId="34541"/>
    <cellStyle name="注释 3 2 10" xfId="34542"/>
    <cellStyle name="注释 3 2 10 10" xfId="34543"/>
    <cellStyle name="注释 3 2 10 11" xfId="34544"/>
    <cellStyle name="注释 3 2 10 12" xfId="34545"/>
    <cellStyle name="注释 3 2 10 13" xfId="34546"/>
    <cellStyle name="注释 3 2 10 14" xfId="34547"/>
    <cellStyle name="注释 3 2 10 2" xfId="34548"/>
    <cellStyle name="注释 3 2 10 2 10" xfId="34549"/>
    <cellStyle name="注释 3 2 10 2 11" xfId="34550"/>
    <cellStyle name="注释 3 2 10 2 12" xfId="34551"/>
    <cellStyle name="注释 3 2 10 2 2" xfId="34552"/>
    <cellStyle name="注释 3 2 10 2 3" xfId="34553"/>
    <cellStyle name="注释 3 2 10 2 4" xfId="34554"/>
    <cellStyle name="注释 3 2 10 2 5" xfId="34555"/>
    <cellStyle name="注释 3 2 10 2 6" xfId="34556"/>
    <cellStyle name="注释 3 2 10 2 7" xfId="34557"/>
    <cellStyle name="注释 3 2 10 2 8" xfId="34558"/>
    <cellStyle name="注释 3 2 10 2 9" xfId="34559"/>
    <cellStyle name="注释 3 2 10 3" xfId="34560"/>
    <cellStyle name="注释 3 2 10 4" xfId="34561"/>
    <cellStyle name="注释 3 2 10 5" xfId="34562"/>
    <cellStyle name="注释 3 2 10 6" xfId="34563"/>
    <cellStyle name="注释 3 2 10 7" xfId="34564"/>
    <cellStyle name="注释 3 2 10 8" xfId="34565"/>
    <cellStyle name="注释 3 2 10 9" xfId="34566"/>
    <cellStyle name="注释 3 2 11" xfId="34567"/>
    <cellStyle name="注释 3 2 11 10" xfId="34568"/>
    <cellStyle name="注释 3 2 11 2" xfId="34569"/>
    <cellStyle name="注释 3 2 11 3" xfId="34570"/>
    <cellStyle name="注释 3 2 11 4" xfId="34571"/>
    <cellStyle name="注释 3 2 11 5" xfId="34572"/>
    <cellStyle name="注释 3 2 11 6" xfId="34573"/>
    <cellStyle name="注释 3 2 11 7" xfId="34574"/>
    <cellStyle name="注释 3 2 11 8" xfId="34575"/>
    <cellStyle name="注释 3 2 11 9" xfId="34576"/>
    <cellStyle name="注释 3 2 12" xfId="34577"/>
    <cellStyle name="注释 3 2 12 2" xfId="34578"/>
    <cellStyle name="注释 3 2 12 2 2" xfId="34579"/>
    <cellStyle name="注释 3 2 12 2 3" xfId="34580"/>
    <cellStyle name="注释 3 2 12 3" xfId="34581"/>
    <cellStyle name="注释 3 2 13" xfId="34582"/>
    <cellStyle name="注释 3 2 14" xfId="34583"/>
    <cellStyle name="注释 3 2 20" xfId="34584"/>
    <cellStyle name="注释 3 2 15" xfId="34585"/>
    <cellStyle name="注释 3 2 21" xfId="34586"/>
    <cellStyle name="注释 3 2 16" xfId="34587"/>
    <cellStyle name="注释 3 2 22" xfId="34588"/>
    <cellStyle name="注释 3 2 17" xfId="34589"/>
    <cellStyle name="注释 3 2 23" xfId="34590"/>
    <cellStyle name="注释 3 2 18" xfId="34591"/>
    <cellStyle name="注释 3 2 24" xfId="34592"/>
    <cellStyle name="注释 3 2 19" xfId="34593"/>
    <cellStyle name="注释 3 2 2 11" xfId="34594"/>
    <cellStyle name="注释 3 2 2 12" xfId="34595"/>
    <cellStyle name="注释 3 2 2 13" xfId="34596"/>
    <cellStyle name="注释 3 2 2 14" xfId="34597"/>
    <cellStyle name="注释 3 2 2 15" xfId="34598"/>
    <cellStyle name="注释 3 2 2 16" xfId="34599"/>
    <cellStyle name="注释 3 2 2 17" xfId="34600"/>
    <cellStyle name="注释 3 2 2 2" xfId="34601"/>
    <cellStyle name="注释 3 2 2 2 10" xfId="34602"/>
    <cellStyle name="注释 3 2 2 2 11" xfId="34603"/>
    <cellStyle name="注释 3 2 2 2 12" xfId="34604"/>
    <cellStyle name="注释 3 2 2 2 4" xfId="34605"/>
    <cellStyle name="注释 3 2 2 2 5" xfId="34606"/>
    <cellStyle name="注释 3 2 2 3" xfId="34607"/>
    <cellStyle name="注释 3 2 2 4" xfId="34608"/>
    <cellStyle name="注释 3 2 2 5" xfId="34609"/>
    <cellStyle name="注释 3 2 2 6" xfId="34610"/>
    <cellStyle name="注释 3 2 2 7" xfId="34611"/>
    <cellStyle name="注释 3 2 2 8" xfId="34612"/>
    <cellStyle name="注释 3 2 2 9" xfId="34613"/>
    <cellStyle name="注释 3 2 30" xfId="34614"/>
    <cellStyle name="注释 3 2 25" xfId="34615"/>
    <cellStyle name="注释 3 2 26" xfId="34616"/>
    <cellStyle name="注释 3 2 27" xfId="34617"/>
    <cellStyle name="注释 3 2 28" xfId="34618"/>
    <cellStyle name="注释 3 2 29" xfId="34619"/>
    <cellStyle name="注释 3 2 3 10" xfId="34620"/>
    <cellStyle name="注释 3 2 3 11" xfId="34621"/>
    <cellStyle name="注释 3 2 3 12" xfId="34622"/>
    <cellStyle name="注释 3 2 3 13" xfId="34623"/>
    <cellStyle name="注释 3 2 3 14" xfId="34624"/>
    <cellStyle name="注释 3 2 3 15" xfId="34625"/>
    <cellStyle name="注释 3 2 3 16" xfId="34626"/>
    <cellStyle name="注释 3 2 3 17" xfId="34627"/>
    <cellStyle name="注释 3 2 3 2 12" xfId="34628"/>
    <cellStyle name="注释 3 9 8" xfId="34629"/>
    <cellStyle name="注释 3 2 3 2 2" xfId="34630"/>
    <cellStyle name="注释 3 9 9" xfId="34631"/>
    <cellStyle name="注释 3 2 3 2 3" xfId="34632"/>
    <cellStyle name="注释 3 2 3 2 4" xfId="34633"/>
    <cellStyle name="注释 3 2 3 2 5" xfId="34634"/>
    <cellStyle name="注释 3 2 3 2 6" xfId="34635"/>
    <cellStyle name="注释 3 2 3 2 7" xfId="34636"/>
    <cellStyle name="注释 3 2 3 2 8" xfId="34637"/>
    <cellStyle name="注释 3 2 3 2 9" xfId="34638"/>
    <cellStyle name="注释 3 2 3 8" xfId="34639"/>
    <cellStyle name="注释 3 2 3 9" xfId="34640"/>
    <cellStyle name="注释 3 2 4 10" xfId="34641"/>
    <cellStyle name="注释 3 2 4 11" xfId="34642"/>
    <cellStyle name="注释 3 2 4 12" xfId="34643"/>
    <cellStyle name="注释 3 2 4 13" xfId="34644"/>
    <cellStyle name="注释 3 2 4 14" xfId="34645"/>
    <cellStyle name="注释 3 2 4 15" xfId="34646"/>
    <cellStyle name="注释 3 2 4 16" xfId="34647"/>
    <cellStyle name="注释 3 2 4 17" xfId="34648"/>
    <cellStyle name="注释 3 2 4 2" xfId="34649"/>
    <cellStyle name="注释 3 2 4 2 10" xfId="34650"/>
    <cellStyle name="注释 3 2 4 2 11" xfId="34651"/>
    <cellStyle name="注释 3 2 4 2 12" xfId="34652"/>
    <cellStyle name="注释 3 2 4 2 9" xfId="34653"/>
    <cellStyle name="注释 3 2 4 3" xfId="34654"/>
    <cellStyle name="注释 3 2 4 4" xfId="34655"/>
    <cellStyle name="注释 3 2 4 5" xfId="34656"/>
    <cellStyle name="注释 3 2 4 6" xfId="34657"/>
    <cellStyle name="注释 3 2 4 7" xfId="34658"/>
    <cellStyle name="注释 3 2 4 8" xfId="34659"/>
    <cellStyle name="注释 3 2 4 9" xfId="34660"/>
    <cellStyle name="注释 3 2 5 10" xfId="34661"/>
    <cellStyle name="注释 3 2 5 11" xfId="34662"/>
    <cellStyle name="注释 3 2 5 12" xfId="34663"/>
    <cellStyle name="注释 3 2 5 14" xfId="34664"/>
    <cellStyle name="注释 3 2 5 2" xfId="34665"/>
    <cellStyle name="注释 3 2 5 2 10" xfId="34666"/>
    <cellStyle name="注释 3 2 5 2 11" xfId="34667"/>
    <cellStyle name="注释 3 2 5 2 12" xfId="34668"/>
    <cellStyle name="注释 3 2 5 2 2" xfId="34669"/>
    <cellStyle name="注释 3 2 5 2 3" xfId="34670"/>
    <cellStyle name="注释 3 2 5 2 4" xfId="34671"/>
    <cellStyle name="注释 3 2 5 2 5" xfId="34672"/>
    <cellStyle name="注释 3 2 5 2 6" xfId="34673"/>
    <cellStyle name="注释 3 2 5 2 7" xfId="34674"/>
    <cellStyle name="注释 3 2 5 2 8" xfId="34675"/>
    <cellStyle name="注释 3 2 5 2 9" xfId="34676"/>
    <cellStyle name="注释 3 2 5 3" xfId="34677"/>
    <cellStyle name="注释 3 2 5 4" xfId="34678"/>
    <cellStyle name="注释 3 2 5 5" xfId="34679"/>
    <cellStyle name="注释 3 2 5 6" xfId="34680"/>
    <cellStyle name="注释 3 2 5 7" xfId="34681"/>
    <cellStyle name="注释 3 2 6 10" xfId="34682"/>
    <cellStyle name="注释 3 2 6 11" xfId="34683"/>
    <cellStyle name="注释 3 2 6 14" xfId="34684"/>
    <cellStyle name="注释 3 2 6 2" xfId="34685"/>
    <cellStyle name="注释 3 2 6 2 2" xfId="34686"/>
    <cellStyle name="注释 3 2 6 2 3" xfId="34687"/>
    <cellStyle name="注释 3 2 6 2 4" xfId="34688"/>
    <cellStyle name="注释 3 2 6 2 5" xfId="34689"/>
    <cellStyle name="注释 3 2 6 2 6" xfId="34690"/>
    <cellStyle name="注释 3 2 6 3" xfId="34691"/>
    <cellStyle name="注释 3 2 6 4" xfId="34692"/>
    <cellStyle name="注释 3 2 6 5" xfId="34693"/>
    <cellStyle name="注释 3 2 6 6" xfId="34694"/>
    <cellStyle name="注释 3 2 6 7" xfId="34695"/>
    <cellStyle name="注释 3 2 6 8" xfId="34696"/>
    <cellStyle name="注释 3 2 6 9" xfId="34697"/>
    <cellStyle name="注释 3 2 7 10" xfId="34698"/>
    <cellStyle name="注释 3 2 7 11" xfId="34699"/>
    <cellStyle name="注释 3 2 7 2" xfId="34700"/>
    <cellStyle name="注释 3 2 7 2 10" xfId="34701"/>
    <cellStyle name="注释 3 2 7 2 11" xfId="34702"/>
    <cellStyle name="注释 3 2 7 2 12" xfId="34703"/>
    <cellStyle name="注释 3 2 7 2 2" xfId="34704"/>
    <cellStyle name="注释 3 2 7 2 3" xfId="34705"/>
    <cellStyle name="注释 3 2 7 2 4" xfId="34706"/>
    <cellStyle name="注释 3 2 7 2 5" xfId="34707"/>
    <cellStyle name="注释 3 2 7 2 6" xfId="34708"/>
    <cellStyle name="注释 3 2 7 2 7" xfId="34709"/>
    <cellStyle name="注释 3 2 7 2 8" xfId="34710"/>
    <cellStyle name="注释 3 2 7 2 9" xfId="34711"/>
    <cellStyle name="注释 3 2 7 3" xfId="34712"/>
    <cellStyle name="注释 3 2 7 4" xfId="34713"/>
    <cellStyle name="注释 3 2 7 5" xfId="34714"/>
    <cellStyle name="注释 3 2 7 6" xfId="34715"/>
    <cellStyle name="注释 3 2 7 7" xfId="34716"/>
    <cellStyle name="注释 3 2 7 8" xfId="34717"/>
    <cellStyle name="注释 3 2 7 9" xfId="34718"/>
    <cellStyle name="注释 3 2 8 10" xfId="34719"/>
    <cellStyle name="注释 3 2 8 11" xfId="34720"/>
    <cellStyle name="注释 3 2 8 12" xfId="34721"/>
    <cellStyle name="注释 3 2 8 13" xfId="34722"/>
    <cellStyle name="注释 3 2 8 14" xfId="34723"/>
    <cellStyle name="注释 3 2 8 2" xfId="34724"/>
    <cellStyle name="注释 3 2 8 2 2" xfId="34725"/>
    <cellStyle name="注释 3 2 8 2 3" xfId="34726"/>
    <cellStyle name="注释 3 2 8 2 4" xfId="34727"/>
    <cellStyle name="注释 3 2 8 2 5" xfId="34728"/>
    <cellStyle name="注释 3 2 8 2 6" xfId="34729"/>
    <cellStyle name="注释 3 2 8 2 7" xfId="34730"/>
    <cellStyle name="注释 3 2 8 2 8" xfId="34731"/>
    <cellStyle name="注释 3 2 8 2 9" xfId="34732"/>
    <cellStyle name="注释 3 2 8 3" xfId="34733"/>
    <cellStyle name="注释 3 2 8 4" xfId="34734"/>
    <cellStyle name="注释 3 2 8 5" xfId="34735"/>
    <cellStyle name="注释 3 2 8 6" xfId="34736"/>
    <cellStyle name="注释 3 2 8 7" xfId="34737"/>
    <cellStyle name="注释 3 2 8 8" xfId="34738"/>
    <cellStyle name="注释 3 2 8 9" xfId="34739"/>
    <cellStyle name="注释 3 2 9" xfId="34740"/>
    <cellStyle name="注释 3 2 9 10" xfId="34741"/>
    <cellStyle name="注释 3 2 9 11" xfId="34742"/>
    <cellStyle name="注释 3 2 9 12" xfId="34743"/>
    <cellStyle name="注释 3 2 9 13" xfId="34744"/>
    <cellStyle name="注释 3 2 9 14" xfId="34745"/>
    <cellStyle name="注释 3 2 9 2" xfId="34746"/>
    <cellStyle name="注释 3 2 9 2 10" xfId="34747"/>
    <cellStyle name="注释 3 2 9 2 11" xfId="34748"/>
    <cellStyle name="注释 3 2 9 2 12" xfId="34749"/>
    <cellStyle name="注释 3 2 9 2 2" xfId="34750"/>
    <cellStyle name="注释 3 2 9 2 3" xfId="34751"/>
    <cellStyle name="注释 3 2 9 2 4" xfId="34752"/>
    <cellStyle name="注释 3 2 9 2 5" xfId="34753"/>
    <cellStyle name="注释 3 2 9 2 6" xfId="34754"/>
    <cellStyle name="注释 3 2 9 2 7" xfId="34755"/>
    <cellStyle name="注释 3 2 9 2 8" xfId="34756"/>
    <cellStyle name="注释 3 2 9 2 9" xfId="34757"/>
    <cellStyle name="注释 3 2 9 3" xfId="34758"/>
    <cellStyle name="注释 3 2 9 4" xfId="34759"/>
    <cellStyle name="注释 3 2 9 5" xfId="34760"/>
    <cellStyle name="注释 3 2 9 6" xfId="34761"/>
    <cellStyle name="注释 3 2 9 7" xfId="34762"/>
    <cellStyle name="注释 3 2 9 8" xfId="34763"/>
    <cellStyle name="注释 3 2 9 9" xfId="34764"/>
    <cellStyle name="注释 3 3" xfId="34765"/>
    <cellStyle name="注释 3 3 10" xfId="34766"/>
    <cellStyle name="注释 3 3 11" xfId="34767"/>
    <cellStyle name="注释 3 3 12" xfId="34768"/>
    <cellStyle name="注释 3 3 13" xfId="34769"/>
    <cellStyle name="注释 3 3 14" xfId="34770"/>
    <cellStyle name="注释 3 3 2" xfId="34771"/>
    <cellStyle name="注释 3 3 2 10" xfId="34772"/>
    <cellStyle name="注释 3 3 2 11" xfId="34773"/>
    <cellStyle name="注释 3 3 2 12" xfId="34774"/>
    <cellStyle name="注释 3 3 2 13" xfId="34775"/>
    <cellStyle name="注释 3 3 2 14" xfId="34776"/>
    <cellStyle name="注释 3 3 2 15" xfId="34777"/>
    <cellStyle name="注释 3 3 2 2" xfId="34778"/>
    <cellStyle name="注释 3 3 2 2 10" xfId="34779"/>
    <cellStyle name="注释 3 3 2 2 11" xfId="34780"/>
    <cellStyle name="注释 3 3 2 2 12" xfId="34781"/>
    <cellStyle name="注释 3 3 2 2 2" xfId="34782"/>
    <cellStyle name="注释 3 3 2 2 3" xfId="34783"/>
    <cellStyle name="注释 3 3 2 2 4" xfId="34784"/>
    <cellStyle name="注释 3 3 2 2 5" xfId="34785"/>
    <cellStyle name="注释 3 3 2 2 6" xfId="34786"/>
    <cellStyle name="注释 3 3 2 2 7" xfId="34787"/>
    <cellStyle name="注释 3 3 2 2 8" xfId="34788"/>
    <cellStyle name="注释 3 3 2 3" xfId="34789"/>
    <cellStyle name="注释 3 3 2 4" xfId="34790"/>
    <cellStyle name="注释 3 3 2 5" xfId="34791"/>
    <cellStyle name="注释 3 3 2 6" xfId="34792"/>
    <cellStyle name="注释 3 3 2 7" xfId="34793"/>
    <cellStyle name="注释 3 3 2 8" xfId="34794"/>
    <cellStyle name="注释 3 3 3" xfId="34795"/>
    <cellStyle name="注释 3 3 3 10" xfId="34796"/>
    <cellStyle name="注释 3 3 3 11" xfId="34797"/>
    <cellStyle name="注释 3 3 3 12" xfId="34798"/>
    <cellStyle name="注释 3 3 3 2" xfId="34799"/>
    <cellStyle name="注释 3 3 3 3" xfId="34800"/>
    <cellStyle name="注释 3 3 3 4" xfId="34801"/>
    <cellStyle name="注释 3 3 3 5" xfId="34802"/>
    <cellStyle name="注释 3 3 3 6" xfId="34803"/>
    <cellStyle name="注释 3 3 3 7" xfId="34804"/>
    <cellStyle name="注释 3 3 3 8" xfId="34805"/>
    <cellStyle name="注释 3 3 3 9" xfId="34806"/>
    <cellStyle name="注释 3 3 4" xfId="34807"/>
    <cellStyle name="注释 3 3 5" xfId="34808"/>
    <cellStyle name="注释 3 3 6" xfId="34809"/>
    <cellStyle name="注释 3 3 7" xfId="34810"/>
    <cellStyle name="注释 3 3 8" xfId="34811"/>
    <cellStyle name="注释 3 3 9" xfId="34812"/>
    <cellStyle name="注释 3 4" xfId="34813"/>
    <cellStyle name="注释 3 4 10" xfId="34814"/>
    <cellStyle name="注释 3 4 11" xfId="34815"/>
    <cellStyle name="注释 3 4 12" xfId="34816"/>
    <cellStyle name="注释 3 4 13" xfId="34817"/>
    <cellStyle name="注释 3 4 14" xfId="34818"/>
    <cellStyle name="注释 3 4 15" xfId="34819"/>
    <cellStyle name="注释 3 4 16" xfId="34820"/>
    <cellStyle name="注释 3 4 2" xfId="34821"/>
    <cellStyle name="注释 3 4 2 10" xfId="34822"/>
    <cellStyle name="注释 3 4 2 11" xfId="34823"/>
    <cellStyle name="注释 3 4 2 12" xfId="34824"/>
    <cellStyle name="注释 3 4 2 8" xfId="34825"/>
    <cellStyle name="注释 3 4 2 9" xfId="34826"/>
    <cellStyle name="注释 3 4 3" xfId="34827"/>
    <cellStyle name="注释 3 4 4" xfId="34828"/>
    <cellStyle name="注释 3 4 5" xfId="34829"/>
    <cellStyle name="注释 3 4 6" xfId="34830"/>
    <cellStyle name="注释 3 4 7" xfId="34831"/>
    <cellStyle name="注释 3 4 8" xfId="34832"/>
    <cellStyle name="注释 3 4 9" xfId="34833"/>
    <cellStyle name="注释 3 5" xfId="34834"/>
    <cellStyle name="注释 3 5 2" xfId="34835"/>
    <cellStyle name="注释 3 5 2 2" xfId="34836"/>
    <cellStyle name="注释 3 5 2 3" xfId="34837"/>
    <cellStyle name="注释 3 5 2 4" xfId="34838"/>
    <cellStyle name="注释 3 5 2 5" xfId="34839"/>
    <cellStyle name="注释 3 5 2 6" xfId="34840"/>
    <cellStyle name="注释 3 5 2 7" xfId="34841"/>
    <cellStyle name="注释 3 5 2 8" xfId="34842"/>
    <cellStyle name="注释 3 5 2 9" xfId="34843"/>
    <cellStyle name="注释 3 5 3" xfId="34844"/>
    <cellStyle name="注释 3 5 3 2" xfId="34845"/>
    <cellStyle name="注释 3 5 3 2 2" xfId="34846"/>
    <cellStyle name="注释 3 5 3 2 3" xfId="34847"/>
    <cellStyle name="注释 3 5 4" xfId="34848"/>
    <cellStyle name="注释 3 5 5" xfId="34849"/>
    <cellStyle name="注释 3 6" xfId="34850"/>
    <cellStyle name="注释 3 6 2 2" xfId="34851"/>
    <cellStyle name="注释 3 6 2 3" xfId="34852"/>
    <cellStyle name="注释 3 6 2 4" xfId="34853"/>
    <cellStyle name="注释 3 6 2 5" xfId="34854"/>
    <cellStyle name="注释 3 6 2 6" xfId="34855"/>
    <cellStyle name="注释 3 6 2 7" xfId="34856"/>
    <cellStyle name="注释 3 6 2 8" xfId="34857"/>
    <cellStyle name="注释 3 6 2 9" xfId="34858"/>
    <cellStyle name="注释 3 6 7" xfId="34859"/>
    <cellStyle name="注释 3 6 8" xfId="34860"/>
    <cellStyle name="注释 3 6 9" xfId="34861"/>
    <cellStyle name="注释 3 7" xfId="34862"/>
    <cellStyle name="注释 3 7 16" xfId="34863"/>
    <cellStyle name="注释 3 7 17" xfId="34864"/>
    <cellStyle name="注释 3 7 2 10" xfId="34865"/>
    <cellStyle name="注释 3 7 2 11" xfId="34866"/>
    <cellStyle name="注释 3 7 2 12" xfId="34867"/>
    <cellStyle name="注释 3 7 2 2" xfId="34868"/>
    <cellStyle name="注释 3 7 2 3" xfId="34869"/>
    <cellStyle name="注释 3 7 2 4" xfId="34870"/>
    <cellStyle name="注释 3 7 2 5" xfId="34871"/>
    <cellStyle name="注释 3 7 2 6" xfId="34872"/>
    <cellStyle name="注释 3 7 2 7" xfId="34873"/>
    <cellStyle name="注释 3 7 2 8" xfId="34874"/>
    <cellStyle name="注释 3 7 2 9" xfId="34875"/>
    <cellStyle name="注释 3 7 8" xfId="34876"/>
    <cellStyle name="注释 3 7 9" xfId="34877"/>
    <cellStyle name="注释 3 8" xfId="34878"/>
    <cellStyle name="注释 3 8 10" xfId="34879"/>
    <cellStyle name="注释 3 8 11" xfId="34880"/>
    <cellStyle name="注释 3 8 12" xfId="34881"/>
    <cellStyle name="注释 3 8 13" xfId="34882"/>
    <cellStyle name="注释 3 8 14" xfId="34883"/>
    <cellStyle name="注释 3 8 2 10" xfId="34884"/>
    <cellStyle name="注释 3 8 2 11" xfId="34885"/>
    <cellStyle name="注释 3 8 2 12" xfId="34886"/>
    <cellStyle name="注释 3 8 2 2" xfId="34887"/>
    <cellStyle name="注释 3 8 2 3" xfId="34888"/>
    <cellStyle name="注释 3 8 2 4" xfId="34889"/>
    <cellStyle name="注释 3 8 2 5" xfId="34890"/>
    <cellStyle name="注释 3 8 2 6" xfId="34891"/>
    <cellStyle name="注释 3 8 2 7" xfId="34892"/>
    <cellStyle name="注释 3 8 2 8" xfId="34893"/>
    <cellStyle name="注释 3 8 2 9" xfId="34894"/>
    <cellStyle name="注释 3 8 5" xfId="34895"/>
    <cellStyle name="注释 3 8 6" xfId="34896"/>
    <cellStyle name="注释 3 8 7" xfId="34897"/>
    <cellStyle name="注释 3 8 8" xfId="34898"/>
    <cellStyle name="注释 3 8 9" xfId="34899"/>
    <cellStyle name="注释 3 9" xfId="34900"/>
    <cellStyle name="注释 3 9 10" xfId="34901"/>
    <cellStyle name="注释 3 9 11" xfId="34902"/>
    <cellStyle name="注释 3 9 12" xfId="34903"/>
    <cellStyle name="注释 3 9 7" xfId="34904"/>
    <cellStyle name="注释 4 2" xfId="34905"/>
    <cellStyle name="注释 4 2 10" xfId="34906"/>
    <cellStyle name="注释 4 2 14" xfId="34907"/>
    <cellStyle name="注释 4 2 15" xfId="34908"/>
    <cellStyle name="注释 4 2 16" xfId="34909"/>
    <cellStyle name="注释 4 2 17" xfId="34910"/>
    <cellStyle name="注释 4 2 18" xfId="34911"/>
    <cellStyle name="注释 4 2 2 10" xfId="34912"/>
    <cellStyle name="注释 4 2 2 11" xfId="34913"/>
    <cellStyle name="注释 4 2 2 12" xfId="34914"/>
    <cellStyle name="注释 4 2 2 6" xfId="34915"/>
    <cellStyle name="注释 4 2 2 7" xfId="34916"/>
    <cellStyle name="注释 4 2 2 8" xfId="34917"/>
    <cellStyle name="注释 4 2 2 9" xfId="34918"/>
    <cellStyle name="注释 4 2 8" xfId="34919"/>
    <cellStyle name="注释 4 2 9" xfId="34920"/>
    <cellStyle name="注释 4 3" xfId="34921"/>
    <cellStyle name="注释 4 3 10" xfId="34922"/>
    <cellStyle name="注释 4 3 11" xfId="34923"/>
    <cellStyle name="注释 4 3 12" xfId="34924"/>
    <cellStyle name="注释 4 3 2" xfId="34925"/>
    <cellStyle name="注释 4 3 3" xfId="34926"/>
    <cellStyle name="注释 4 3 4" xfId="34927"/>
    <cellStyle name="注释 4 3 5" xfId="34928"/>
    <cellStyle name="注释 4 3 6" xfId="34929"/>
    <cellStyle name="注释 4 3 7" xfId="34930"/>
    <cellStyle name="注释 4 3 8" xfId="34931"/>
    <cellStyle name="注释 4 4" xfId="34932"/>
    <cellStyle name="注释 4 5" xfId="34933"/>
    <cellStyle name="注释 4 6" xfId="34934"/>
    <cellStyle name="注释 4 7" xfId="34935"/>
    <cellStyle name="注释 4 8" xfId="34936"/>
    <cellStyle name="注释 4 9" xfId="34937"/>
    <cellStyle name="3232 2" xfId="34938"/>
  </cellStyles>
  <dxfs count="2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9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7" Type="http://schemas.openxmlformats.org/officeDocument/2006/relationships/styles" Target="styles.xml"/><Relationship Id="rId36" Type="http://schemas.openxmlformats.org/officeDocument/2006/relationships/sharedStrings" Target="sharedStrings.xml"/><Relationship Id="rId35" Type="http://schemas.openxmlformats.org/officeDocument/2006/relationships/theme" Target="theme/theme1.xml"/><Relationship Id="rId34" Type="http://schemas.openxmlformats.org/officeDocument/2006/relationships/externalLink" Target="externalLinks/externalLink4.xml"/><Relationship Id="rId33" Type="http://schemas.openxmlformats.org/officeDocument/2006/relationships/externalLink" Target="externalLinks/externalLink3.xml"/><Relationship Id="rId32" Type="http://schemas.openxmlformats.org/officeDocument/2006/relationships/externalLink" Target="externalLinks/externalLink2.xml"/><Relationship Id="rId31" Type="http://schemas.openxmlformats.org/officeDocument/2006/relationships/externalLink" Target="externalLinks/externalLink1.xml"/><Relationship Id="rId30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9" Type="http://schemas.openxmlformats.org/officeDocument/2006/relationships/customXml" Target="../customXml/item1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700;&#38754;\&#30011;&#22530;&#26149;&#38182;&#36164;&#26009;\&#24037;&#31243;&#27454;&#25903;&#20184;&#24773;&#20917;&#34920;\&#30011;&#22530;&#26149;&#38182;&#33489;2024&#24180;&#25151;&#20135;&#21512;&#21516;&#27719;&#24635;&#34920;-2024.4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AppData\Roaming\kingsoft\office6\backup\&#30011;&#22530;&#26149;&#38182;&#33489;&#19968;&#26399;%20&#25151;&#20135;&#38144;&#21806;&#36716;&#23450;&#21488;&#36134;&#34920;%202024.8&#2637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&#30011;&#22530;&#26149;&#38182;&#36164;&#26009;\&#24037;&#31243;&#27454;&#25903;&#20184;&#24773;&#20917;&#34920;\&#30011;&#22530;&#26149;&#38182;&#33489;2025&#24180;&#25151;&#20135;&#21512;&#21516;&#27719;&#24635;&#34920;-2025.7.3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30011;&#22530;&#26149;&#38182;&#33489;&#19968;&#26399;%20&#25151;&#20135;&#38144;&#21806;&#36716;&#23450;&#21488;&#36134;&#34920;%202026.3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4年库尔勒片区合同汇总表 "/>
      <sheetName val="项目分类（不可删除）"/>
      <sheetName val="销售类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画堂春锦13#14#15#17#18# 商铺"/>
      <sheetName val="NITRQSEY"/>
      <sheetName val="LQHLPISM"/>
      <sheetName val="WVPVRPTM"/>
      <sheetName val="TAQYOVSR"/>
      <sheetName val="ORJJAOMY"/>
      <sheetName val="SRPONDTO"/>
      <sheetName val="XJLVMTTN"/>
      <sheetName val="RMNTYCVY"/>
      <sheetName val="YQZQOESO"/>
      <sheetName val="VVRJEMRJ"/>
      <sheetName val="IRTKRNOJ"/>
      <sheetName val="OOTNVTJV"/>
      <sheetName val="SVNOPQCH"/>
      <sheetName val="画堂春锦9#10#11#12#住宅"/>
      <sheetName val="1#2#3#5#7#楼住宅销售明细表"/>
      <sheetName val="8#楼明细表"/>
      <sheetName val="画堂春锦一期10#17#楼楼面积差核减"/>
      <sheetName val="画堂春锦苑一期未开票收入明细"/>
      <sheetName val="Sheet3"/>
      <sheetName val="Sheet1"/>
      <sheetName val="销售费率计算表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1">
          <cell r="AT71">
            <v>3787691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巴州建筑勘察规划设计工程有限公司付款明细"/>
      <sheetName val="25年库尔勒片区合同汇总表 "/>
      <sheetName val="项目分类（不可删除）"/>
      <sheetName val="其他类"/>
      <sheetName val="Sheet1"/>
      <sheetName val="土地增值税单方成本核算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计算税金"/>
      <sheetName val="汇总表"/>
      <sheetName val="面积统计"/>
      <sheetName val="预缴增值税抵减明细"/>
      <sheetName val="画堂春锦13#14#15#17#18# 商铺"/>
      <sheetName val="NITRQSEY"/>
      <sheetName val="LQHLPISM"/>
      <sheetName val="WVPVRPTM"/>
      <sheetName val="TAQYOVSR"/>
      <sheetName val="ORJJAOMY"/>
      <sheetName val="SRPONDTO"/>
      <sheetName val="XJLVMTTN"/>
      <sheetName val="RMNTYCVY"/>
      <sheetName val="YQZQOESO"/>
      <sheetName val="VVRJEMRJ"/>
      <sheetName val="IRTKRNOJ"/>
      <sheetName val="OOTNVTJV"/>
      <sheetName val="SVNOPQCH"/>
      <sheetName val="画堂春锦9#10#11#12#住宅"/>
      <sheetName val="画堂春锦苑1#2#3#5#7#楼住宅销售明细表"/>
      <sheetName val="画堂春锦苑8#楼明细表"/>
      <sheetName val="画堂春锦苑住宅4#6#"/>
      <sheetName val="画堂春锦苑商业16#19#"/>
      <sheetName val="画堂春锦一期10#17#楼楼面积差核减"/>
      <sheetName val="画堂春锦苑一期未开票收入明细"/>
      <sheetName val="销售费率计算表"/>
      <sheetName val="Sheet1"/>
      <sheetName val="Sheet11"/>
    </sheetNames>
    <sheetDataSet>
      <sheetData sheetId="0"/>
      <sheetData sheetId="1">
        <row r="56">
          <cell r="G56">
            <v>647680.19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comments" Target="../comments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8"/>
  <sheetViews>
    <sheetView zoomScale="90" zoomScaleNormal="90" workbookViewId="0">
      <selection activeCell="D28" sqref="D28"/>
    </sheetView>
  </sheetViews>
  <sheetFormatPr defaultColWidth="9" defaultRowHeight="21" customHeight="1"/>
  <cols>
    <col min="1" max="1" width="5.875" style="971" customWidth="1"/>
    <col min="2" max="2" width="6.5" style="971" customWidth="1"/>
    <col min="3" max="3" width="19.1583333333333" style="972" customWidth="1"/>
    <col min="4" max="5" width="17.875" style="972"/>
    <col min="6" max="6" width="18.25" style="972"/>
    <col min="7" max="7" width="18.25" style="972" customWidth="1"/>
    <col min="8" max="8" width="16.6666666666667" style="972" customWidth="1"/>
    <col min="9" max="9" width="13.5" style="972" customWidth="1"/>
    <col min="10" max="10" width="17.375" style="972" customWidth="1"/>
    <col min="11" max="11" width="20" style="972" customWidth="1"/>
    <col min="12" max="12" width="24.3" style="972" customWidth="1"/>
    <col min="13" max="13" width="17.5" style="972" customWidth="1"/>
    <col min="14" max="14" width="18.125" style="971" customWidth="1"/>
    <col min="15" max="15" width="17.775" style="971" hidden="1" customWidth="1"/>
    <col min="16" max="16" width="21.525" style="971" customWidth="1"/>
    <col min="17" max="17" width="18.6083333333333" style="971" customWidth="1"/>
    <col min="18" max="18" width="13.75" style="971"/>
    <col min="19" max="19" width="16" style="971"/>
    <col min="20" max="20" width="12.625" style="971"/>
    <col min="21" max="21" width="14.875" style="971"/>
    <col min="22" max="22" width="9" style="971"/>
    <col min="23" max="24" width="12.625" style="971"/>
    <col min="25" max="25" width="9" style="971"/>
    <col min="26" max="26" width="12.625" style="971"/>
    <col min="27" max="16384" width="9" style="971"/>
  </cols>
  <sheetData>
    <row r="1" s="106" customFormat="1" customHeight="1" spans="1:25">
      <c r="B1" s="973" t="s">
        <v>0</v>
      </c>
      <c r="C1" s="974"/>
      <c r="D1" s="974"/>
      <c r="E1" s="974"/>
      <c r="F1" s="974"/>
      <c r="G1" s="974"/>
      <c r="H1" s="974"/>
      <c r="I1" s="974"/>
      <c r="J1" s="974"/>
      <c r="K1" s="974"/>
      <c r="L1" s="974"/>
      <c r="M1" s="974"/>
      <c r="N1" s="974"/>
    </row>
    <row r="2" s="969" customFormat="1" ht="32" customHeight="1" spans="1:25">
      <c r="B2" s="975"/>
      <c r="C2" s="976" t="s">
        <v>1</v>
      </c>
      <c r="D2" s="976"/>
      <c r="E2" s="976"/>
      <c r="F2" s="976"/>
      <c r="G2" s="977" t="s">
        <v>2</v>
      </c>
      <c r="H2" s="977"/>
      <c r="I2" s="977"/>
      <c r="J2" s="977"/>
      <c r="K2" s="978" t="s">
        <v>3</v>
      </c>
      <c r="L2" s="979" t="s">
        <v>4</v>
      </c>
      <c r="M2" s="980" t="s">
        <v>5</v>
      </c>
      <c r="N2" s="980"/>
    </row>
    <row r="3" s="970" customFormat="1" customHeight="1" spans="1:25">
      <c r="B3" s="604" t="s">
        <v>6</v>
      </c>
      <c r="C3" s="981" t="s">
        <v>7</v>
      </c>
      <c r="D3" s="981" t="s">
        <v>8</v>
      </c>
      <c r="E3" s="981" t="s">
        <v>9</v>
      </c>
      <c r="F3" s="982" t="s">
        <v>10</v>
      </c>
      <c r="G3" s="983" t="s">
        <v>11</v>
      </c>
      <c r="H3" s="983" t="s">
        <v>12</v>
      </c>
      <c r="I3" s="983" t="s">
        <v>13</v>
      </c>
      <c r="J3" s="984" t="s">
        <v>10</v>
      </c>
      <c r="K3" s="983"/>
      <c r="L3" s="983"/>
      <c r="M3" s="983" t="s">
        <v>7</v>
      </c>
      <c r="N3" s="604" t="s">
        <v>14</v>
      </c>
    </row>
    <row r="4" customHeight="1" spans="1:25">
      <c r="B4" s="617" t="s">
        <v>15</v>
      </c>
      <c r="C4" s="985">
        <v>278868823</v>
      </c>
      <c r="D4" s="985">
        <v>577229</v>
      </c>
      <c r="E4" s="985"/>
      <c r="F4" s="986">
        <f>C4+D4+E4</f>
        <v>279446052</v>
      </c>
      <c r="G4" s="985">
        <f t="shared" ref="G4:G17" si="0">C4/1.09*0.09</f>
        <v>23025866.1192661</v>
      </c>
      <c r="H4" s="985">
        <f t="shared" ref="H4:H20" si="1">D4/1.09*0.09</f>
        <v>47661.1100917431</v>
      </c>
      <c r="I4" s="985">
        <f t="shared" ref="I4:I21" si="2">E4/1.09*0.09</f>
        <v>0</v>
      </c>
      <c r="J4" s="987">
        <f>G4+H4+I4</f>
        <v>23073527.2293578</v>
      </c>
      <c r="K4" s="985"/>
      <c r="L4" s="985"/>
      <c r="M4" s="985"/>
      <c r="N4" s="617"/>
      <c r="P4" s="971">
        <f>J4+N4</f>
        <v>23073527.2293578</v>
      </c>
      <c r="R4" s="971">
        <f t="shared" ref="R4:R11" si="3">C4+E4+D4-K4</f>
        <v>279446052</v>
      </c>
    </row>
    <row r="5" customHeight="1" spans="1:25">
      <c r="B5" s="617" t="s">
        <v>16</v>
      </c>
      <c r="C5" s="985">
        <v>16205837</v>
      </c>
      <c r="D5" s="985">
        <v>900394</v>
      </c>
      <c r="E5" s="985">
        <v>1178000</v>
      </c>
      <c r="F5" s="986">
        <f t="shared" ref="F4:F30" si="4">C5+D5+E5</f>
        <v>18284231</v>
      </c>
      <c r="G5" s="985">
        <f t="shared" si="0"/>
        <v>1338096.63302752</v>
      </c>
      <c r="H5" s="985">
        <f t="shared" si="1"/>
        <v>74344.4587155963</v>
      </c>
      <c r="I5" s="985">
        <f t="shared" si="2"/>
        <v>97266.0550458716</v>
      </c>
      <c r="J5" s="987">
        <f t="shared" ref="J4:J30" si="5">G5+H5+I5</f>
        <v>1509707.14678899</v>
      </c>
      <c r="K5" s="985">
        <v>37431244</v>
      </c>
      <c r="L5" s="985" t="s">
        <v>17</v>
      </c>
      <c r="M5" s="985"/>
      <c r="N5" s="617"/>
      <c r="P5" s="971">
        <f>J5+N5</f>
        <v>1509707.14678899</v>
      </c>
      <c r="R5" s="971">
        <f t="shared" si="3"/>
        <v>-19147013</v>
      </c>
      <c r="S5" s="971">
        <f t="shared" ref="S4:S11" si="6">R5/1.09</f>
        <v>-17566066.9724771</v>
      </c>
    </row>
    <row r="6" customHeight="1" spans="1:25">
      <c r="B6" s="617" t="s">
        <v>18</v>
      </c>
      <c r="C6" s="985"/>
      <c r="D6" s="985">
        <v>56960</v>
      </c>
      <c r="E6" s="985">
        <v>304240</v>
      </c>
      <c r="F6" s="986">
        <f t="shared" si="4"/>
        <v>361200</v>
      </c>
      <c r="G6" s="985">
        <f t="shared" si="0"/>
        <v>0</v>
      </c>
      <c r="H6" s="985">
        <f t="shared" si="1"/>
        <v>4703.11926605505</v>
      </c>
      <c r="I6" s="985">
        <f t="shared" si="2"/>
        <v>25120.7339449541</v>
      </c>
      <c r="J6" s="987">
        <f t="shared" si="5"/>
        <v>29823.8532110091</v>
      </c>
      <c r="K6" s="985">
        <v>16338184</v>
      </c>
      <c r="L6" s="985" t="s">
        <v>17</v>
      </c>
      <c r="M6" s="985">
        <v>10864302</v>
      </c>
      <c r="N6" s="985">
        <f t="shared" ref="N6:N21" si="7">M6/1.09*0.09</f>
        <v>897052.458715596</v>
      </c>
      <c r="P6" s="971">
        <f t="shared" ref="P5:P17" si="8">J6+N6</f>
        <v>926876.311926605</v>
      </c>
      <c r="R6" s="971">
        <f t="shared" si="3"/>
        <v>-15976984</v>
      </c>
      <c r="S6" s="971">
        <f t="shared" si="6"/>
        <v>-14657783.4862385</v>
      </c>
    </row>
    <row r="7" customHeight="1" spans="1:25">
      <c r="B7" s="617" t="s">
        <v>19</v>
      </c>
      <c r="C7" s="985"/>
      <c r="D7" s="985">
        <f>-106935+249275</f>
        <v>142340</v>
      </c>
      <c r="E7" s="985">
        <v>108360</v>
      </c>
      <c r="F7" s="986">
        <f t="shared" si="4"/>
        <v>250700</v>
      </c>
      <c r="G7" s="985">
        <f t="shared" si="0"/>
        <v>0</v>
      </c>
      <c r="H7" s="985">
        <f t="shared" si="1"/>
        <v>11752.8440366972</v>
      </c>
      <c r="I7" s="985">
        <f t="shared" si="2"/>
        <v>8947.15596330275</v>
      </c>
      <c r="J7" s="987">
        <f t="shared" si="5"/>
        <v>20699.9999999999</v>
      </c>
      <c r="K7" s="985">
        <f>31364278+18734175</f>
        <v>50098453</v>
      </c>
      <c r="L7" s="985" t="s">
        <v>17</v>
      </c>
      <c r="M7" s="985">
        <v>2110283</v>
      </c>
      <c r="N7" s="985">
        <f t="shared" si="7"/>
        <v>174243.550458716</v>
      </c>
      <c r="P7" s="971">
        <f t="shared" si="8"/>
        <v>194943.550458716</v>
      </c>
      <c r="R7" s="971">
        <f t="shared" si="3"/>
        <v>-49847753</v>
      </c>
      <c r="S7" s="971">
        <f t="shared" si="6"/>
        <v>-45731883.4862385</v>
      </c>
    </row>
    <row r="8" customHeight="1" spans="1:25">
      <c r="B8" s="617" t="s">
        <v>20</v>
      </c>
      <c r="C8" s="988">
        <v>14938832</v>
      </c>
      <c r="D8" s="985">
        <v>133155</v>
      </c>
      <c r="E8" s="985">
        <v>33880</v>
      </c>
      <c r="F8" s="986">
        <f t="shared" si="4"/>
        <v>15105867</v>
      </c>
      <c r="G8" s="985">
        <f t="shared" si="0"/>
        <v>1233481.5412844</v>
      </c>
      <c r="H8" s="985">
        <f t="shared" si="1"/>
        <v>10994.4495412844</v>
      </c>
      <c r="I8" s="985">
        <f t="shared" si="2"/>
        <v>2797.43119266055</v>
      </c>
      <c r="J8" s="987">
        <f t="shared" si="5"/>
        <v>1247273.42201834</v>
      </c>
      <c r="K8" s="985">
        <f>58971415+3182181</f>
        <v>62153596</v>
      </c>
      <c r="L8" s="985" t="s">
        <v>17</v>
      </c>
      <c r="M8" s="985">
        <f>1444648+444367</f>
        <v>1889015</v>
      </c>
      <c r="N8" s="985">
        <f t="shared" si="7"/>
        <v>155973.71559633</v>
      </c>
      <c r="P8" s="971">
        <f t="shared" si="8"/>
        <v>1403247.13761467</v>
      </c>
      <c r="R8" s="971">
        <f t="shared" si="3"/>
        <v>-47047729</v>
      </c>
      <c r="S8" s="971">
        <f t="shared" si="6"/>
        <v>-43163054.1284404</v>
      </c>
    </row>
    <row r="9" customHeight="1" spans="1:25">
      <c r="B9" s="617"/>
      <c r="C9" s="985"/>
      <c r="D9" s="985"/>
      <c r="E9" s="985"/>
      <c r="F9" s="986">
        <f t="shared" si="4"/>
        <v>0</v>
      </c>
      <c r="G9" s="985">
        <f t="shared" si="0"/>
        <v>0</v>
      </c>
      <c r="H9" s="985">
        <f t="shared" si="1"/>
        <v>0</v>
      </c>
      <c r="I9" s="985">
        <f t="shared" si="2"/>
        <v>0</v>
      </c>
      <c r="J9" s="987">
        <f t="shared" si="5"/>
        <v>0</v>
      </c>
      <c r="K9" s="985"/>
      <c r="L9" s="985"/>
      <c r="M9" s="985"/>
      <c r="N9" s="617"/>
      <c r="P9" s="971">
        <f t="shared" si="8"/>
        <v>0</v>
      </c>
      <c r="R9" s="971">
        <f t="shared" si="3"/>
        <v>0</v>
      </c>
      <c r="S9" s="971">
        <f t="shared" si="6"/>
        <v>0</v>
      </c>
    </row>
    <row r="10" customHeight="1" spans="1:25">
      <c r="A10" s="971" t="s">
        <v>21</v>
      </c>
      <c r="B10" s="617" t="s">
        <v>22</v>
      </c>
      <c r="C10" s="985"/>
      <c r="D10" s="985"/>
      <c r="E10" s="985"/>
      <c r="F10" s="986">
        <f t="shared" si="4"/>
        <v>0</v>
      </c>
      <c r="G10" s="985">
        <f t="shared" si="0"/>
        <v>0</v>
      </c>
      <c r="H10" s="985">
        <f t="shared" si="1"/>
        <v>0</v>
      </c>
      <c r="I10" s="985">
        <f t="shared" si="2"/>
        <v>0</v>
      </c>
      <c r="J10" s="987">
        <f t="shared" si="5"/>
        <v>0</v>
      </c>
      <c r="K10" s="985">
        <v>10337095</v>
      </c>
      <c r="L10" s="985" t="s">
        <v>17</v>
      </c>
      <c r="M10" s="985">
        <f>850000+1260000</f>
        <v>2110000</v>
      </c>
      <c r="N10" s="985">
        <f t="shared" si="7"/>
        <v>174220.183486239</v>
      </c>
      <c r="P10" s="971">
        <f t="shared" si="8"/>
        <v>174220.183486239</v>
      </c>
      <c r="R10" s="971">
        <f t="shared" si="3"/>
        <v>-10337095</v>
      </c>
      <c r="S10" s="971">
        <f t="shared" si="6"/>
        <v>-9483573.39449541</v>
      </c>
    </row>
    <row r="11" customHeight="1" spans="1:25">
      <c r="B11" s="617" t="s">
        <v>23</v>
      </c>
      <c r="C11" s="985"/>
      <c r="D11" s="985">
        <f>50000+41851+75831+36056-157636.5-87485</f>
        <v>-41383.5</v>
      </c>
      <c r="E11" s="985"/>
      <c r="F11" s="986">
        <f t="shared" si="4"/>
        <v>-41383.5</v>
      </c>
      <c r="G11" s="985">
        <f t="shared" si="0"/>
        <v>0</v>
      </c>
      <c r="H11" s="985">
        <f t="shared" si="1"/>
        <v>-3416.98623853211</v>
      </c>
      <c r="I11" s="985">
        <f t="shared" si="2"/>
        <v>0</v>
      </c>
      <c r="J11" s="987">
        <f t="shared" si="5"/>
        <v>-3416.98623853211</v>
      </c>
      <c r="K11" s="985">
        <f>20734512+3090937</f>
        <v>23825449</v>
      </c>
      <c r="L11" s="985" t="s">
        <v>17</v>
      </c>
      <c r="M11" s="985">
        <f>1404367+1069787+794672+590000</f>
        <v>3858826</v>
      </c>
      <c r="N11" s="985">
        <f t="shared" si="7"/>
        <v>318618.660550459</v>
      </c>
      <c r="P11" s="971">
        <f t="shared" si="8"/>
        <v>315201.674311927</v>
      </c>
      <c r="R11" s="971">
        <f t="shared" si="3"/>
        <v>-23866832.5</v>
      </c>
      <c r="S11" s="971">
        <f t="shared" si="6"/>
        <v>-21896176.6055046</v>
      </c>
    </row>
    <row r="12" customHeight="1" spans="1:25">
      <c r="B12" s="617" t="s">
        <v>24</v>
      </c>
      <c r="C12" s="985"/>
      <c r="D12" s="985">
        <v>-79489</v>
      </c>
      <c r="E12" s="985"/>
      <c r="F12" s="986">
        <f t="shared" si="4"/>
        <v>-79489</v>
      </c>
      <c r="G12" s="985">
        <f t="shared" si="0"/>
        <v>0</v>
      </c>
      <c r="H12" s="985">
        <f t="shared" si="1"/>
        <v>-6563.3119266055</v>
      </c>
      <c r="I12" s="985">
        <f t="shared" si="2"/>
        <v>0</v>
      </c>
      <c r="J12" s="987">
        <f t="shared" si="5"/>
        <v>-6563.3119266055</v>
      </c>
      <c r="K12" s="985">
        <f>45214055+1643084</f>
        <v>46857139</v>
      </c>
      <c r="L12" s="985" t="s">
        <v>17</v>
      </c>
      <c r="M12" s="985">
        <v>583956</v>
      </c>
      <c r="N12" s="985">
        <f t="shared" si="7"/>
        <v>48216.5504587156</v>
      </c>
      <c r="P12" s="971">
        <f t="shared" si="8"/>
        <v>41653.2385321101</v>
      </c>
      <c r="R12" s="971">
        <f>46857139+79489+51496</f>
        <v>46988124</v>
      </c>
      <c r="S12" s="971">
        <f>-R12/1.09</f>
        <v>-43108370.6422018</v>
      </c>
      <c r="T12" s="971">
        <f>46857139+583956+51496</f>
        <v>47492591</v>
      </c>
      <c r="U12" s="971">
        <f>T12/1.09</f>
        <v>43571184.4036697</v>
      </c>
    </row>
    <row r="13" customHeight="1" spans="1:25">
      <c r="B13" s="617" t="s">
        <v>25</v>
      </c>
      <c r="C13" s="985">
        <v>211152844</v>
      </c>
      <c r="D13" s="985">
        <v>-103006</v>
      </c>
      <c r="E13" s="985">
        <v>151810</v>
      </c>
      <c r="F13" s="986">
        <f t="shared" si="4"/>
        <v>211201648</v>
      </c>
      <c r="G13" s="985">
        <f t="shared" si="0"/>
        <v>17434638.4954128</v>
      </c>
      <c r="H13" s="985">
        <f t="shared" si="1"/>
        <v>-8505.08256880734</v>
      </c>
      <c r="I13" s="985">
        <f t="shared" si="2"/>
        <v>12534.7706422018</v>
      </c>
      <c r="J13" s="987">
        <f t="shared" si="5"/>
        <v>17438668.1834862</v>
      </c>
      <c r="K13" s="985">
        <f>48592370+2159064</f>
        <v>50751434</v>
      </c>
      <c r="L13" s="985" t="s">
        <v>26</v>
      </c>
      <c r="M13" s="985"/>
      <c r="N13" s="985">
        <f t="shared" si="7"/>
        <v>0</v>
      </c>
      <c r="P13" s="971">
        <f t="shared" si="8"/>
        <v>17438668.1834862</v>
      </c>
      <c r="R13" s="971">
        <f>C13+D13+E13-K13-360000</f>
        <v>160090214</v>
      </c>
      <c r="S13" s="971">
        <f t="shared" ref="S12:S21" si="9">R13/1.09</f>
        <v>146871755.963303</v>
      </c>
      <c r="T13" s="971">
        <f>50751434+360000</f>
        <v>51111434</v>
      </c>
      <c r="U13" s="971">
        <f>T13/1.09</f>
        <v>46891223.853211</v>
      </c>
      <c r="W13" s="971">
        <v>13733131.39</v>
      </c>
      <c r="X13" s="971">
        <f>P13-W13</f>
        <v>3705536.7934862</v>
      </c>
    </row>
    <row r="14" customHeight="1" spans="1:25">
      <c r="B14" s="617" t="s">
        <v>27</v>
      </c>
      <c r="C14" s="985">
        <v>5602998</v>
      </c>
      <c r="D14" s="985">
        <f>90202-26734</f>
        <v>63468</v>
      </c>
      <c r="E14" s="985">
        <v>525825</v>
      </c>
      <c r="F14" s="986">
        <f t="shared" si="4"/>
        <v>6192291</v>
      </c>
      <c r="G14" s="985">
        <f t="shared" si="0"/>
        <v>462632.862385321</v>
      </c>
      <c r="H14" s="985">
        <f t="shared" si="1"/>
        <v>5240.47706422018</v>
      </c>
      <c r="I14" s="985">
        <f t="shared" si="2"/>
        <v>43416.743119266</v>
      </c>
      <c r="J14" s="987">
        <f t="shared" si="5"/>
        <v>511290.082568807</v>
      </c>
      <c r="K14" s="985">
        <f>990722+594770</f>
        <v>1585492</v>
      </c>
      <c r="L14" s="985" t="s">
        <v>26</v>
      </c>
      <c r="M14" s="985">
        <f>672429+463000</f>
        <v>1135429</v>
      </c>
      <c r="N14" s="985">
        <f t="shared" si="7"/>
        <v>93751.0183486239</v>
      </c>
      <c r="P14" s="971">
        <f t="shared" si="8"/>
        <v>605041.100917431</v>
      </c>
      <c r="R14" s="971">
        <f>C14+D14+E14-K14</f>
        <v>4606799</v>
      </c>
      <c r="S14" s="971">
        <f t="shared" si="9"/>
        <v>4226421.10091743</v>
      </c>
    </row>
    <row r="15" customHeight="1" spans="1:25">
      <c r="B15" s="617" t="s">
        <v>28</v>
      </c>
      <c r="C15" s="985">
        <v>2070978</v>
      </c>
      <c r="D15" s="985"/>
      <c r="E15" s="985">
        <v>191239</v>
      </c>
      <c r="F15" s="986">
        <f t="shared" si="4"/>
        <v>2262217</v>
      </c>
      <c r="G15" s="985">
        <f t="shared" si="0"/>
        <v>170998.183486239</v>
      </c>
      <c r="H15" s="985">
        <f t="shared" si="1"/>
        <v>0</v>
      </c>
      <c r="I15" s="985">
        <f t="shared" si="2"/>
        <v>15790.376146789</v>
      </c>
      <c r="J15" s="987">
        <f t="shared" si="5"/>
        <v>186788.559633028</v>
      </c>
      <c r="K15" s="985">
        <v>46661780</v>
      </c>
      <c r="L15" s="985" t="s">
        <v>26</v>
      </c>
      <c r="M15" s="985">
        <v>2050016</v>
      </c>
      <c r="N15" s="985">
        <f t="shared" si="7"/>
        <v>169267.376146789</v>
      </c>
      <c r="P15" s="971">
        <f t="shared" si="8"/>
        <v>356055.935779817</v>
      </c>
      <c r="R15" s="971">
        <f>C15+D15+E15-K15-161282</f>
        <v>-44560845</v>
      </c>
      <c r="S15" s="971">
        <f t="shared" si="9"/>
        <v>-40881509.1743119</v>
      </c>
      <c r="T15" s="971">
        <f>K15+M15+161282</f>
        <v>48873078</v>
      </c>
      <c r="U15" s="971">
        <f t="shared" ref="U15:U21" si="10">T15/1.09</f>
        <v>44837686.2385321</v>
      </c>
      <c r="W15" s="989" t="s">
        <v>29</v>
      </c>
      <c r="Y15" s="990"/>
    </row>
    <row r="16" customHeight="1" spans="1:25">
      <c r="B16" s="617" t="s">
        <v>30</v>
      </c>
      <c r="C16" s="985">
        <v>1255957</v>
      </c>
      <c r="D16" s="985"/>
      <c r="E16" s="985">
        <v>20000</v>
      </c>
      <c r="F16" s="986">
        <f t="shared" si="4"/>
        <v>1275957</v>
      </c>
      <c r="G16" s="985">
        <f t="shared" si="0"/>
        <v>103702.871559633</v>
      </c>
      <c r="H16" s="985">
        <f t="shared" si="1"/>
        <v>0</v>
      </c>
      <c r="I16" s="985">
        <f t="shared" si="2"/>
        <v>1651.37614678899</v>
      </c>
      <c r="J16" s="987">
        <f t="shared" si="5"/>
        <v>105354.247706422</v>
      </c>
      <c r="K16" s="985">
        <v>57254035</v>
      </c>
      <c r="L16" s="985" t="s">
        <v>26</v>
      </c>
      <c r="M16" s="985">
        <f>604503+2074798</f>
        <v>2679301</v>
      </c>
      <c r="N16" s="985">
        <f t="shared" si="7"/>
        <v>221226.688073394</v>
      </c>
      <c r="P16" s="971">
        <f>J16+N16+(-28353/1.09*0.09)</f>
        <v>324239.862385321</v>
      </c>
      <c r="R16" s="971">
        <f>C16+D16+E16-K16</f>
        <v>-55978078</v>
      </c>
      <c r="S16" s="971">
        <f t="shared" si="9"/>
        <v>-51356034.8623853</v>
      </c>
      <c r="T16" s="971">
        <f t="shared" ref="T16:T21" si="11">K16+M16</f>
        <v>59933336</v>
      </c>
      <c r="U16" s="971">
        <f t="shared" si="10"/>
        <v>54984711.9266055</v>
      </c>
      <c r="W16" s="971" t="s">
        <v>31</v>
      </c>
    </row>
    <row r="17" customHeight="1" spans="1:21">
      <c r="B17" s="617" t="s">
        <v>15</v>
      </c>
      <c r="C17" s="985">
        <f>1199666+44762184</f>
        <v>45961850</v>
      </c>
      <c r="D17" s="985">
        <v>0</v>
      </c>
      <c r="E17" s="985">
        <v>46414</v>
      </c>
      <c r="F17" s="986">
        <f t="shared" si="4"/>
        <v>46008264</v>
      </c>
      <c r="G17" s="985">
        <f t="shared" si="0"/>
        <v>3795015.13761468</v>
      </c>
      <c r="H17" s="985">
        <f t="shared" si="1"/>
        <v>0</v>
      </c>
      <c r="I17" s="985">
        <f t="shared" si="2"/>
        <v>3832.34862385321</v>
      </c>
      <c r="J17" s="987">
        <f t="shared" si="5"/>
        <v>3798847.48623853</v>
      </c>
      <c r="K17" s="985">
        <v>58491711</v>
      </c>
      <c r="L17" s="985" t="s">
        <v>26</v>
      </c>
      <c r="M17" s="985">
        <v>354</v>
      </c>
      <c r="N17" s="985">
        <f t="shared" si="7"/>
        <v>29.2293577981651</v>
      </c>
      <c r="P17" s="971">
        <f>ROUND(J17+N17,2)</f>
        <v>3798876.72</v>
      </c>
      <c r="R17" s="971">
        <f>C17+E17+D17-K17</f>
        <v>-12483447</v>
      </c>
      <c r="S17" s="971">
        <f t="shared" si="9"/>
        <v>-11452703.6697248</v>
      </c>
      <c r="T17" s="971">
        <f t="shared" si="11"/>
        <v>58492065</v>
      </c>
      <c r="U17" s="971">
        <f t="shared" si="10"/>
        <v>53662444.9541284</v>
      </c>
    </row>
    <row r="18" customHeight="1" spans="1:21">
      <c r="B18" s="617" t="s">
        <v>16</v>
      </c>
      <c r="C18" s="985">
        <f>1433447+2364095.27+20000</f>
        <v>3817542.27</v>
      </c>
      <c r="D18" s="985"/>
      <c r="E18" s="985">
        <v>417692</v>
      </c>
      <c r="F18" s="986">
        <f t="shared" si="4"/>
        <v>4235234.27</v>
      </c>
      <c r="G18" s="985">
        <f>ROUND(C18/1.09*0.09,2)</f>
        <v>315209.91</v>
      </c>
      <c r="H18" s="985">
        <f t="shared" si="1"/>
        <v>0</v>
      </c>
      <c r="I18" s="985">
        <f t="shared" si="2"/>
        <v>34488.3302752294</v>
      </c>
      <c r="J18" s="987">
        <f t="shared" si="5"/>
        <v>349698.240275229</v>
      </c>
      <c r="K18" s="985">
        <f>1102679+54186741</f>
        <v>55289420</v>
      </c>
      <c r="L18" s="985" t="s">
        <v>32</v>
      </c>
      <c r="M18" s="985">
        <v>656000</v>
      </c>
      <c r="N18" s="985">
        <f t="shared" si="7"/>
        <v>54165.1376146789</v>
      </c>
      <c r="P18" s="991">
        <f>J18+N18+0.01</f>
        <v>403863.387889908</v>
      </c>
      <c r="Q18" s="991">
        <f>P18-403913.73</f>
        <v>-50.3421100917039</v>
      </c>
      <c r="R18" s="971">
        <f>C18+E18+D18-K18</f>
        <v>-51054185.73</v>
      </c>
      <c r="S18" s="991">
        <f t="shared" si="9"/>
        <v>-46838702.5045872</v>
      </c>
      <c r="T18" s="971">
        <f t="shared" si="11"/>
        <v>55945420</v>
      </c>
      <c r="U18" s="992">
        <f t="shared" si="10"/>
        <v>51326073.3944954</v>
      </c>
    </row>
    <row r="19" customHeight="1" spans="1:21">
      <c r="B19" s="617" t="s">
        <v>18</v>
      </c>
      <c r="C19" s="985">
        <f>10000+1434885</f>
        <v>1444885</v>
      </c>
      <c r="D19" s="985"/>
      <c r="E19" s="985">
        <v>24611</v>
      </c>
      <c r="F19" s="986">
        <f t="shared" si="4"/>
        <v>1469496</v>
      </c>
      <c r="G19" s="985">
        <f>ROUND(C19/1.09*0.09,2)</f>
        <v>119302.43</v>
      </c>
      <c r="H19" s="985">
        <f t="shared" si="1"/>
        <v>0</v>
      </c>
      <c r="I19" s="985">
        <f t="shared" si="2"/>
        <v>2032.10091743119</v>
      </c>
      <c r="J19" s="987">
        <f t="shared" si="5"/>
        <v>121334.530917431</v>
      </c>
      <c r="K19" s="993">
        <v>47720801</v>
      </c>
      <c r="L19" s="985" t="s">
        <v>33</v>
      </c>
      <c r="M19" s="985">
        <f>1503005+3472444</f>
        <v>4975449</v>
      </c>
      <c r="N19" s="985">
        <f t="shared" si="7"/>
        <v>410816.889908257</v>
      </c>
      <c r="P19" s="991">
        <f>J19+N19</f>
        <v>532151.420825688</v>
      </c>
      <c r="Q19" s="991"/>
      <c r="R19" s="971">
        <f>C19+E19+D19-K19</f>
        <v>-46251305</v>
      </c>
      <c r="S19" s="991">
        <f t="shared" si="9"/>
        <v>-42432389.9082569</v>
      </c>
      <c r="T19" s="971">
        <f t="shared" si="11"/>
        <v>52696250</v>
      </c>
      <c r="U19" s="992">
        <f t="shared" si="10"/>
        <v>48345183.4862385</v>
      </c>
    </row>
    <row r="20" customHeight="1" spans="1:21">
      <c r="B20" s="617" t="s">
        <v>19</v>
      </c>
      <c r="C20" s="985">
        <v>200000</v>
      </c>
      <c r="D20" s="985">
        <v>10000</v>
      </c>
      <c r="E20" s="985">
        <f>30000-25366</f>
        <v>4634</v>
      </c>
      <c r="F20" s="986">
        <f t="shared" si="4"/>
        <v>214634</v>
      </c>
      <c r="G20" s="985">
        <f>ROUND(C20/1.09*0.09,2)</f>
        <v>16513.76</v>
      </c>
      <c r="H20" s="985">
        <f t="shared" si="1"/>
        <v>825.688073394495</v>
      </c>
      <c r="I20" s="985">
        <f t="shared" si="2"/>
        <v>382.623853211009</v>
      </c>
      <c r="J20" s="987">
        <f t="shared" si="5"/>
        <v>17722.0719266055</v>
      </c>
      <c r="K20" s="985">
        <f>1481666+1494885</f>
        <v>2976551</v>
      </c>
      <c r="L20" s="985" t="s">
        <v>26</v>
      </c>
      <c r="M20" s="985">
        <v>1498276</v>
      </c>
      <c r="N20" s="985">
        <f t="shared" si="7"/>
        <v>123710.862385321</v>
      </c>
      <c r="P20" s="991">
        <f>J20+N20</f>
        <v>141432.934311927</v>
      </c>
      <c r="Q20" s="991"/>
      <c r="R20" s="971">
        <f>C20+E20+D20-K20</f>
        <v>-2761917</v>
      </c>
      <c r="S20" s="991">
        <f t="shared" si="9"/>
        <v>-2533868.80733945</v>
      </c>
      <c r="T20" s="971">
        <f t="shared" si="11"/>
        <v>4474827</v>
      </c>
      <c r="U20" s="992">
        <f t="shared" si="10"/>
        <v>4105345.87155963</v>
      </c>
    </row>
    <row r="21" customHeight="1" spans="1:21">
      <c r="B21" s="617" t="s">
        <v>20</v>
      </c>
      <c r="C21" s="985">
        <f>857000+10000+509104.73</f>
        <v>1376104.73</v>
      </c>
      <c r="D21" s="985">
        <f>439720-136000-38324</f>
        <v>265396</v>
      </c>
      <c r="E21" s="985">
        <v>0</v>
      </c>
      <c r="F21" s="986">
        <f t="shared" si="4"/>
        <v>1641500.73</v>
      </c>
      <c r="G21" s="985">
        <f>ROUND(C21/1.09*0.09,2)</f>
        <v>113623.33</v>
      </c>
      <c r="H21" s="985">
        <f>ROUND(D21/1.09*0.09,2)-0.01</f>
        <v>21913.42</v>
      </c>
      <c r="I21" s="985">
        <f t="shared" si="2"/>
        <v>0</v>
      </c>
      <c r="J21" s="987">
        <f t="shared" si="5"/>
        <v>135536.75</v>
      </c>
      <c r="K21" s="985">
        <f>789076+1013725</f>
        <v>1802801</v>
      </c>
      <c r="L21" s="985" t="s">
        <v>34</v>
      </c>
      <c r="M21" s="985">
        <v>1042863</v>
      </c>
      <c r="N21" s="985">
        <f t="shared" si="7"/>
        <v>86107.9541284404</v>
      </c>
      <c r="P21" s="991">
        <f>J21+N21</f>
        <v>221644.70412844</v>
      </c>
      <c r="Q21" s="991"/>
      <c r="R21" s="971">
        <f>C21+E21+D21-K21</f>
        <v>-161300.27</v>
      </c>
      <c r="S21" s="991">
        <f t="shared" si="9"/>
        <v>-147981.899082569</v>
      </c>
      <c r="T21" s="971">
        <f t="shared" si="11"/>
        <v>2845664</v>
      </c>
      <c r="U21" s="991">
        <f t="shared" si="10"/>
        <v>2610700.91743119</v>
      </c>
    </row>
    <row r="22" customHeight="1" spans="1:21">
      <c r="B22" s="617"/>
      <c r="C22" s="985"/>
      <c r="D22" s="985"/>
      <c r="E22" s="985"/>
      <c r="F22" s="986">
        <f t="shared" si="4"/>
        <v>0</v>
      </c>
      <c r="G22" s="985"/>
      <c r="H22" s="985"/>
      <c r="I22" s="985"/>
      <c r="J22" s="987">
        <f t="shared" si="5"/>
        <v>0</v>
      </c>
      <c r="K22" s="985"/>
      <c r="L22" s="985"/>
      <c r="M22" s="985"/>
      <c r="N22" s="985"/>
      <c r="P22" s="991"/>
      <c r="Q22" s="991"/>
      <c r="S22" s="991"/>
      <c r="U22" s="991"/>
    </row>
    <row r="23" customHeight="1" spans="1:21">
      <c r="A23" s="971" t="s">
        <v>35</v>
      </c>
      <c r="B23" s="617" t="s">
        <v>22</v>
      </c>
      <c r="C23" s="985">
        <f>3096460+200000</f>
        <v>3296460</v>
      </c>
      <c r="D23" s="985">
        <f>56034-3889</f>
        <v>52145</v>
      </c>
      <c r="E23" s="985">
        <v>0</v>
      </c>
      <c r="F23" s="986">
        <f t="shared" si="4"/>
        <v>3348605</v>
      </c>
      <c r="G23" s="985">
        <f>ROUND(C23/1.09*0.09,2)</f>
        <v>272184.77</v>
      </c>
      <c r="H23" s="985">
        <f>ROUND(D23/1.09*0.09,2)-0.01</f>
        <v>4305.54</v>
      </c>
      <c r="I23" s="985">
        <f>E23/1.09*0.09</f>
        <v>0</v>
      </c>
      <c r="J23" s="987">
        <f t="shared" si="5"/>
        <v>276490.31</v>
      </c>
      <c r="K23" s="985">
        <f>10000+309104.73+755598+275895.27</f>
        <v>1350598</v>
      </c>
      <c r="L23" s="985"/>
      <c r="M23" s="985">
        <f>450000+600000-10000</f>
        <v>1040000</v>
      </c>
      <c r="N23" s="985">
        <f t="shared" ref="N23:N28" si="12">M23/1.09*0.09</f>
        <v>85871.5596330275</v>
      </c>
      <c r="P23" s="991">
        <f t="shared" ref="P23:P28" si="13">J23+N23</f>
        <v>362361.869633028</v>
      </c>
      <c r="Q23" s="991"/>
      <c r="R23" s="971">
        <f t="shared" ref="R23:R28" si="14">C23+E23+D23-K23</f>
        <v>1998007</v>
      </c>
      <c r="S23" s="991">
        <f t="shared" ref="S23:S28" si="15">R23/1.09</f>
        <v>1833033.94495413</v>
      </c>
      <c r="T23" s="971">
        <f>E23+G23+F23-M23+10000</f>
        <v>2590789.77</v>
      </c>
      <c r="U23" s="971">
        <f>F23+H23+G23-N23+10000</f>
        <v>3549223.75036697</v>
      </c>
    </row>
    <row r="24" customHeight="1" spans="1:21">
      <c r="B24" s="617" t="s">
        <v>23</v>
      </c>
      <c r="C24" s="985">
        <v>214233</v>
      </c>
      <c r="D24" s="985">
        <v>139004.78</v>
      </c>
      <c r="E24" s="985"/>
      <c r="F24" s="986">
        <f t="shared" si="4"/>
        <v>353237.78</v>
      </c>
      <c r="G24" s="985">
        <f>ROUND(C24/1.09*0.09,2)+0.01</f>
        <v>17688.97</v>
      </c>
      <c r="H24" s="985">
        <f t="shared" ref="H24:H30" si="16">ROUND(D24/1.09*0.09,2)</f>
        <v>11477.46</v>
      </c>
      <c r="I24" s="985"/>
      <c r="J24" s="987">
        <f t="shared" si="5"/>
        <v>29166.43</v>
      </c>
      <c r="K24" s="985">
        <f>743613+81960</f>
        <v>825573</v>
      </c>
      <c r="L24" s="985" t="s">
        <v>17</v>
      </c>
      <c r="M24" s="985">
        <f>863919-81960</f>
        <v>781959</v>
      </c>
      <c r="N24" s="985">
        <f t="shared" si="12"/>
        <v>64565.4220183486</v>
      </c>
      <c r="P24" s="991">
        <f t="shared" si="13"/>
        <v>93731.8520183486</v>
      </c>
      <c r="Q24" s="991"/>
      <c r="R24" s="971">
        <f t="shared" si="14"/>
        <v>-472335.22</v>
      </c>
      <c r="S24" s="991">
        <f t="shared" si="15"/>
        <v>-433335.064220183</v>
      </c>
      <c r="T24" s="971">
        <f>E24+G24+F24-M24+10000</f>
        <v>-401032.25</v>
      </c>
      <c r="U24" s="971">
        <f>F24+H24+G24-N24+10000</f>
        <v>327838.787981651</v>
      </c>
    </row>
    <row r="25" customHeight="1" spans="1:21">
      <c r="B25" s="617" t="s">
        <v>24</v>
      </c>
      <c r="C25" s="985">
        <v>220000</v>
      </c>
      <c r="D25" s="985">
        <v>0</v>
      </c>
      <c r="E25" s="985">
        <v>0</v>
      </c>
      <c r="F25" s="986">
        <f t="shared" si="4"/>
        <v>220000</v>
      </c>
      <c r="G25" s="985">
        <f t="shared" ref="G25:G30" si="17">ROUND(C25/1.09*0.09,2)</f>
        <v>18165.14</v>
      </c>
      <c r="H25" s="985">
        <f t="shared" si="16"/>
        <v>0</v>
      </c>
      <c r="I25" s="985"/>
      <c r="J25" s="987">
        <f t="shared" si="5"/>
        <v>18165.14</v>
      </c>
      <c r="K25" s="985">
        <v>97000</v>
      </c>
      <c r="L25" s="985"/>
      <c r="M25" s="985">
        <f>646000-97000+530000</f>
        <v>1079000</v>
      </c>
      <c r="N25" s="985">
        <f t="shared" si="12"/>
        <v>89091.743119266</v>
      </c>
      <c r="P25" s="991">
        <f t="shared" si="13"/>
        <v>107256.883119266</v>
      </c>
      <c r="Q25" s="991"/>
      <c r="R25" s="971">
        <f t="shared" si="14"/>
        <v>123000</v>
      </c>
      <c r="S25" s="991">
        <f t="shared" si="15"/>
        <v>112844.036697248</v>
      </c>
      <c r="T25" s="971">
        <f>E25+G25+F25-M25+10000</f>
        <v>-830834.86</v>
      </c>
      <c r="U25" s="971">
        <f>F25+H25+G25-N25+10000</f>
        <v>159073.396880734</v>
      </c>
    </row>
    <row r="26" customHeight="1" spans="1:21">
      <c r="B26" s="617" t="s">
        <v>25</v>
      </c>
      <c r="C26" s="985"/>
      <c r="D26" s="985">
        <v>2888</v>
      </c>
      <c r="E26" s="985">
        <v>1000</v>
      </c>
      <c r="F26" s="986">
        <f t="shared" si="4"/>
        <v>3888</v>
      </c>
      <c r="G26" s="985">
        <f t="shared" si="17"/>
        <v>0</v>
      </c>
      <c r="H26" s="985">
        <f t="shared" si="16"/>
        <v>238.46</v>
      </c>
      <c r="I26" s="985">
        <f>E26/1.09*0.09</f>
        <v>82.5688073394495</v>
      </c>
      <c r="J26" s="987">
        <f t="shared" si="5"/>
        <v>321.028807339449</v>
      </c>
      <c r="K26" s="985">
        <v>577416</v>
      </c>
      <c r="L26" s="985"/>
      <c r="M26" s="985">
        <v>884461</v>
      </c>
      <c r="N26" s="985">
        <f t="shared" si="12"/>
        <v>73028.8899082569</v>
      </c>
      <c r="P26" s="991">
        <f t="shared" si="13"/>
        <v>73349.9187155963</v>
      </c>
      <c r="Q26" s="991"/>
      <c r="R26" s="971">
        <f t="shared" si="14"/>
        <v>-573528</v>
      </c>
      <c r="S26" s="991">
        <f t="shared" si="15"/>
        <v>-526172.47706422</v>
      </c>
    </row>
    <row r="27" ht="33" customHeight="1" spans="1:21">
      <c r="B27" s="617" t="s">
        <v>27</v>
      </c>
      <c r="C27" s="985">
        <v>134049158</v>
      </c>
      <c r="D27" s="985"/>
      <c r="E27" s="985">
        <v>20000</v>
      </c>
      <c r="F27" s="986">
        <f t="shared" si="4"/>
        <v>134069158</v>
      </c>
      <c r="G27" s="985">
        <f t="shared" si="17"/>
        <v>11068279.1</v>
      </c>
      <c r="H27" s="985">
        <f t="shared" si="16"/>
        <v>0</v>
      </c>
      <c r="I27" s="985">
        <f>E27/1.09*0.09</f>
        <v>1651.37614678899</v>
      </c>
      <c r="J27" s="987">
        <f t="shared" si="5"/>
        <v>11069930.4761468</v>
      </c>
      <c r="K27" s="985">
        <f>510000+4842103</f>
        <v>5352103</v>
      </c>
      <c r="L27" s="994" t="s">
        <v>36</v>
      </c>
      <c r="M27" s="985"/>
      <c r="N27" s="985">
        <f t="shared" si="12"/>
        <v>0</v>
      </c>
      <c r="P27" s="991">
        <f t="shared" si="13"/>
        <v>11069930.4761468</v>
      </c>
      <c r="Q27" s="991"/>
      <c r="R27" s="971">
        <f t="shared" si="14"/>
        <v>128717055</v>
      </c>
      <c r="S27" s="991">
        <f t="shared" si="15"/>
        <v>118089041.284404</v>
      </c>
    </row>
    <row r="28" ht="30" customHeight="1" spans="1:21">
      <c r="B28" s="617" t="s">
        <v>28</v>
      </c>
      <c r="C28" s="985"/>
      <c r="D28" s="985">
        <f>28268+111135.2+100000+90000</f>
        <v>329403.2</v>
      </c>
      <c r="E28" s="985"/>
      <c r="F28" s="986">
        <f t="shared" si="4"/>
        <v>329403.2</v>
      </c>
      <c r="G28" s="985">
        <f t="shared" si="17"/>
        <v>0</v>
      </c>
      <c r="H28" s="985">
        <f t="shared" si="16"/>
        <v>27198.43</v>
      </c>
      <c r="I28" s="985">
        <f>E28/1.09*0.09</f>
        <v>0</v>
      </c>
      <c r="J28" s="987">
        <f t="shared" si="5"/>
        <v>27198.43</v>
      </c>
      <c r="K28" s="985">
        <v>73982674</v>
      </c>
      <c r="L28" s="994" t="s">
        <v>37</v>
      </c>
      <c r="M28" s="985">
        <f>592000+707040+790000</f>
        <v>2089040</v>
      </c>
      <c r="N28" s="985">
        <f t="shared" si="12"/>
        <v>172489.541284404</v>
      </c>
      <c r="P28" s="991">
        <f t="shared" si="13"/>
        <v>199687.971284404</v>
      </c>
      <c r="Q28" s="991"/>
      <c r="R28" s="971">
        <f t="shared" si="14"/>
        <v>-73653270.8</v>
      </c>
      <c r="S28" s="991">
        <f t="shared" si="15"/>
        <v>-67571808.0733945</v>
      </c>
    </row>
    <row r="29" customHeight="1" spans="1:21">
      <c r="B29" s="617"/>
      <c r="C29" s="985"/>
      <c r="D29" s="985"/>
      <c r="E29" s="985"/>
      <c r="F29" s="986">
        <f t="shared" si="4"/>
        <v>0</v>
      </c>
      <c r="G29" s="985">
        <f t="shared" si="17"/>
        <v>0</v>
      </c>
      <c r="H29" s="985">
        <f t="shared" si="16"/>
        <v>0</v>
      </c>
      <c r="I29" s="985">
        <f>E29/1.09*0.09</f>
        <v>0</v>
      </c>
      <c r="J29" s="987">
        <f t="shared" si="5"/>
        <v>0</v>
      </c>
      <c r="K29" s="985"/>
      <c r="L29" s="994"/>
      <c r="M29" s="985"/>
      <c r="N29" s="985"/>
      <c r="P29" s="991"/>
      <c r="Q29" s="991"/>
      <c r="S29" s="991"/>
    </row>
    <row r="30" customHeight="1" spans="1:21">
      <c r="B30" s="617"/>
      <c r="C30" s="985"/>
      <c r="D30" s="985"/>
      <c r="E30" s="985"/>
      <c r="F30" s="986">
        <f t="shared" si="4"/>
        <v>0</v>
      </c>
      <c r="G30" s="985">
        <f t="shared" si="17"/>
        <v>0</v>
      </c>
      <c r="H30" s="985">
        <f t="shared" si="16"/>
        <v>0</v>
      </c>
      <c r="I30" s="985">
        <f>E30/1.09*0.09</f>
        <v>0</v>
      </c>
      <c r="J30" s="987">
        <f t="shared" si="5"/>
        <v>0</v>
      </c>
      <c r="K30" s="985"/>
      <c r="L30" s="985"/>
      <c r="M30" s="985"/>
      <c r="N30" s="985">
        <f>M30/1.09*0.09</f>
        <v>0</v>
      </c>
      <c r="P30" s="971">
        <f>J30+N30</f>
        <v>0</v>
      </c>
    </row>
    <row r="31" customHeight="1" spans="1:21">
      <c r="B31" s="617" t="s">
        <v>10</v>
      </c>
      <c r="C31" s="995">
        <f>SUM(C4:C30)</f>
        <v>720676502</v>
      </c>
      <c r="D31" s="995">
        <f>SUM(D4:D30)</f>
        <v>2448504.48</v>
      </c>
      <c r="E31" s="995">
        <f t="shared" ref="C31:K31" si="18">SUM(E4:E30)</f>
        <v>3027705</v>
      </c>
      <c r="F31" s="986">
        <f t="shared" si="18"/>
        <v>726152711.48</v>
      </c>
      <c r="G31" s="985">
        <f t="shared" si="18"/>
        <v>59505399.2540367</v>
      </c>
      <c r="H31" s="985">
        <f t="shared" si="18"/>
        <v>202170.076055046</v>
      </c>
      <c r="I31" s="985">
        <f t="shared" si="18"/>
        <v>249993.990825688</v>
      </c>
      <c r="J31" s="987">
        <f t="shared" si="18"/>
        <v>59957563.3209174</v>
      </c>
      <c r="K31" s="985">
        <f t="shared" si="18"/>
        <v>651760549</v>
      </c>
      <c r="L31" s="996">
        <f>C31-K31</f>
        <v>68915953</v>
      </c>
      <c r="M31" s="985">
        <f>SUM(M4:M30)</f>
        <v>41328530</v>
      </c>
      <c r="N31" s="985">
        <f>SUM(N4:N30)</f>
        <v>3412447.43119266</v>
      </c>
      <c r="P31" s="971">
        <f>SUM(P4:P30)</f>
        <v>63367669.6931192</v>
      </c>
    </row>
    <row r="32" customHeight="1" spans="1:21">
      <c r="B32" s="971" t="s">
        <v>38</v>
      </c>
      <c r="C32" s="972">
        <f>C31/1.09</f>
        <v>661171102.752294</v>
      </c>
      <c r="D32" s="972">
        <f>D31/1.09</f>
        <v>2246334.3853211</v>
      </c>
      <c r="E32" s="972">
        <f>E31/1.09</f>
        <v>2777711.00917431</v>
      </c>
      <c r="M32" s="972">
        <f>M31/1.09</f>
        <v>37916082.5688073</v>
      </c>
    </row>
    <row r="33" customHeight="1" spans="1:19">
      <c r="L33" s="972">
        <f>L32-L31</f>
        <v>-68915953</v>
      </c>
    </row>
    <row r="35" customHeight="1" spans="1:19">
      <c r="B35" s="971">
        <v>8</v>
      </c>
      <c r="C35" s="972">
        <v>256372524.770642</v>
      </c>
      <c r="D35" s="972">
        <f>C35*0.09</f>
        <v>23073527.2293578</v>
      </c>
      <c r="F35" s="972">
        <v>576058119</v>
      </c>
      <c r="G35" s="972">
        <v>461785612</v>
      </c>
      <c r="H35" s="972">
        <f>F35+D31+E31-E18</f>
        <v>581116636.48</v>
      </c>
    </row>
    <row r="36" customHeight="1" spans="1:19">
      <c r="B36" s="971">
        <v>9</v>
      </c>
      <c r="C36" s="972">
        <v>-17566066.97</v>
      </c>
      <c r="D36" s="972">
        <f>C36*0.09</f>
        <v>-1580946.0273</v>
      </c>
      <c r="H36" s="972">
        <f>H35-G35</f>
        <v>119331024.48</v>
      </c>
      <c r="Q36" s="997">
        <v>1044204.87</v>
      </c>
      <c r="R36" s="971">
        <f>Q36-P36</f>
        <v>1044204.87</v>
      </c>
      <c r="S36" s="971">
        <f>R36/0.09</f>
        <v>11602276.3333333</v>
      </c>
    </row>
    <row r="37" customHeight="1" spans="1:19">
      <c r="B37" s="971">
        <v>10</v>
      </c>
      <c r="C37" s="972">
        <v>-14657783.49</v>
      </c>
      <c r="D37" s="972">
        <f t="shared" ref="D37:D47" si="19">C37*0.09</f>
        <v>-1319200.5141</v>
      </c>
      <c r="H37" s="972">
        <f>H36/1.09</f>
        <v>109478004.110092</v>
      </c>
    </row>
    <row r="38" customHeight="1" spans="1:19">
      <c r="A38" s="998"/>
      <c r="B38" s="971">
        <v>11</v>
      </c>
      <c r="C38" s="972">
        <v>-45731883.49</v>
      </c>
      <c r="D38" s="972">
        <f t="shared" si="19"/>
        <v>-4115869.5141</v>
      </c>
    </row>
    <row r="39" customHeight="1" spans="1:19">
      <c r="A39" s="999"/>
      <c r="B39" s="971">
        <v>12</v>
      </c>
      <c r="C39" s="972">
        <v>-43163054.13</v>
      </c>
      <c r="D39" s="972">
        <f t="shared" si="19"/>
        <v>-3884674.8717</v>
      </c>
    </row>
    <row r="40" customHeight="1" spans="1:19">
      <c r="A40" s="999"/>
      <c r="B40" s="971">
        <v>1</v>
      </c>
      <c r="C40" s="972">
        <v>-9483573.39</v>
      </c>
      <c r="D40" s="972">
        <f t="shared" si="19"/>
        <v>-853521.6051</v>
      </c>
      <c r="J40" s="1000"/>
    </row>
    <row r="41" customHeight="1" spans="1:19">
      <c r="A41" s="999"/>
      <c r="B41" s="935">
        <v>2</v>
      </c>
      <c r="C41" s="972">
        <v>-21896176.6</v>
      </c>
      <c r="D41" s="972">
        <f t="shared" si="19"/>
        <v>-1970655.894</v>
      </c>
    </row>
    <row r="42" customHeight="1" spans="1:19">
      <c r="A42" s="999"/>
      <c r="B42" s="935">
        <v>3</v>
      </c>
      <c r="C42" s="972">
        <v>-43108370.65</v>
      </c>
      <c r="D42" s="972">
        <f t="shared" si="19"/>
        <v>-3879753.3585</v>
      </c>
    </row>
    <row r="43" customHeight="1" spans="1:19">
      <c r="A43" s="999"/>
      <c r="B43" s="935">
        <v>4</v>
      </c>
      <c r="C43" s="972">
        <v>146871755.96</v>
      </c>
      <c r="D43" s="972">
        <f t="shared" si="19"/>
        <v>13218458.0364</v>
      </c>
      <c r="N43" s="972"/>
    </row>
    <row r="44" customHeight="1" spans="1:19">
      <c r="B44" s="971">
        <v>5</v>
      </c>
      <c r="C44" s="972">
        <v>4226421.1</v>
      </c>
      <c r="D44" s="972">
        <f t="shared" si="19"/>
        <v>380377.899</v>
      </c>
      <c r="N44" s="972"/>
    </row>
    <row r="45" customHeight="1" spans="1:19">
      <c r="B45" s="971">
        <v>6</v>
      </c>
      <c r="C45" s="972">
        <v>-40881509.17</v>
      </c>
      <c r="D45" s="972">
        <f t="shared" si="19"/>
        <v>-3679335.8253</v>
      </c>
    </row>
    <row r="46" customHeight="1" spans="1:19">
      <c r="B46" s="971">
        <v>7</v>
      </c>
      <c r="C46" s="972">
        <v>-51356034.86</v>
      </c>
      <c r="D46" s="972">
        <f t="shared" si="19"/>
        <v>-4622043.1374</v>
      </c>
      <c r="J46" s="969"/>
      <c r="K46" s="116"/>
      <c r="L46" s="116"/>
      <c r="M46" s="116"/>
      <c r="N46" s="116"/>
      <c r="O46" s="1001"/>
      <c r="P46" s="1001"/>
      <c r="Q46" s="1002"/>
    </row>
    <row r="47" customHeight="1" spans="1:19">
      <c r="B47" s="971">
        <v>8</v>
      </c>
      <c r="C47" s="972">
        <v>-11452703.67</v>
      </c>
      <c r="D47" s="972">
        <f t="shared" si="19"/>
        <v>-1030743.3303</v>
      </c>
      <c r="J47" s="970"/>
      <c r="K47" s="116"/>
      <c r="L47" s="116"/>
      <c r="M47" s="116"/>
      <c r="N47" s="116"/>
      <c r="P47" s="972"/>
      <c r="Q47" s="1003"/>
    </row>
    <row r="48" customHeight="1" spans="1:19">
      <c r="C48" s="972">
        <f>SUM(C35:C47)</f>
        <v>108173545.410642</v>
      </c>
      <c r="J48" s="971"/>
      <c r="K48" s="1004"/>
      <c r="L48" s="1004"/>
      <c r="M48" s="1004"/>
      <c r="N48" s="1004"/>
      <c r="O48" s="972"/>
      <c r="P48" s="972"/>
      <c r="Q48" s="972"/>
    </row>
  </sheetData>
  <mergeCells count="6">
    <mergeCell ref="B1:N1"/>
    <mergeCell ref="C2:F2"/>
    <mergeCell ref="G2:J2"/>
    <mergeCell ref="M2:N2"/>
    <mergeCell ref="K46:N46"/>
    <mergeCell ref="K47:N47"/>
  </mergeCell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U128"/>
  <sheetViews>
    <sheetView tabSelected="1" zoomScale="80" zoomScaleNormal="80" workbookViewId="0">
      <pane ySplit="3" topLeftCell="A4" activePane="bottomLeft" state="frozen"/>
      <selection/>
      <selection pane="bottomLeft" activeCell="J16" sqref="J16"/>
    </sheetView>
  </sheetViews>
  <sheetFormatPr defaultColWidth="9" defaultRowHeight="31.5" customHeight="1"/>
  <cols>
    <col min="1" max="1" width="5.13333333333333" customWidth="1"/>
    <col min="2" max="2" width="16.3916666666667" customWidth="1"/>
    <col min="3" max="3" width="10.9083333333333" customWidth="1"/>
    <col min="4" max="4" width="14.1" customWidth="1"/>
    <col min="5" max="5" width="15.5333333333333" customWidth="1"/>
    <col min="6" max="6" width="18.2083333333333" customWidth="1"/>
    <col min="7" max="7" width="15.35" customWidth="1"/>
    <col min="8" max="8" width="11.2416666666667" customWidth="1"/>
    <col min="9" max="9" width="7.33333333333333" customWidth="1"/>
    <col min="10" max="10" width="18.5583333333333" customWidth="1"/>
    <col min="11" max="11" width="19.8083333333333" customWidth="1"/>
    <col min="12" max="12" width="12.3416666666667" customWidth="1"/>
    <col min="13" max="13" width="20.4666666666667" customWidth="1"/>
    <col min="14" max="14" width="17.3166666666667" customWidth="1"/>
    <col min="15" max="15" width="23.9583333333333" style="583" customWidth="1"/>
    <col min="16" max="16" width="15.15" customWidth="1"/>
    <col min="17" max="17" width="9.85" customWidth="1"/>
    <col min="18" max="18" width="19.525" customWidth="1"/>
    <col min="19" max="19" width="19.05" customWidth="1"/>
    <col min="20" max="20" width="12.4916666666667" customWidth="1"/>
    <col min="21" max="21" width="18.0333333333333" customWidth="1"/>
    <col min="22" max="22" width="12.1416666666667" customWidth="1"/>
    <col min="23" max="23" width="9.84166666666667" customWidth="1"/>
    <col min="24" max="24" width="13.225" customWidth="1"/>
    <col min="25" max="25" width="17.3416666666667" style="17" customWidth="1"/>
    <col min="26" max="26" width="12.625" style="17"/>
    <col min="27" max="27" width="15.125" style="17" customWidth="1"/>
    <col min="28" max="28" width="13.1916666666667" style="17" customWidth="1"/>
    <col min="29" max="29" width="12.125" style="17" customWidth="1"/>
    <col min="30" max="30" width="11.5" style="17"/>
    <col min="31" max="31" width="13" style="17" customWidth="1"/>
    <col min="32" max="32" width="13.75" style="17" customWidth="1"/>
    <col min="33" max="33" width="12.625" style="17"/>
    <col min="34" max="34" width="14.7166666666667" style="17" customWidth="1"/>
    <col min="35" max="35" width="16.25" style="17" customWidth="1"/>
    <col min="36" max="36" width="10.55" style="17" customWidth="1"/>
    <col min="37" max="37" width="15.4166666666667" style="18" customWidth="1"/>
    <col min="38" max="38" width="15" style="17" customWidth="1"/>
    <col min="39" max="39" width="9" style="17"/>
    <col min="40" max="40" width="24.025" style="17" customWidth="1"/>
    <col min="41" max="41" width="13.75" style="17" customWidth="1"/>
    <col min="42" max="42" width="16.9416666666667" style="17" customWidth="1"/>
    <col min="43" max="43" width="20.8333333333333" style="17" customWidth="1"/>
    <col min="44" max="45" width="9" style="17"/>
    <col min="46" max="46" width="9.625" style="17"/>
    <col min="47" max="47" width="9" style="17"/>
  </cols>
  <sheetData>
    <row r="1" customHeight="1" spans="1:47">
      <c r="A1" s="584" t="s">
        <v>39</v>
      </c>
      <c r="B1" s="585"/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  <c r="N1" s="585"/>
      <c r="O1" s="586"/>
      <c r="P1" s="585"/>
      <c r="Q1" s="585"/>
      <c r="R1" s="585"/>
      <c r="S1" s="585"/>
      <c r="T1" s="585"/>
      <c r="U1" s="585"/>
      <c r="V1" s="585"/>
      <c r="W1" s="585"/>
      <c r="X1" s="585"/>
    </row>
    <row r="2" ht="24" customHeight="1" spans="1:47">
      <c r="A2" s="587" t="s">
        <v>40</v>
      </c>
      <c r="B2" s="588" t="s">
        <v>41</v>
      </c>
      <c r="C2" s="589" t="s">
        <v>42</v>
      </c>
      <c r="D2" s="590" t="s">
        <v>43</v>
      </c>
      <c r="E2" s="591" t="s">
        <v>44</v>
      </c>
      <c r="F2" s="592"/>
      <c r="G2" s="593"/>
      <c r="H2" s="594"/>
      <c r="I2" s="594"/>
      <c r="J2" s="595" t="s">
        <v>45</v>
      </c>
      <c r="K2" s="595" t="s">
        <v>46</v>
      </c>
      <c r="L2" s="596" t="s">
        <v>47</v>
      </c>
      <c r="M2" s="597"/>
      <c r="N2" s="597"/>
      <c r="O2" s="598"/>
      <c r="P2" s="597"/>
      <c r="Q2" s="597"/>
      <c r="R2" s="597"/>
      <c r="S2" s="599"/>
      <c r="T2" s="600" t="s">
        <v>48</v>
      </c>
      <c r="U2" s="600"/>
      <c r="V2" s="600"/>
      <c r="W2" s="601" t="s">
        <v>49</v>
      </c>
    </row>
    <row r="3" s="579" customFormat="1" ht="33" customHeight="1" spans="1:47">
      <c r="A3" s="602"/>
      <c r="B3" s="603"/>
      <c r="C3" s="604" t="s">
        <v>50</v>
      </c>
      <c r="D3" s="604" t="s">
        <v>50</v>
      </c>
      <c r="E3" s="605" t="s">
        <v>51</v>
      </c>
      <c r="F3" s="606" t="s">
        <v>52</v>
      </c>
      <c r="G3" s="607" t="s">
        <v>53</v>
      </c>
      <c r="H3" s="608" t="s">
        <v>54</v>
      </c>
      <c r="I3" s="608"/>
      <c r="J3" s="608"/>
      <c r="K3" s="608"/>
      <c r="L3" s="609" t="s">
        <v>51</v>
      </c>
      <c r="M3" s="610" t="s">
        <v>55</v>
      </c>
      <c r="N3" s="610" t="s">
        <v>56</v>
      </c>
      <c r="O3" s="611" t="s">
        <v>57</v>
      </c>
      <c r="P3" s="612" t="s">
        <v>58</v>
      </c>
      <c r="Q3" s="613" t="s">
        <v>59</v>
      </c>
      <c r="R3" s="614" t="s">
        <v>60</v>
      </c>
      <c r="S3" s="615" t="s">
        <v>61</v>
      </c>
      <c r="T3" s="616" t="s">
        <v>50</v>
      </c>
      <c r="U3" s="607" t="s">
        <v>62</v>
      </c>
      <c r="V3" s="617" t="s">
        <v>63</v>
      </c>
      <c r="W3" s="618"/>
      <c r="Y3" s="619"/>
      <c r="Z3" s="619"/>
      <c r="AA3" s="619"/>
      <c r="AB3" s="620"/>
      <c r="AC3" s="620"/>
      <c r="AD3" s="620"/>
      <c r="AE3" s="619"/>
      <c r="AF3" s="621"/>
      <c r="AG3" s="621"/>
      <c r="AH3" s="621"/>
      <c r="AI3" s="621"/>
      <c r="AJ3" s="621"/>
      <c r="AK3" s="622"/>
      <c r="AL3" s="621"/>
      <c r="AM3" s="621"/>
      <c r="AN3" s="621"/>
      <c r="AO3" s="621"/>
      <c r="AP3" s="621"/>
      <c r="AQ3" s="621"/>
      <c r="AR3" s="621"/>
      <c r="AS3" s="621"/>
      <c r="AT3" s="621"/>
      <c r="AU3" s="621"/>
    </row>
    <row r="4" s="190" customFormat="1" ht="36" customHeight="1" spans="1:47">
      <c r="A4" s="623">
        <v>1</v>
      </c>
      <c r="B4" s="624" t="s">
        <v>64</v>
      </c>
      <c r="C4" s="625">
        <f>'画堂春锦13#14#15#17#18# 商铺'!A148</f>
        <v>141</v>
      </c>
      <c r="D4" s="625">
        <f t="shared" ref="D4:D9" si="0">C4</f>
        <v>141</v>
      </c>
      <c r="E4" s="626">
        <f>'画堂春锦13#14#15#17#18# 商铺'!B151</f>
        <v>0</v>
      </c>
      <c r="F4" s="627"/>
      <c r="G4" s="628">
        <f>'画堂春锦13#14#15#17#18# 商铺'!T151</f>
        <v>250000</v>
      </c>
      <c r="H4" s="628"/>
      <c r="I4" s="628"/>
      <c r="J4" s="629">
        <f>'画堂春锦13#14#15#17#18# 商铺'!K151</f>
        <v>15319.5</v>
      </c>
      <c r="K4" s="629">
        <f>J4-524.4-152.79-15.25-16.01</f>
        <v>14611.05</v>
      </c>
      <c r="L4" s="630">
        <f>121+4+3+4+1+1+1+1</f>
        <v>136</v>
      </c>
      <c r="M4" s="629">
        <f>'画堂春锦13#14#15#17#18# 商铺'!N151</f>
        <v>179684584</v>
      </c>
      <c r="N4" s="629">
        <f>'画堂春锦13#14#15#17#18# 商铺'!L151</f>
        <v>12409.42</v>
      </c>
      <c r="O4" s="629">
        <f>'画堂春锦13#14#15#17#18# 商铺'!AL151</f>
        <v>174845946</v>
      </c>
      <c r="P4" s="631">
        <f>'画堂春锦13#14#15#17#18# 商铺'!AM151</f>
        <v>0</v>
      </c>
      <c r="Q4" s="628">
        <f>'画堂春锦13#14#15#17#18# 商铺'!AN151</f>
        <v>0</v>
      </c>
      <c r="R4" s="632">
        <f t="shared" ref="R4:R9" si="1">O4+Q4</f>
        <v>174845946</v>
      </c>
      <c r="S4" s="629">
        <f>M4-R4</f>
        <v>4838638</v>
      </c>
      <c r="T4" s="633">
        <f t="shared" ref="T4:T9" si="2">D4-L4</f>
        <v>5</v>
      </c>
      <c r="U4" s="634">
        <f t="shared" ref="U4:U9" si="3">K4-N4</f>
        <v>2201.62999999998</v>
      </c>
      <c r="V4" s="635"/>
      <c r="W4" s="636"/>
      <c r="Y4" s="619"/>
      <c r="Z4" s="620"/>
      <c r="AA4" s="637"/>
      <c r="AB4" s="638"/>
      <c r="AC4" s="638"/>
      <c r="AD4" s="639"/>
      <c r="AE4" s="639"/>
      <c r="AF4" s="639"/>
      <c r="AG4" s="638"/>
      <c r="AH4" s="460"/>
      <c r="AI4" s="460"/>
      <c r="AJ4" s="460"/>
      <c r="AK4" s="101"/>
      <c r="AL4" s="460"/>
      <c r="AM4" s="460"/>
      <c r="AN4" s="460"/>
      <c r="AO4" s="460"/>
      <c r="AP4" s="460"/>
      <c r="AQ4" s="460"/>
      <c r="AR4" s="460"/>
      <c r="AS4" s="460"/>
      <c r="AT4" s="460"/>
      <c r="AU4" s="460"/>
    </row>
    <row r="5" s="190" customFormat="1" ht="36" customHeight="1" spans="1:47">
      <c r="A5" s="640">
        <v>2</v>
      </c>
      <c r="B5" s="641" t="s">
        <v>65</v>
      </c>
      <c r="C5" s="625">
        <f>'画堂春锦9#10#11#12#住宅'!A332</f>
        <v>242</v>
      </c>
      <c r="D5" s="625">
        <f t="shared" si="0"/>
        <v>242</v>
      </c>
      <c r="E5" s="626">
        <f>'画堂春锦9#10#11#12#住宅'!B333</f>
        <v>0</v>
      </c>
      <c r="F5" s="627"/>
      <c r="G5" s="628">
        <f>'画堂春锦9#10#11#12#住宅'!R333</f>
        <v>290000</v>
      </c>
      <c r="H5" s="628"/>
      <c r="I5" s="628"/>
      <c r="J5" s="629">
        <f>'画堂春锦9#10#11#12#住宅'!J333</f>
        <v>31331.37</v>
      </c>
      <c r="K5" s="629">
        <f>J5-4.49-22.24-19.83-4.39-548.24-753.94-625.87-615.6</f>
        <v>28736.77</v>
      </c>
      <c r="L5" s="642">
        <f>234+1</f>
        <v>235</v>
      </c>
      <c r="M5" s="629">
        <f>'画堂春锦9#10#11#12#住宅'!M333</f>
        <v>163705235</v>
      </c>
      <c r="N5" s="629">
        <f>'画堂春锦9#10#11#12#住宅'!K333</f>
        <v>28035.45</v>
      </c>
      <c r="O5" s="629">
        <f>'画堂春锦9#10#11#12#住宅'!AH333</f>
        <v>162764658</v>
      </c>
      <c r="P5" s="631">
        <f>'画堂春锦9#10#11#12#住宅'!AI333</f>
        <v>0</v>
      </c>
      <c r="Q5" s="628">
        <f>'画堂春锦9#10#11#12#住宅'!AJ333</f>
        <v>0</v>
      </c>
      <c r="R5" s="632">
        <f t="shared" si="1"/>
        <v>162764658</v>
      </c>
      <c r="S5" s="629">
        <f>M5-R5</f>
        <v>940577</v>
      </c>
      <c r="T5" s="633">
        <f t="shared" si="2"/>
        <v>7</v>
      </c>
      <c r="U5" s="634">
        <f t="shared" si="3"/>
        <v>701.32000000004</v>
      </c>
      <c r="V5" s="635"/>
      <c r="W5" s="643"/>
      <c r="Y5" s="619"/>
      <c r="Z5" s="620"/>
      <c r="AA5" s="644"/>
      <c r="AB5" s="638"/>
      <c r="AC5" s="639"/>
      <c r="AD5" s="638"/>
      <c r="AE5" s="645"/>
      <c r="AF5" s="646"/>
      <c r="AG5" s="638"/>
      <c r="AH5" s="620"/>
      <c r="AI5" s="620"/>
      <c r="AJ5" s="619"/>
      <c r="AK5" s="101"/>
      <c r="AL5" s="460"/>
      <c r="AM5" s="460"/>
      <c r="AN5" s="460"/>
      <c r="AO5" s="460"/>
      <c r="AP5" s="460"/>
      <c r="AQ5" s="460"/>
      <c r="AR5" s="460"/>
      <c r="AS5" s="460"/>
      <c r="AT5" s="460"/>
      <c r="AU5" s="460"/>
    </row>
    <row r="6" s="190" customFormat="1" ht="35" customHeight="1" spans="1:47">
      <c r="A6" s="640">
        <v>3</v>
      </c>
      <c r="B6" s="641" t="s">
        <v>66</v>
      </c>
      <c r="C6" s="625">
        <f>'画堂春锦苑1#2#3#5#7#楼住宅销售明细表'!A441</f>
        <v>362</v>
      </c>
      <c r="D6" s="625">
        <f t="shared" si="0"/>
        <v>362</v>
      </c>
      <c r="E6" s="626">
        <f>'画堂春锦苑1#2#3#5#7#楼住宅销售明细表'!B442</f>
        <v>0</v>
      </c>
      <c r="F6" s="627"/>
      <c r="G6" s="628">
        <f>'画堂春锦苑1#2#3#5#7#楼住宅销售明细表'!R442</f>
        <v>0</v>
      </c>
      <c r="H6" s="628"/>
      <c r="I6" s="628"/>
      <c r="J6" s="629">
        <f>'画堂春锦苑1#2#3#5#7#楼住宅销售明细表'!J442</f>
        <v>48346.4099999999</v>
      </c>
      <c r="K6" s="629">
        <f>J6-677.13-970.65-60.09-726.3-560.48-557.5-157.69</f>
        <v>44636.5699999999</v>
      </c>
      <c r="L6" s="642">
        <f>256+9+10+6+9+5+4+6+3+22</f>
        <v>330</v>
      </c>
      <c r="M6" s="629">
        <f>'画堂春锦苑1#2#3#5#7#楼住宅销售明细表'!M442</f>
        <v>239411329</v>
      </c>
      <c r="N6" s="629">
        <f>'画堂春锦苑1#2#3#5#7#楼住宅销售明细表'!K442</f>
        <v>41277.07</v>
      </c>
      <c r="O6" s="629">
        <f>'画堂春锦苑1#2#3#5#7#楼住宅销售明细表'!AH442</f>
        <v>238549469</v>
      </c>
      <c r="P6" s="631">
        <f>'画堂春锦9#10#11#12#住宅'!AI337</f>
        <v>0</v>
      </c>
      <c r="Q6" s="628">
        <f>'画堂春锦苑1#2#3#5#7#楼住宅销售明细表'!AJ442</f>
        <v>0</v>
      </c>
      <c r="R6" s="632">
        <f t="shared" si="1"/>
        <v>238549469</v>
      </c>
      <c r="S6" s="629">
        <f>M6-R6</f>
        <v>861860</v>
      </c>
      <c r="T6" s="633">
        <f t="shared" si="2"/>
        <v>32</v>
      </c>
      <c r="U6" s="634">
        <f t="shared" si="3"/>
        <v>3359.49999999993</v>
      </c>
      <c r="V6" s="635"/>
      <c r="W6" s="643"/>
      <c r="Y6" s="619"/>
      <c r="Z6" s="620"/>
      <c r="AA6" s="644"/>
      <c r="AB6" s="638"/>
      <c r="AC6" s="460"/>
      <c r="AD6" s="619"/>
      <c r="AE6" s="620"/>
      <c r="AF6" s="620"/>
      <c r="AG6" s="619"/>
      <c r="AH6" s="647"/>
      <c r="AI6" s="648"/>
      <c r="AJ6" s="619"/>
      <c r="AK6" s="101"/>
      <c r="AL6" s="460"/>
      <c r="AM6" s="460"/>
      <c r="AN6" s="460"/>
      <c r="AO6" s="460"/>
      <c r="AP6" s="460"/>
      <c r="AQ6" s="460"/>
      <c r="AR6" s="460"/>
      <c r="AS6" s="460"/>
      <c r="AT6" s="460"/>
      <c r="AU6" s="460"/>
    </row>
    <row r="7" s="190" customFormat="1" ht="35" customHeight="1" spans="1:47">
      <c r="A7" s="640">
        <v>4</v>
      </c>
      <c r="B7" s="649" t="s">
        <v>67</v>
      </c>
      <c r="C7" s="625">
        <f>'画堂春锦苑8#楼明细表'!A89</f>
        <v>66</v>
      </c>
      <c r="D7" s="625">
        <f t="shared" si="0"/>
        <v>66</v>
      </c>
      <c r="E7" s="626">
        <f>'画堂春锦苑8#楼明细表'!B91</f>
        <v>1</v>
      </c>
      <c r="F7" s="627"/>
      <c r="G7" s="628">
        <f>'画堂春锦苑8#楼明细表'!R91</f>
        <v>307040</v>
      </c>
      <c r="H7" s="628"/>
      <c r="I7" s="628"/>
      <c r="J7" s="629">
        <f>'画堂春锦苑8#楼明细表'!J91</f>
        <v>9054.69</v>
      </c>
      <c r="K7" s="629">
        <f>J7-745.73</f>
        <v>8308.96</v>
      </c>
      <c r="L7" s="642">
        <f>40+8+1+3+4+1+2+2+1</f>
        <v>62</v>
      </c>
      <c r="M7" s="629">
        <f>'画堂春锦苑8#楼明细表'!M91</f>
        <v>48493851</v>
      </c>
      <c r="N7" s="629">
        <f>'画堂春锦苑8#楼明细表'!K91</f>
        <v>7971.72</v>
      </c>
      <c r="O7" s="629">
        <f>'画堂春锦苑8#楼明细表'!AH91</f>
        <v>48095851</v>
      </c>
      <c r="P7" s="631">
        <f>'画堂春锦9#10#11#12#住宅'!AI338</f>
        <v>0</v>
      </c>
      <c r="Q7" s="628">
        <f>'画堂春锦苑8#楼明细表'!AJ91</f>
        <v>0</v>
      </c>
      <c r="R7" s="632">
        <f t="shared" si="1"/>
        <v>48095851</v>
      </c>
      <c r="S7" s="629">
        <f>'画堂春锦苑8#楼明细表'!AK91</f>
        <v>398000</v>
      </c>
      <c r="T7" s="633">
        <f t="shared" si="2"/>
        <v>4</v>
      </c>
      <c r="U7" s="634">
        <f t="shared" si="3"/>
        <v>337.239999999995</v>
      </c>
      <c r="V7" s="635"/>
      <c r="W7" s="643"/>
      <c r="Y7" s="619"/>
      <c r="Z7" s="620"/>
      <c r="AA7" s="644"/>
      <c r="AB7" s="638"/>
      <c r="AC7" s="650"/>
      <c r="AD7" s="650"/>
      <c r="AE7" s="650"/>
      <c r="AF7" s="650"/>
      <c r="AG7" s="650"/>
      <c r="AH7" s="650"/>
      <c r="AI7" s="650"/>
      <c r="AJ7" s="650"/>
      <c r="AK7" s="651"/>
      <c r="AL7" s="650"/>
      <c r="AM7" s="650"/>
      <c r="AN7" s="650"/>
      <c r="AO7" s="460"/>
      <c r="AP7" s="460"/>
      <c r="AQ7" s="460"/>
      <c r="AR7" s="460"/>
      <c r="AS7" s="460"/>
      <c r="AT7" s="460"/>
      <c r="AU7" s="460"/>
    </row>
    <row r="8" s="190" customFormat="1" ht="35" customHeight="1" spans="1:47">
      <c r="A8" s="640">
        <v>5</v>
      </c>
      <c r="B8" s="649" t="s">
        <v>68</v>
      </c>
      <c r="C8" s="625">
        <f>'画堂春锦苑住宅4#6#'!A168</f>
        <v>132</v>
      </c>
      <c r="D8" s="625">
        <f t="shared" si="0"/>
        <v>132</v>
      </c>
      <c r="E8" s="626">
        <f>'画堂春锦苑住宅4#6#'!B168</f>
        <v>1</v>
      </c>
      <c r="F8" s="627"/>
      <c r="G8" s="628">
        <f>'画堂春锦苑住宅4#6#'!S168</f>
        <v>79032</v>
      </c>
      <c r="H8" s="628"/>
      <c r="I8" s="628"/>
      <c r="J8" s="629">
        <f>'画堂春锦苑住宅4#6#'!K168</f>
        <v>19425.76</v>
      </c>
      <c r="K8" s="629">
        <f>J8-744.94-830.47</f>
        <v>17850.35</v>
      </c>
      <c r="L8" s="642">
        <f>5+1+6+2+6+10+5+5+6+9+33+12</f>
        <v>100</v>
      </c>
      <c r="M8" s="629">
        <f>'画堂春锦苑住宅4#6#'!N168</f>
        <v>85989361</v>
      </c>
      <c r="N8" s="629">
        <f>'画堂春锦苑住宅4#6#'!L168</f>
        <v>14770.45</v>
      </c>
      <c r="O8" s="629">
        <f>'画堂春锦苑住宅4#6#'!AI168</f>
        <v>81127166</v>
      </c>
      <c r="P8" s="631"/>
      <c r="Q8" s="628"/>
      <c r="R8" s="632">
        <f t="shared" si="1"/>
        <v>81127166</v>
      </c>
      <c r="S8" s="629">
        <f>'画堂春锦苑住宅4#6#'!AL168</f>
        <v>4862195</v>
      </c>
      <c r="T8" s="633">
        <f t="shared" si="2"/>
        <v>32</v>
      </c>
      <c r="U8" s="634">
        <f t="shared" si="3"/>
        <v>3079.9</v>
      </c>
      <c r="V8" s="635"/>
      <c r="W8" s="643"/>
      <c r="Y8" s="619"/>
      <c r="Z8" s="620"/>
      <c r="AA8" s="652"/>
      <c r="AB8" s="638"/>
      <c r="AC8" s="653"/>
      <c r="AD8" s="653"/>
      <c r="AE8" s="653"/>
      <c r="AF8" s="653"/>
      <c r="AG8" s="653"/>
      <c r="AH8" s="653"/>
      <c r="AI8" s="653"/>
      <c r="AJ8" s="653"/>
      <c r="AK8" s="654"/>
      <c r="AL8" s="653"/>
      <c r="AM8" s="653"/>
      <c r="AN8" s="653"/>
      <c r="AO8" s="460"/>
      <c r="AP8" s="460"/>
      <c r="AQ8" s="460"/>
      <c r="AR8" s="460"/>
      <c r="AS8" s="460"/>
      <c r="AT8" s="460"/>
      <c r="AU8" s="460"/>
    </row>
    <row r="9" s="190" customFormat="1" ht="34" customHeight="1" spans="1:47">
      <c r="A9" s="640">
        <v>6</v>
      </c>
      <c r="B9" s="624" t="s">
        <v>69</v>
      </c>
      <c r="C9" s="625">
        <f>'画堂春锦苑商业16#19#'!A63</f>
        <v>58</v>
      </c>
      <c r="D9" s="625">
        <f t="shared" si="0"/>
        <v>58</v>
      </c>
      <c r="E9" s="626">
        <f>'画堂春锦苑商业16#19#'!B64</f>
        <v>0</v>
      </c>
      <c r="F9" s="627"/>
      <c r="G9" s="628">
        <f>'画堂春锦苑商业16#19#'!T64</f>
        <v>9683</v>
      </c>
      <c r="H9" s="628"/>
      <c r="I9" s="628"/>
      <c r="J9" s="629">
        <f>'画堂春锦苑商业16#19#'!J64</f>
        <v>5820.18999999999</v>
      </c>
      <c r="K9" s="629">
        <f>J9-92.29-1005.66</f>
        <v>4722.23999999999</v>
      </c>
      <c r="L9" s="642">
        <f>19+5+4+2+6+3+2+1+1</f>
        <v>43</v>
      </c>
      <c r="M9" s="629">
        <f>'画堂春锦苑商业16#19#'!N64</f>
        <v>52978344</v>
      </c>
      <c r="N9" s="629">
        <f>'画堂春锦苑商业16#19#'!K64</f>
        <v>3297.57</v>
      </c>
      <c r="O9" s="629">
        <f>'画堂春锦苑商业16#19#'!AJ64</f>
        <v>50635271</v>
      </c>
      <c r="P9" s="631"/>
      <c r="Q9" s="628"/>
      <c r="R9" s="632">
        <f t="shared" si="1"/>
        <v>50635271</v>
      </c>
      <c r="S9" s="629">
        <f>'画堂春锦苑商业16#19#'!AM64</f>
        <v>2343073</v>
      </c>
      <c r="T9" s="633">
        <f t="shared" si="2"/>
        <v>15</v>
      </c>
      <c r="U9" s="634">
        <f t="shared" si="3"/>
        <v>1424.67</v>
      </c>
      <c r="V9" s="635"/>
      <c r="W9" s="643"/>
      <c r="Y9" s="619"/>
      <c r="Z9" s="620"/>
      <c r="AA9" s="652"/>
      <c r="AB9" s="638"/>
      <c r="AC9" s="652"/>
      <c r="AD9" s="655"/>
      <c r="AE9" s="655"/>
      <c r="AF9" s="656"/>
      <c r="AG9" s="656"/>
      <c r="AH9" s="656"/>
      <c r="AI9" s="656"/>
      <c r="AJ9" s="657"/>
      <c r="AK9" s="658"/>
      <c r="AL9" s="656"/>
      <c r="AM9" s="656"/>
      <c r="AN9" s="659"/>
      <c r="AO9" s="460"/>
      <c r="AP9" s="460"/>
      <c r="AQ9" s="460"/>
      <c r="AR9" s="460"/>
      <c r="AS9" s="460"/>
      <c r="AT9" s="460"/>
      <c r="AU9" s="460"/>
    </row>
    <row r="10" s="190" customFormat="1" ht="20" customHeight="1" spans="1:47">
      <c r="A10" s="660"/>
      <c r="B10" s="661"/>
      <c r="C10" s="662"/>
      <c r="D10" s="662"/>
      <c r="E10" s="663"/>
      <c r="F10" s="664"/>
      <c r="G10" s="665"/>
      <c r="H10" s="665"/>
      <c r="I10" s="665"/>
      <c r="J10" s="666"/>
      <c r="K10" s="666"/>
      <c r="L10" s="667"/>
      <c r="M10" s="665"/>
      <c r="N10" s="665"/>
      <c r="O10" s="668"/>
      <c r="P10" s="669"/>
      <c r="Q10" s="665"/>
      <c r="R10" s="670"/>
      <c r="S10" s="666"/>
      <c r="T10" s="671"/>
      <c r="U10" s="672"/>
      <c r="V10" s="673"/>
      <c r="W10" s="674"/>
      <c r="Y10" s="675"/>
      <c r="Z10" s="653"/>
      <c r="AB10" s="652"/>
      <c r="AC10" s="652"/>
      <c r="AD10" s="655"/>
      <c r="AE10" s="655"/>
      <c r="AF10" s="656"/>
      <c r="AG10" s="656"/>
      <c r="AH10" s="656"/>
      <c r="AI10" s="656"/>
      <c r="AJ10" s="656"/>
      <c r="AK10" s="676"/>
      <c r="AL10" s="656"/>
      <c r="AM10" s="656"/>
      <c r="AN10" s="656"/>
      <c r="AO10" s="460"/>
      <c r="AP10" s="460"/>
      <c r="AQ10" s="460"/>
      <c r="AR10" s="460"/>
      <c r="AS10" s="460"/>
      <c r="AT10" s="460"/>
      <c r="AU10" s="460"/>
    </row>
    <row r="11" s="190" customFormat="1" ht="41" customHeight="1" spans="1:47">
      <c r="A11" s="677" t="s">
        <v>70</v>
      </c>
      <c r="B11" s="678"/>
      <c r="C11" s="678">
        <f>SUM(C4:C9)</f>
        <v>1001</v>
      </c>
      <c r="D11" s="678">
        <f>SUM(D4:D9)</f>
        <v>1001</v>
      </c>
      <c r="E11" s="679">
        <f>SUM(E4:E9)</f>
        <v>2</v>
      </c>
      <c r="F11" s="680">
        <f>SUM(F4:F9)</f>
        <v>0</v>
      </c>
      <c r="G11" s="681">
        <f>SUM(G4:G9)</f>
        <v>935755</v>
      </c>
      <c r="H11" s="681"/>
      <c r="I11" s="681"/>
      <c r="J11" s="682">
        <f>SUM(J4:J9)</f>
        <v>129297.92</v>
      </c>
      <c r="K11" s="682">
        <f>SUM(K4:K9)</f>
        <v>118865.94</v>
      </c>
      <c r="L11" s="683">
        <f t="shared" ref="L11:S11" si="4">SUM(L4:L9)</f>
        <v>906</v>
      </c>
      <c r="M11" s="682">
        <f t="shared" si="4"/>
        <v>770262704</v>
      </c>
      <c r="N11" s="682">
        <f t="shared" si="4"/>
        <v>107761.68</v>
      </c>
      <c r="O11" s="682">
        <f t="shared" si="4"/>
        <v>756018361</v>
      </c>
      <c r="P11" s="684">
        <f t="shared" si="4"/>
        <v>0</v>
      </c>
      <c r="Q11" s="684">
        <f t="shared" si="4"/>
        <v>0</v>
      </c>
      <c r="R11" s="685">
        <f t="shared" si="4"/>
        <v>756018361</v>
      </c>
      <c r="S11" s="682">
        <f t="shared" si="4"/>
        <v>14244343</v>
      </c>
      <c r="T11" s="683">
        <f>SUM(T5:T9)</f>
        <v>90</v>
      </c>
      <c r="U11" s="686">
        <f>SUM(U4:U9)</f>
        <v>11104.2599999999</v>
      </c>
      <c r="V11" s="687">
        <f>SUM(V4:V9)</f>
        <v>0</v>
      </c>
      <c r="W11" s="688"/>
      <c r="Y11" s="675"/>
      <c r="Z11" s="653"/>
      <c r="AA11" s="652"/>
      <c r="AB11" s="652"/>
      <c r="AC11" s="652"/>
      <c r="AD11" s="655"/>
      <c r="AE11" s="655"/>
      <c r="AF11" s="656"/>
      <c r="AG11" s="656"/>
      <c r="AH11" s="656"/>
      <c r="AI11" s="656"/>
      <c r="AJ11" s="656"/>
      <c r="AK11" s="676"/>
      <c r="AL11" s="656"/>
      <c r="AM11" s="656"/>
      <c r="AN11" s="656"/>
      <c r="AO11" s="460"/>
      <c r="AP11" s="460"/>
      <c r="AQ11" s="460"/>
      <c r="AR11" s="460"/>
      <c r="AS11" s="460"/>
      <c r="AT11" s="460"/>
      <c r="AU11" s="460"/>
    </row>
    <row r="12" s="580" customFormat="1" ht="27.75" customHeight="1" spans="1:47">
      <c r="A12" s="689"/>
      <c r="B12" s="690"/>
      <c r="C12" s="691"/>
      <c r="D12" s="692"/>
      <c r="E12" s="692"/>
      <c r="F12" s="693" t="s">
        <v>71</v>
      </c>
      <c r="G12" s="694"/>
      <c r="H12" s="695"/>
      <c r="I12" s="695"/>
      <c r="J12" s="696"/>
      <c r="K12" s="697"/>
      <c r="L12" s="698"/>
      <c r="M12" s="697"/>
      <c r="N12" s="697" t="s">
        <v>72</v>
      </c>
      <c r="O12" s="699">
        <v>756017381</v>
      </c>
      <c r="P12" s="700"/>
      <c r="Q12" s="701"/>
      <c r="S12" s="702"/>
      <c r="T12" s="698"/>
      <c r="U12" s="703"/>
      <c r="V12" s="704"/>
      <c r="W12" s="692"/>
      <c r="Y12" s="675"/>
      <c r="Z12" s="675"/>
      <c r="AA12" s="652"/>
      <c r="AB12" s="652"/>
      <c r="AC12" s="652"/>
      <c r="AD12" s="655"/>
      <c r="AE12" s="655"/>
      <c r="AF12" s="656"/>
      <c r="AG12" s="656"/>
      <c r="AH12" s="656"/>
      <c r="AI12" s="656"/>
      <c r="AJ12" s="656"/>
      <c r="AK12" s="676"/>
      <c r="AL12" s="656"/>
      <c r="AM12" s="656"/>
      <c r="AN12" s="656"/>
      <c r="AO12" s="705"/>
      <c r="AP12" s="705"/>
      <c r="AQ12" s="705"/>
      <c r="AR12" s="705"/>
      <c r="AS12" s="705"/>
      <c r="AT12" s="705"/>
      <c r="AU12" s="705"/>
    </row>
    <row r="13" s="580" customFormat="1" ht="34" customHeight="1" spans="1:47">
      <c r="A13" s="689"/>
      <c r="B13" s="690"/>
      <c r="C13" s="691"/>
      <c r="D13" s="692"/>
      <c r="E13" s="692"/>
      <c r="F13" s="693" t="s">
        <v>73</v>
      </c>
      <c r="G13" s="348"/>
      <c r="H13" s="706"/>
      <c r="I13" s="706"/>
      <c r="J13" s="696"/>
      <c r="K13" s="697"/>
      <c r="L13" s="698"/>
      <c r="M13" s="697"/>
      <c r="N13" s="697" t="s">
        <v>74</v>
      </c>
      <c r="O13" s="707">
        <f>(-8587360.23-414015.77)+(1624480+888874+46414+417692+24611+30000-25366+1000)+116836+8000</f>
        <v>-5868835</v>
      </c>
      <c r="P13" s="708">
        <f>278868823+16205837+10864302+2110283+1889015+2370546+12568286+850000+1260000+3858826+583956+211152844+5602998+1135429+2070978+2050016+1255957+604503+2074798+1199666+44762184+354+1433447+2364095.27+656000+20000+1503005+10000+3472444+1434885+200000+1498276+857000+509104.73+10000+1042863+3096460+200000+450000+590000+781959+214233+530000+220000+549000+884461+134049158+592000+707040+790000</f>
        <v>762005032</v>
      </c>
      <c r="Q13" s="709"/>
      <c r="R13" s="580"/>
      <c r="S13" s="702"/>
      <c r="T13" s="698"/>
      <c r="U13" s="703"/>
      <c r="V13" s="704"/>
      <c r="W13" s="692"/>
      <c r="Y13" s="675"/>
      <c r="Z13" s="675"/>
      <c r="AA13" s="652"/>
      <c r="AB13" s="652"/>
      <c r="AC13" s="652"/>
      <c r="AD13" s="655"/>
      <c r="AE13" s="655"/>
      <c r="AF13" s="656"/>
      <c r="AG13" s="656"/>
      <c r="AH13" s="656"/>
      <c r="AI13" s="656"/>
      <c r="AJ13" s="656"/>
      <c r="AK13" s="676"/>
      <c r="AL13" s="656"/>
      <c r="AM13" s="656"/>
      <c r="AN13" s="656"/>
      <c r="AO13" s="705"/>
      <c r="AP13" s="705"/>
      <c r="AQ13" s="705"/>
      <c r="AR13" s="705"/>
      <c r="AS13" s="705"/>
      <c r="AT13" s="705"/>
      <c r="AU13" s="705"/>
    </row>
    <row r="14" s="580" customFormat="1" ht="34" customHeight="1" spans="1:47">
      <c r="A14" s="689"/>
      <c r="B14" s="690"/>
      <c r="C14" s="691"/>
      <c r="D14" s="710"/>
      <c r="E14" s="692"/>
      <c r="F14" s="711" t="s">
        <v>75</v>
      </c>
      <c r="G14" s="348">
        <f>G11-G12+G13</f>
        <v>935755</v>
      </c>
      <c r="I14" s="695"/>
      <c r="J14" s="696"/>
      <c r="L14" s="697"/>
      <c r="M14" s="697"/>
      <c r="N14" s="697" t="s">
        <v>76</v>
      </c>
      <c r="O14" s="712"/>
      <c r="P14" s="580" t="s">
        <v>77</v>
      </c>
      <c r="Q14" s="696"/>
      <c r="R14" s="713"/>
      <c r="S14" s="696"/>
      <c r="T14" s="697"/>
      <c r="U14" s="697"/>
      <c r="V14" s="704"/>
      <c r="W14" s="692"/>
      <c r="Y14" s="675"/>
      <c r="Z14" s="675"/>
      <c r="AA14" s="714"/>
      <c r="AB14" s="714"/>
      <c r="AC14" s="655"/>
      <c r="AD14" s="655"/>
      <c r="AE14" s="655"/>
      <c r="AF14" s="675"/>
      <c r="AG14" s="675"/>
      <c r="AH14" s="675"/>
      <c r="AI14" s="675"/>
      <c r="AJ14" s="675"/>
      <c r="AK14" s="715"/>
      <c r="AL14" s="675"/>
      <c r="AM14" s="675"/>
      <c r="AN14" s="675"/>
      <c r="AO14" s="705"/>
      <c r="AP14" s="705"/>
      <c r="AQ14" s="705"/>
      <c r="AR14" s="705"/>
      <c r="AS14" s="705"/>
      <c r="AT14" s="705"/>
      <c r="AU14" s="705"/>
    </row>
    <row r="15" s="580" customFormat="1" ht="34" customHeight="1" spans="1:47">
      <c r="A15" s="689"/>
      <c r="B15" s="690"/>
      <c r="C15" s="691"/>
      <c r="D15" s="710"/>
      <c r="E15" s="692"/>
      <c r="F15" s="711" t="s">
        <v>78</v>
      </c>
      <c r="G15" s="348"/>
      <c r="H15" s="716"/>
      <c r="I15" s="716"/>
      <c r="J15" s="696"/>
      <c r="K15" s="697"/>
      <c r="L15" s="697"/>
      <c r="M15" s="697"/>
      <c r="N15" s="697" t="s">
        <v>79</v>
      </c>
      <c r="O15" s="712">
        <v>116836</v>
      </c>
      <c r="P15" s="580" t="s">
        <v>77</v>
      </c>
      <c r="Q15" s="696"/>
      <c r="R15" s="713"/>
      <c r="S15" s="702"/>
      <c r="T15" s="697"/>
      <c r="U15" s="697"/>
      <c r="V15" s="704"/>
      <c r="W15" s="692"/>
      <c r="Y15" s="705"/>
      <c r="Z15" s="705"/>
      <c r="AA15" s="714"/>
      <c r="AB15" s="714"/>
      <c r="AC15" s="655"/>
      <c r="AD15" s="655"/>
      <c r="AE15" s="655"/>
      <c r="AF15" s="705"/>
      <c r="AG15" s="705"/>
      <c r="AH15" s="705"/>
      <c r="AI15" s="705"/>
      <c r="AJ15" s="705"/>
      <c r="AK15" s="717"/>
      <c r="AL15" s="705"/>
      <c r="AM15" s="705"/>
      <c r="AN15" s="705"/>
      <c r="AO15" s="705"/>
      <c r="AP15" s="705"/>
      <c r="AQ15" s="705"/>
      <c r="AR15" s="705"/>
      <c r="AS15" s="705"/>
      <c r="AT15" s="705"/>
      <c r="AU15" s="705"/>
    </row>
    <row r="16" s="580" customFormat="1" ht="34" customHeight="1" spans="1:47">
      <c r="A16" s="689"/>
      <c r="B16" s="690"/>
      <c r="C16" s="691"/>
      <c r="D16" s="718"/>
      <c r="E16" s="692"/>
      <c r="F16" s="711"/>
      <c r="G16" s="719"/>
      <c r="H16" s="716"/>
      <c r="I16" s="716"/>
      <c r="J16" s="696"/>
      <c r="K16" s="697"/>
      <c r="L16" s="697"/>
      <c r="M16" s="697"/>
      <c r="N16" s="697"/>
      <c r="O16" s="712"/>
      <c r="P16" s="580"/>
      <c r="Q16" s="696"/>
      <c r="R16" s="713"/>
      <c r="S16" s="702"/>
      <c r="T16" s="697"/>
      <c r="U16" s="697"/>
      <c r="V16" s="704"/>
      <c r="W16" s="692"/>
      <c r="Y16" s="705"/>
      <c r="Z16" s="705"/>
      <c r="AA16" s="714"/>
      <c r="AB16" s="714"/>
      <c r="AC16" s="655"/>
      <c r="AD16" s="655"/>
      <c r="AE16" s="655"/>
      <c r="AF16" s="705"/>
      <c r="AG16" s="705"/>
      <c r="AH16" s="705"/>
      <c r="AI16" s="705"/>
      <c r="AJ16" s="705"/>
      <c r="AK16" s="717"/>
      <c r="AL16" s="705"/>
      <c r="AM16" s="705"/>
      <c r="AN16" s="705"/>
      <c r="AO16" s="705"/>
      <c r="AP16" s="705"/>
      <c r="AQ16" s="705"/>
      <c r="AR16" s="705"/>
      <c r="AS16" s="705"/>
      <c r="AT16" s="705"/>
      <c r="AU16" s="705"/>
    </row>
    <row r="17" s="580" customFormat="1" ht="36" customHeight="1" spans="1:47">
      <c r="A17" s="689"/>
      <c r="B17" s="690"/>
      <c r="C17" s="720"/>
      <c r="D17" s="721"/>
      <c r="E17" s="692"/>
      <c r="F17" s="722" t="s">
        <v>80</v>
      </c>
      <c r="G17" s="723"/>
      <c r="H17" s="724"/>
      <c r="I17" s="725"/>
      <c r="J17" s="696"/>
      <c r="K17" s="697"/>
      <c r="L17" s="697"/>
      <c r="M17" s="697"/>
      <c r="N17" s="697" t="s">
        <v>81</v>
      </c>
      <c r="O17" s="726">
        <f>O11-O12-G15</f>
        <v>980</v>
      </c>
      <c r="P17" s="727"/>
      <c r="Q17" s="728"/>
      <c r="R17" s="729" t="s">
        <v>82</v>
      </c>
      <c r="S17" s="702"/>
      <c r="T17" s="697"/>
      <c r="U17" s="697"/>
      <c r="V17" s="704"/>
      <c r="W17" s="692"/>
      <c r="Y17" s="705"/>
      <c r="Z17" s="705"/>
      <c r="AA17" s="714"/>
      <c r="AB17" s="714"/>
      <c r="AC17" s="655"/>
      <c r="AD17" s="655"/>
      <c r="AE17" s="655"/>
      <c r="AF17" s="705"/>
      <c r="AG17" s="705"/>
      <c r="AH17" s="705"/>
      <c r="AI17" s="705"/>
      <c r="AJ17" s="705"/>
      <c r="AK17" s="717"/>
      <c r="AL17" s="705"/>
      <c r="AM17" s="705"/>
      <c r="AN17" s="705"/>
      <c r="AO17" s="705"/>
      <c r="AP17" s="705"/>
      <c r="AQ17" s="705"/>
      <c r="AR17" s="705"/>
      <c r="AS17" s="705"/>
      <c r="AT17" s="705"/>
      <c r="AU17" s="705"/>
    </row>
    <row r="18" s="580" customFormat="1" ht="34" customHeight="1" spans="1:47">
      <c r="A18" s="689"/>
      <c r="B18" s="690"/>
      <c r="C18" s="720"/>
      <c r="D18" s="692"/>
      <c r="E18" s="692"/>
      <c r="F18" s="722"/>
      <c r="G18" s="723"/>
      <c r="H18" s="724"/>
      <c r="I18" s="725"/>
      <c r="J18" s="730"/>
      <c r="K18" s="697"/>
      <c r="L18" s="697"/>
      <c r="M18" s="697"/>
      <c r="N18" s="697" t="s">
        <v>83</v>
      </c>
      <c r="O18" s="712">
        <f>O11-O13-P13+O15</f>
        <v>-1000</v>
      </c>
      <c r="P18" s="727"/>
      <c r="Q18" s="731"/>
      <c r="R18" s="731"/>
      <c r="S18" s="702"/>
      <c r="T18" s="697"/>
      <c r="U18" s="697"/>
      <c r="V18" s="704"/>
      <c r="W18" s="692"/>
      <c r="Y18" s="705"/>
      <c r="Z18" s="705"/>
      <c r="AA18" s="714"/>
      <c r="AB18" s="714"/>
      <c r="AC18" s="655"/>
      <c r="AD18" s="655"/>
      <c r="AE18" s="655"/>
      <c r="AF18" s="705"/>
      <c r="AG18" s="705"/>
      <c r="AH18" s="705"/>
      <c r="AI18" s="705"/>
      <c r="AJ18" s="705"/>
      <c r="AK18" s="717"/>
      <c r="AL18" s="705"/>
      <c r="AM18" s="705"/>
      <c r="AN18" s="705"/>
      <c r="AO18" s="705"/>
      <c r="AP18" s="732"/>
      <c r="AQ18" s="733"/>
      <c r="AR18" s="705"/>
      <c r="AS18" s="705"/>
      <c r="AT18" s="705"/>
      <c r="AU18" s="705"/>
    </row>
    <row r="19" s="580" customFormat="1" ht="19" customHeight="1" spans="1:47">
      <c r="A19" s="734"/>
      <c r="B19" s="735"/>
      <c r="C19" s="736"/>
      <c r="D19" s="737"/>
      <c r="E19" s="737"/>
      <c r="F19" s="722"/>
      <c r="G19" s="738"/>
      <c r="H19" s="739"/>
      <c r="I19" s="740"/>
      <c r="J19" s="348"/>
      <c r="K19" s="741"/>
      <c r="L19" s="741"/>
      <c r="M19" s="697"/>
      <c r="N19" s="697"/>
      <c r="O19" s="742">
        <v>1000</v>
      </c>
      <c r="P19" s="580"/>
      <c r="Q19" s="696"/>
      <c r="R19" s="713"/>
      <c r="S19" s="702"/>
      <c r="T19" s="697"/>
      <c r="U19" s="697"/>
      <c r="V19" s="743"/>
      <c r="W19" s="737"/>
      <c r="Y19" s="705"/>
      <c r="Z19" s="705"/>
      <c r="AA19" s="714"/>
      <c r="AB19" s="714"/>
      <c r="AC19" s="655"/>
      <c r="AD19" s="655"/>
      <c r="AE19" s="655"/>
      <c r="AF19" s="675"/>
      <c r="AG19" s="744"/>
      <c r="AH19" s="744"/>
      <c r="AI19" s="675"/>
      <c r="AJ19" s="675"/>
      <c r="AK19" s="715"/>
      <c r="AL19" s="745"/>
      <c r="AM19" s="705"/>
      <c r="AN19" s="705"/>
      <c r="AO19" s="705"/>
      <c r="AP19" s="746"/>
      <c r="AQ19" s="705"/>
      <c r="AR19" s="705"/>
      <c r="AS19" s="705"/>
      <c r="AT19" s="705"/>
      <c r="AU19" s="705"/>
    </row>
    <row r="20" s="580" customFormat="1" ht="16" customHeight="1" spans="1:47">
      <c r="A20" s="734"/>
      <c r="B20" s="735"/>
      <c r="C20" s="736"/>
      <c r="D20" s="737"/>
      <c r="E20" s="737"/>
      <c r="F20" s="722"/>
      <c r="G20" s="723"/>
      <c r="H20" s="747"/>
      <c r="I20" s="748"/>
      <c r="J20" s="702"/>
      <c r="K20" s="709"/>
      <c r="L20" s="697"/>
      <c r="M20" s="697"/>
      <c r="N20" s="697"/>
      <c r="O20" s="742"/>
      <c r="Q20" s="696"/>
      <c r="R20" s="713"/>
      <c r="S20" s="702"/>
      <c r="T20" s="697"/>
      <c r="U20" s="697"/>
      <c r="V20" s="743"/>
      <c r="W20" s="737"/>
      <c r="Y20" s="705"/>
      <c r="Z20" s="705"/>
      <c r="AA20" s="749"/>
      <c r="AB20" s="749"/>
      <c r="AC20" s="749"/>
      <c r="AD20" s="749"/>
      <c r="AE20" s="655"/>
      <c r="AF20" s="675"/>
      <c r="AG20" s="744"/>
      <c r="AH20" s="744"/>
      <c r="AI20" s="675"/>
      <c r="AJ20" s="675"/>
      <c r="AK20" s="715"/>
      <c r="AL20" s="745"/>
      <c r="AM20" s="705"/>
      <c r="AN20" s="705"/>
      <c r="AO20" s="705"/>
      <c r="AP20" s="746"/>
      <c r="AQ20" s="705"/>
      <c r="AR20" s="705"/>
      <c r="AS20" s="705"/>
      <c r="AT20" s="705"/>
      <c r="AU20" s="705"/>
    </row>
    <row r="21" s="580" customFormat="1" ht="23" customHeight="1" spans="1:47">
      <c r="A21" s="734"/>
      <c r="B21" s="735"/>
      <c r="C21" s="736"/>
      <c r="D21" s="737"/>
      <c r="E21" s="737"/>
      <c r="F21" s="722"/>
      <c r="G21" s="723"/>
      <c r="H21" s="750"/>
      <c r="I21" s="751"/>
      <c r="J21" s="702"/>
      <c r="K21" s="709"/>
      <c r="L21" s="697"/>
      <c r="M21" s="697"/>
      <c r="N21" s="697"/>
      <c r="O21" s="742"/>
      <c r="P21" s="580"/>
      <c r="Q21" s="696"/>
      <c r="R21" s="713"/>
      <c r="S21" s="702"/>
      <c r="T21" s="697"/>
      <c r="U21" s="697"/>
      <c r="V21" s="743"/>
      <c r="W21" s="737"/>
      <c r="Y21" s="705"/>
      <c r="Z21" s="705"/>
      <c r="AA21" s="675"/>
      <c r="AB21" s="675"/>
      <c r="AC21" s="675"/>
      <c r="AD21" s="744"/>
      <c r="AE21" s="675"/>
      <c r="AF21" s="675"/>
      <c r="AG21" s="744"/>
      <c r="AH21" s="744"/>
      <c r="AI21" s="675"/>
      <c r="AJ21" s="675"/>
      <c r="AK21" s="715"/>
      <c r="AL21" s="745"/>
      <c r="AM21" s="705"/>
      <c r="AN21" s="705"/>
      <c r="AO21" s="705"/>
      <c r="AP21" s="705"/>
      <c r="AQ21" s="705"/>
      <c r="AR21" s="705"/>
      <c r="AS21" s="705"/>
      <c r="AT21" s="705"/>
      <c r="AU21" s="705"/>
    </row>
    <row r="22" s="580" customFormat="1" ht="20" customHeight="1" spans="1:47">
      <c r="A22" s="734"/>
      <c r="B22" s="735"/>
      <c r="C22" s="736"/>
      <c r="D22" s="737"/>
      <c r="E22" s="737"/>
      <c r="F22" s="752"/>
      <c r="G22" s="348"/>
      <c r="H22" s="580"/>
      <c r="I22" s="753"/>
      <c r="J22" s="702"/>
      <c r="K22" s="709"/>
      <c r="L22" s="697"/>
      <c r="M22" s="697"/>
      <c r="N22" s="697"/>
      <c r="O22" s="742"/>
      <c r="P22" s="580"/>
      <c r="Q22" s="696"/>
      <c r="R22" s="713"/>
      <c r="S22" s="702"/>
      <c r="T22" s="697"/>
      <c r="U22" s="697"/>
      <c r="V22" s="743"/>
      <c r="W22" s="737"/>
      <c r="Y22" s="705"/>
      <c r="Z22" s="705"/>
      <c r="AA22" s="675"/>
      <c r="AB22" s="675"/>
      <c r="AC22" s="675"/>
      <c r="AD22" s="744"/>
      <c r="AE22" s="653"/>
      <c r="AF22" s="675"/>
      <c r="AG22" s="744"/>
      <c r="AH22" s="744"/>
      <c r="AI22" s="675"/>
      <c r="AJ22" s="675"/>
      <c r="AK22" s="715"/>
      <c r="AL22" s="745"/>
      <c r="AM22" s="705"/>
      <c r="AN22" s="705"/>
      <c r="AO22" s="705"/>
      <c r="AP22" s="705"/>
      <c r="AQ22" s="705"/>
      <c r="AR22" s="705"/>
      <c r="AS22" s="705"/>
      <c r="AT22" s="705"/>
      <c r="AU22" s="705"/>
    </row>
    <row r="23" ht="36" customHeight="1" spans="1:47">
      <c r="A23" s="754"/>
      <c r="B23" s="755"/>
      <c r="C23" s="756"/>
      <c r="D23" s="754"/>
      <c r="E23" s="754"/>
      <c r="F23" s="754"/>
      <c r="G23" s="348">
        <f>G14-G17-G18-G19-G20</f>
        <v>935755</v>
      </c>
      <c r="H23" s="757">
        <f>G23/1.09</f>
        <v>858490.825688073</v>
      </c>
      <c r="I23" s="758"/>
      <c r="J23" s="759"/>
      <c r="K23" s="754"/>
      <c r="L23" s="760"/>
      <c r="M23" s="761"/>
      <c r="N23" s="762"/>
      <c r="O23" s="763"/>
      <c r="P23" s="764"/>
      <c r="Q23" s="765"/>
      <c r="R23" s="766"/>
      <c r="S23" s="767"/>
      <c r="T23" s="768"/>
      <c r="U23" s="762"/>
      <c r="V23" s="754"/>
      <c r="W23" s="769"/>
      <c r="X23" s="770"/>
      <c r="AA23" s="675"/>
      <c r="AB23" s="675"/>
      <c r="AC23" s="675"/>
      <c r="AD23" s="744"/>
      <c r="AE23" s="675"/>
      <c r="AF23" s="675"/>
      <c r="AG23" s="675"/>
      <c r="AH23" s="675"/>
      <c r="AI23" s="675"/>
      <c r="AJ23" s="675"/>
      <c r="AK23" s="715"/>
      <c r="AL23" s="745"/>
    </row>
    <row r="24" ht="37" customHeight="1" spans="1:47">
      <c r="B24" s="771" t="s">
        <v>84</v>
      </c>
      <c r="C24" s="771"/>
      <c r="D24" s="771"/>
      <c r="E24" s="771"/>
      <c r="F24" s="771"/>
      <c r="G24" s="771"/>
      <c r="H24" s="771"/>
      <c r="I24" s="771"/>
      <c r="J24" s="771"/>
      <c r="K24" s="771"/>
      <c r="L24" s="771"/>
      <c r="M24" s="771"/>
      <c r="N24" s="771"/>
      <c r="O24" s="771"/>
      <c r="P24" s="771"/>
      <c r="Q24" s="771"/>
      <c r="R24" s="771"/>
      <c r="S24" s="771"/>
      <c r="T24" s="772"/>
      <c r="U24" s="773"/>
      <c r="V24" s="774"/>
      <c r="W24" s="775"/>
      <c r="X24" s="776"/>
      <c r="AA24" s="675"/>
      <c r="AB24" s="675"/>
      <c r="AC24" s="675"/>
      <c r="AD24" s="744"/>
      <c r="AE24" s="675"/>
      <c r="AF24" s="675"/>
      <c r="AG24" s="675"/>
      <c r="AH24" s="675"/>
      <c r="AI24" s="675"/>
      <c r="AJ24" s="675"/>
      <c r="AK24" s="715"/>
      <c r="AL24" s="745"/>
    </row>
    <row r="25" ht="29" customHeight="1" spans="1:47">
      <c r="B25" s="777" t="s">
        <v>85</v>
      </c>
      <c r="C25" s="777"/>
      <c r="D25" s="778" t="s">
        <v>86</v>
      </c>
      <c r="E25" s="778"/>
      <c r="F25" s="779" t="s">
        <v>87</v>
      </c>
      <c r="G25" s="779"/>
      <c r="H25" s="780" t="s">
        <v>88</v>
      </c>
      <c r="I25" s="780"/>
      <c r="J25" s="780" t="s">
        <v>89</v>
      </c>
      <c r="K25" s="780"/>
      <c r="L25" s="777"/>
      <c r="M25" s="781" t="s">
        <v>68</v>
      </c>
      <c r="N25" s="781"/>
      <c r="O25" s="782" t="s">
        <v>90</v>
      </c>
      <c r="P25" s="783" t="s">
        <v>9</v>
      </c>
      <c r="Q25" s="784"/>
      <c r="R25" s="784"/>
      <c r="S25" s="785"/>
      <c r="T25" s="772"/>
      <c r="U25" s="773" t="s">
        <v>91</v>
      </c>
      <c r="V25" s="774"/>
      <c r="W25" s="775"/>
      <c r="X25" s="786"/>
      <c r="Z25" s="787"/>
      <c r="AA25" s="788"/>
      <c r="AB25" s="789"/>
      <c r="AC25" s="790"/>
      <c r="AD25" s="789"/>
      <c r="AE25" s="715"/>
      <c r="AF25" s="789"/>
      <c r="AG25" s="789"/>
      <c r="AH25" s="789"/>
      <c r="AI25" s="789"/>
      <c r="AJ25" s="789"/>
      <c r="AK25" s="676"/>
      <c r="AL25" s="745"/>
      <c r="AM25" s="744"/>
      <c r="AN25" s="653"/>
    </row>
    <row r="26" ht="29" customHeight="1" spans="1:47">
      <c r="B26" s="777" t="s">
        <v>92</v>
      </c>
      <c r="C26" s="777"/>
      <c r="D26" s="791">
        <f>D28+E28</f>
        <v>290000</v>
      </c>
      <c r="E26" s="791"/>
      <c r="F26" s="791">
        <f>F28+G28</f>
        <v>0</v>
      </c>
      <c r="G26" s="791"/>
      <c r="H26" s="791">
        <f>H28+I28</f>
        <v>250000</v>
      </c>
      <c r="I26" s="791"/>
      <c r="J26" s="792">
        <f>J28+K28</f>
        <v>307040</v>
      </c>
      <c r="K26" s="793"/>
      <c r="L26" s="794"/>
      <c r="M26" s="791">
        <f>M28+N28</f>
        <v>79032</v>
      </c>
      <c r="N26" s="791"/>
      <c r="O26" s="795">
        <f>O28</f>
        <v>9683</v>
      </c>
      <c r="P26" s="795"/>
      <c r="Q26" s="795"/>
      <c r="R26" s="795"/>
      <c r="S26" s="796">
        <f>D26+F26+H26+J26+M26+O26</f>
        <v>935755</v>
      </c>
      <c r="T26" s="797">
        <f>S26-G23</f>
        <v>0</v>
      </c>
      <c r="U26" s="798">
        <v>9891226</v>
      </c>
      <c r="V26" s="799">
        <f>T26-U26</f>
        <v>-9891226</v>
      </c>
      <c r="W26" s="775"/>
      <c r="X26" s="776"/>
      <c r="Z26" s="787"/>
      <c r="AA26" s="788"/>
      <c r="AB26" s="789"/>
      <c r="AC26" s="790"/>
      <c r="AD26" s="789"/>
      <c r="AE26" s="789"/>
      <c r="AF26" s="789"/>
      <c r="AG26" s="789"/>
      <c r="AH26" s="789"/>
      <c r="AI26" s="789"/>
      <c r="AJ26" s="789"/>
      <c r="AK26" s="676"/>
      <c r="AL26" s="745"/>
      <c r="AM26" s="744"/>
      <c r="AN26" s="675"/>
    </row>
    <row r="27" ht="29" customHeight="1" spans="1:47">
      <c r="B27" s="777"/>
      <c r="C27" s="777"/>
      <c r="D27" s="791" t="s">
        <v>93</v>
      </c>
      <c r="E27" s="791" t="s">
        <v>94</v>
      </c>
      <c r="F27" s="791" t="s">
        <v>93</v>
      </c>
      <c r="G27" s="791" t="s">
        <v>94</v>
      </c>
      <c r="H27" s="791" t="s">
        <v>95</v>
      </c>
      <c r="I27" s="791"/>
      <c r="J27" s="795" t="s">
        <v>96</v>
      </c>
      <c r="K27" s="795" t="s">
        <v>97</v>
      </c>
      <c r="L27" s="791"/>
      <c r="M27" s="795" t="s">
        <v>96</v>
      </c>
      <c r="N27" s="795" t="s">
        <v>97</v>
      </c>
      <c r="O27" s="795" t="s">
        <v>95</v>
      </c>
      <c r="P27" s="795"/>
      <c r="Q27" s="795"/>
      <c r="R27" s="800"/>
      <c r="S27" s="796" t="s">
        <v>98</v>
      </c>
      <c r="T27" s="801"/>
      <c r="U27" s="773"/>
      <c r="V27" s="802"/>
      <c r="W27" s="775"/>
      <c r="X27" s="776"/>
      <c r="Z27" s="787"/>
      <c r="AA27" s="788"/>
      <c r="AB27" s="789"/>
      <c r="AC27" s="790"/>
      <c r="AD27" s="789"/>
      <c r="AE27" s="789"/>
      <c r="AF27" s="789"/>
      <c r="AG27" s="789"/>
      <c r="AH27" s="789"/>
      <c r="AI27" s="789"/>
      <c r="AJ27" s="789"/>
      <c r="AK27" s="676"/>
      <c r="AL27" s="745"/>
      <c r="AM27" s="675"/>
      <c r="AN27" s="675"/>
    </row>
    <row r="28" ht="29" customHeight="1" spans="1:47">
      <c r="B28" s="777" t="s">
        <v>99</v>
      </c>
      <c r="C28" s="803" t="s">
        <v>100</v>
      </c>
      <c r="D28" s="791">
        <f>'画堂春锦9#10#11#12#住宅'!R334</f>
        <v>290000</v>
      </c>
      <c r="E28" s="791">
        <f>'画堂春锦9#10#11#12#住宅'!R335</f>
        <v>0</v>
      </c>
      <c r="F28" s="791">
        <f>'画堂春锦苑1#2#3#5#7#楼住宅销售明细表'!R443</f>
        <v>0</v>
      </c>
      <c r="G28" s="791">
        <f>'画堂春锦苑1#2#3#5#7#楼住宅销售明细表'!R444</f>
        <v>0</v>
      </c>
      <c r="H28" s="791">
        <f>'画堂春锦13#14#15#17#18# 商铺'!T155</f>
        <v>250000</v>
      </c>
      <c r="I28" s="791"/>
      <c r="J28" s="791">
        <f>'画堂春锦苑8#楼明细表'!R94</f>
        <v>307040</v>
      </c>
      <c r="K28" s="791">
        <f>'画堂春锦苑8#楼明细表'!R95</f>
        <v>0</v>
      </c>
      <c r="L28" s="804"/>
      <c r="M28" s="791">
        <f>'画堂春锦苑住宅4#6#'!S170</f>
        <v>75000</v>
      </c>
      <c r="N28" s="791">
        <f>'画堂春锦苑住宅4#6#'!S171</f>
        <v>4032</v>
      </c>
      <c r="O28" s="791">
        <f>'画堂春锦苑商业16#19#'!T68</f>
        <v>9683</v>
      </c>
      <c r="P28" s="796"/>
      <c r="Q28" s="791"/>
      <c r="R28" s="796"/>
      <c r="S28" s="805">
        <f>SUM(D28:R28)</f>
        <v>935755</v>
      </c>
      <c r="T28" s="806"/>
      <c r="U28" s="798"/>
      <c r="V28" s="774"/>
      <c r="W28" s="775"/>
      <c r="X28" s="786"/>
      <c r="Z28" s="787"/>
      <c r="AA28" s="788"/>
      <c r="AB28" s="789"/>
      <c r="AC28" s="790"/>
      <c r="AD28" s="789"/>
      <c r="AE28" s="789"/>
      <c r="AF28" s="789"/>
      <c r="AG28" s="789"/>
      <c r="AH28" s="789"/>
      <c r="AI28" s="789"/>
      <c r="AJ28" s="789"/>
      <c r="AK28" s="676"/>
      <c r="AL28" s="745"/>
      <c r="AM28" s="675"/>
      <c r="AN28" s="675"/>
    </row>
    <row r="29" ht="29" hidden="1" customHeight="1" spans="1:47">
      <c r="B29" s="777" t="s">
        <v>101</v>
      </c>
      <c r="C29" s="803">
        <v>0.03</v>
      </c>
      <c r="D29" s="791"/>
      <c r="E29" s="791"/>
      <c r="F29" s="791"/>
      <c r="G29" s="791"/>
      <c r="H29" s="791"/>
      <c r="I29" s="791"/>
      <c r="J29" s="791"/>
      <c r="K29" s="791"/>
      <c r="L29" s="791"/>
      <c r="M29" s="791"/>
      <c r="N29" s="791"/>
      <c r="O29" s="791"/>
      <c r="P29" s="791"/>
      <c r="Q29" s="791"/>
      <c r="R29" s="800"/>
      <c r="S29" s="807">
        <f>ROUND(D29+F29+H29+J29+M29+O29,2)</f>
        <v>0</v>
      </c>
      <c r="T29" s="808"/>
      <c r="U29" s="798"/>
      <c r="V29" s="774"/>
      <c r="W29" s="775"/>
      <c r="X29" s="776"/>
      <c r="Z29" s="787"/>
      <c r="AA29" s="788"/>
      <c r="AB29" s="789"/>
      <c r="AC29" s="790"/>
      <c r="AD29" s="789"/>
      <c r="AE29" s="789"/>
      <c r="AF29" s="789"/>
      <c r="AG29" s="789"/>
      <c r="AH29" s="789"/>
      <c r="AI29" s="789"/>
      <c r="AJ29" s="809"/>
      <c r="AK29" s="676"/>
      <c r="AL29" s="745"/>
      <c r="AM29" s="744"/>
      <c r="AN29" s="675"/>
    </row>
    <row r="30" ht="29" hidden="1" customHeight="1" spans="1:47">
      <c r="B30" s="777" t="s">
        <v>102</v>
      </c>
      <c r="C30" s="803">
        <v>0.07</v>
      </c>
      <c r="D30" s="791">
        <f>D29*A30</f>
        <v>0</v>
      </c>
      <c r="E30" s="791"/>
      <c r="F30" s="791">
        <f>F29*C30</f>
        <v>0</v>
      </c>
      <c r="G30" s="791"/>
      <c r="H30" s="791">
        <f>H29*C30</f>
        <v>0</v>
      </c>
      <c r="I30" s="791"/>
      <c r="J30" s="792">
        <f>J29*C30</f>
        <v>0</v>
      </c>
      <c r="K30" s="793"/>
      <c r="L30" s="810"/>
      <c r="M30" s="811">
        <f>M29*C30</f>
        <v>0</v>
      </c>
      <c r="N30" s="811"/>
      <c r="O30" s="791">
        <f>O29*C30</f>
        <v>0</v>
      </c>
      <c r="P30" s="791"/>
      <c r="Q30" s="791"/>
      <c r="R30" s="800"/>
      <c r="S30" s="807">
        <f>ROUND(D30+F30+H30+J30+M30+O30,2)</f>
        <v>0</v>
      </c>
      <c r="T30" s="808"/>
      <c r="U30" s="812"/>
      <c r="V30" s="774"/>
      <c r="W30" s="813"/>
      <c r="X30" s="776"/>
      <c r="Z30" s="787"/>
      <c r="AA30" s="814"/>
      <c r="AB30" s="789"/>
      <c r="AC30" s="790"/>
      <c r="AD30" s="809"/>
      <c r="AE30" s="675"/>
      <c r="AG30" s="815"/>
      <c r="AH30" s="789"/>
      <c r="AI30" s="789"/>
      <c r="AJ30" s="789"/>
      <c r="AK30" s="676"/>
      <c r="AL30" s="675"/>
      <c r="AM30" s="744"/>
      <c r="AN30" s="675"/>
    </row>
    <row r="31" ht="29" hidden="1" customHeight="1" spans="1:47">
      <c r="B31" s="777" t="s">
        <v>103</v>
      </c>
      <c r="C31" s="803">
        <v>0.03</v>
      </c>
      <c r="D31" s="791">
        <f>D29*C31</f>
        <v>0</v>
      </c>
      <c r="E31" s="791"/>
      <c r="F31" s="791">
        <f>F29*C31</f>
        <v>0</v>
      </c>
      <c r="G31" s="791"/>
      <c r="H31" s="791">
        <f>H29*C31</f>
        <v>0</v>
      </c>
      <c r="I31" s="791"/>
      <c r="J31" s="792">
        <f>J29*C31</f>
        <v>0</v>
      </c>
      <c r="K31" s="793"/>
      <c r="L31" s="810"/>
      <c r="M31" s="811">
        <f>M29*C31</f>
        <v>0</v>
      </c>
      <c r="N31" s="811"/>
      <c r="O31" s="791">
        <f>O29*C31</f>
        <v>0</v>
      </c>
      <c r="P31" s="791"/>
      <c r="Q31" s="791"/>
      <c r="R31" s="800"/>
      <c r="S31" s="807">
        <f>ROUND(D31+F31+H31+J31+M31+O31,2)</f>
        <v>0</v>
      </c>
      <c r="T31" s="808"/>
      <c r="U31" s="813"/>
      <c r="V31" s="813"/>
      <c r="W31" s="813"/>
      <c r="X31" s="17"/>
      <c r="Z31" s="787"/>
      <c r="AA31" s="814"/>
      <c r="AB31" s="789"/>
      <c r="AC31" s="790"/>
      <c r="AD31" s="789"/>
      <c r="AE31" s="675"/>
      <c r="AG31" s="816"/>
      <c r="AH31" s="789"/>
      <c r="AI31" s="789"/>
      <c r="AJ31" s="789"/>
      <c r="AK31" s="676"/>
      <c r="AL31" s="675"/>
      <c r="AM31" s="744"/>
      <c r="AN31" s="675"/>
    </row>
    <row r="32" ht="29" hidden="1" customHeight="1" spans="1:47">
      <c r="B32" s="777" t="s">
        <v>104</v>
      </c>
      <c r="C32" s="803">
        <v>0.02</v>
      </c>
      <c r="D32" s="791">
        <f>D29*C32</f>
        <v>0</v>
      </c>
      <c r="E32" s="791"/>
      <c r="F32" s="791">
        <f>F29*C32</f>
        <v>0</v>
      </c>
      <c r="G32" s="791"/>
      <c r="H32" s="791">
        <f>H29*C32</f>
        <v>0</v>
      </c>
      <c r="I32" s="791"/>
      <c r="J32" s="792">
        <f>J29*C32</f>
        <v>0</v>
      </c>
      <c r="K32" s="793"/>
      <c r="L32" s="810"/>
      <c r="M32" s="811">
        <f>M29*C32</f>
        <v>0</v>
      </c>
      <c r="N32" s="811"/>
      <c r="O32" s="791">
        <f>O29*C32</f>
        <v>0</v>
      </c>
      <c r="P32" s="791"/>
      <c r="Q32" s="791"/>
      <c r="R32" s="800"/>
      <c r="S32" s="807">
        <f>ROUND(D32+F32+H32+J32+M32+O32,2)</f>
        <v>0</v>
      </c>
      <c r="T32" s="808"/>
      <c r="U32" s="817"/>
      <c r="V32" s="818"/>
      <c r="W32" s="17"/>
      <c r="X32" s="819"/>
      <c r="Z32" s="787"/>
      <c r="AA32" s="814"/>
      <c r="AB32" s="789"/>
      <c r="AC32" s="790"/>
      <c r="AD32" s="809"/>
      <c r="AE32" s="675"/>
      <c r="AG32" s="816"/>
      <c r="AH32" s="789"/>
      <c r="AI32" s="789"/>
      <c r="AJ32" s="789"/>
      <c r="AK32" s="676"/>
      <c r="AL32" s="820"/>
      <c r="AM32" s="744"/>
      <c r="AN32" s="653"/>
    </row>
    <row r="33" ht="29" customHeight="1" spans="2:47">
      <c r="B33" s="777" t="s">
        <v>105</v>
      </c>
      <c r="C33" s="803">
        <v>0.03</v>
      </c>
      <c r="D33" s="791">
        <f>E28/1.09*C33</f>
        <v>0</v>
      </c>
      <c r="E33" s="791"/>
      <c r="F33" s="791">
        <f>G28/1.09*C33</f>
        <v>0</v>
      </c>
      <c r="G33" s="791"/>
      <c r="H33" s="791">
        <f>H26/1.09*C33</f>
        <v>6880.73394495413</v>
      </c>
      <c r="I33" s="791"/>
      <c r="J33" s="792">
        <f>K28/1.09*C33</f>
        <v>0</v>
      </c>
      <c r="K33" s="793"/>
      <c r="L33" s="791"/>
      <c r="M33" s="811">
        <f>N28/1.09*C33</f>
        <v>110.97247706422</v>
      </c>
      <c r="N33" s="811"/>
      <c r="O33" s="791">
        <f>O28/1.09*C33</f>
        <v>266.504587155963</v>
      </c>
      <c r="P33" s="791"/>
      <c r="Q33" s="791"/>
      <c r="R33" s="800"/>
      <c r="S33" s="805">
        <f>ROUND(D33+F33+H33+J33+M33+O33+L33,2)</f>
        <v>7258.21</v>
      </c>
      <c r="T33" s="821"/>
      <c r="U33" s="817"/>
      <c r="V33" s="818"/>
      <c r="W33" s="17"/>
      <c r="X33" s="619"/>
      <c r="Z33" s="787"/>
      <c r="AA33" s="822"/>
      <c r="AB33" s="715"/>
      <c r="AC33" s="715"/>
      <c r="AD33" s="715"/>
      <c r="AE33" s="675"/>
      <c r="AG33" s="823"/>
      <c r="AH33" s="715"/>
      <c r="AI33" s="715"/>
      <c r="AJ33" s="715"/>
      <c r="AK33" s="676"/>
      <c r="AL33" s="820"/>
      <c r="AM33" s="744"/>
      <c r="AN33" s="653"/>
    </row>
    <row r="34" ht="29" customHeight="1" spans="2:47">
      <c r="B34" s="777" t="s">
        <v>105</v>
      </c>
      <c r="C34" s="803">
        <v>0.01</v>
      </c>
      <c r="D34" s="791">
        <f>D28/1.09*C34</f>
        <v>2660.5504587156</v>
      </c>
      <c r="E34" s="791"/>
      <c r="F34" s="791">
        <f>F28/1.09*C34</f>
        <v>0</v>
      </c>
      <c r="G34" s="791"/>
      <c r="H34" s="791"/>
      <c r="I34" s="791"/>
      <c r="J34" s="791">
        <f>J28/1.09*C34</f>
        <v>2816.88073394495</v>
      </c>
      <c r="K34" s="791"/>
      <c r="L34" s="810"/>
      <c r="M34" s="811">
        <f>M28/1.09*C34</f>
        <v>688.073394495413</v>
      </c>
      <c r="N34" s="811"/>
      <c r="O34" s="791"/>
      <c r="P34" s="791"/>
      <c r="Q34" s="791"/>
      <c r="R34" s="800"/>
      <c r="S34" s="805">
        <f>ROUND(D34+F34+H34+J34+M34+O34+L34,2)</f>
        <v>6165.5</v>
      </c>
      <c r="T34" s="821"/>
      <c r="U34" s="824"/>
      <c r="V34" s="825"/>
      <c r="W34" s="17"/>
      <c r="X34" s="821"/>
      <c r="Z34" s="787"/>
      <c r="AA34" s="822"/>
      <c r="AB34" s="715"/>
      <c r="AC34" s="715"/>
      <c r="AD34" s="715"/>
      <c r="AE34" s="675"/>
      <c r="AG34" s="826"/>
      <c r="AH34" s="715"/>
      <c r="AI34" s="715"/>
      <c r="AJ34" s="715"/>
      <c r="AK34" s="676"/>
      <c r="AL34" s="820"/>
      <c r="AM34" s="744"/>
      <c r="AN34" s="675"/>
    </row>
    <row r="35" ht="29" customHeight="1" spans="2:47">
      <c r="B35" s="777" t="s">
        <v>106</v>
      </c>
      <c r="C35" s="827">
        <v>0.0005</v>
      </c>
      <c r="D35" s="791">
        <f>Y78/1.09*C35</f>
        <v>11034.6651376147</v>
      </c>
      <c r="E35" s="791"/>
      <c r="F35" s="791">
        <f>U92</f>
        <v>379.780228016608</v>
      </c>
      <c r="G35" s="791"/>
      <c r="H35" s="791"/>
      <c r="I35" s="791"/>
      <c r="J35" s="791"/>
      <c r="K35" s="791"/>
      <c r="L35" s="810"/>
      <c r="M35" s="791"/>
      <c r="N35" s="791"/>
      <c r="O35" s="791"/>
      <c r="P35" s="800"/>
      <c r="Q35" s="791"/>
      <c r="R35" s="800"/>
      <c r="S35" s="805">
        <f>D35+F35+0.01</f>
        <v>11414.4553656313</v>
      </c>
      <c r="T35" s="821"/>
      <c r="U35" s="619"/>
      <c r="V35" s="619"/>
      <c r="W35" s="17"/>
      <c r="X35" s="821"/>
      <c r="Z35" s="787"/>
      <c r="AA35" s="822"/>
      <c r="AB35" s="715"/>
      <c r="AC35" s="715"/>
      <c r="AD35" s="715"/>
      <c r="AE35" s="675"/>
      <c r="AG35" s="826"/>
      <c r="AH35" s="715"/>
      <c r="AI35" s="715"/>
      <c r="AJ35" s="715"/>
      <c r="AK35" s="676"/>
      <c r="AL35" s="820"/>
      <c r="AM35" s="744"/>
      <c r="AN35" s="675"/>
    </row>
    <row r="36" ht="29" customHeight="1" spans="2:47">
      <c r="B36" s="777" t="s">
        <v>107</v>
      </c>
      <c r="C36" s="828"/>
      <c r="D36" s="792">
        <f>K71</f>
        <v>1336183.805</v>
      </c>
      <c r="E36" s="793"/>
      <c r="F36" s="791"/>
      <c r="G36" s="791"/>
      <c r="H36" s="791"/>
      <c r="I36" s="791"/>
      <c r="J36" s="791"/>
      <c r="K36" s="791"/>
      <c r="L36" s="810"/>
      <c r="M36" s="791"/>
      <c r="N36" s="791"/>
      <c r="O36" s="791"/>
      <c r="P36" s="800"/>
      <c r="Q36" s="791"/>
      <c r="R36" s="800"/>
      <c r="S36" s="805">
        <f>D36</f>
        <v>1336183.805</v>
      </c>
      <c r="T36" s="821"/>
      <c r="U36" s="619"/>
      <c r="V36" s="619"/>
      <c r="W36" s="17"/>
      <c r="X36" s="821"/>
      <c r="Z36" s="787"/>
      <c r="AA36" s="822"/>
      <c r="AB36" s="715"/>
      <c r="AC36" s="715"/>
      <c r="AD36" s="654"/>
      <c r="AE36" s="675"/>
      <c r="AG36" s="826"/>
      <c r="AH36" s="715"/>
      <c r="AI36" s="715"/>
      <c r="AJ36" s="715"/>
      <c r="AK36" s="676"/>
      <c r="AL36" s="820"/>
      <c r="AM36" s="744"/>
      <c r="AN36" s="675"/>
    </row>
    <row r="37" ht="29" customHeight="1" spans="2:47">
      <c r="B37" s="777" t="s">
        <v>108</v>
      </c>
      <c r="C37" s="829"/>
      <c r="D37" s="830">
        <v>36563.18</v>
      </c>
      <c r="E37" s="830"/>
      <c r="F37" s="831">
        <v>4133.77</v>
      </c>
      <c r="G37" s="831"/>
      <c r="H37" s="831"/>
      <c r="I37" s="831"/>
      <c r="J37" s="831"/>
      <c r="K37" s="831"/>
      <c r="L37" s="831"/>
      <c r="M37" s="831"/>
      <c r="N37" s="831"/>
      <c r="O37" s="831"/>
      <c r="P37" s="831"/>
      <c r="Q37" s="831"/>
      <c r="R37" s="831"/>
      <c r="S37" s="831">
        <f>D37+F37</f>
        <v>40696.95</v>
      </c>
      <c r="T37" s="821"/>
      <c r="U37" s="619"/>
      <c r="V37" s="619"/>
      <c r="W37" s="17"/>
      <c r="X37" s="821"/>
      <c r="Z37" s="787"/>
      <c r="AA37" s="822"/>
      <c r="AB37" s="715"/>
      <c r="AC37" s="715"/>
      <c r="AD37" s="715"/>
      <c r="AE37" s="675"/>
      <c r="AG37" s="823"/>
      <c r="AH37" s="715"/>
      <c r="AI37" s="715"/>
      <c r="AJ37" s="715"/>
      <c r="AK37" s="676"/>
      <c r="AL37" s="820"/>
      <c r="AM37" s="744"/>
      <c r="AN37" s="653"/>
    </row>
    <row r="38" customFormat="1" ht="29" customHeight="1" spans="2:47">
      <c r="B38" s="777"/>
      <c r="C38" s="829"/>
      <c r="D38" s="832">
        <f>AL9</f>
        <v>0</v>
      </c>
      <c r="E38" s="833"/>
      <c r="F38" s="831"/>
      <c r="G38" s="831"/>
      <c r="H38" s="831"/>
      <c r="I38" s="831"/>
      <c r="J38" s="831"/>
      <c r="K38" s="831"/>
      <c r="L38" s="831"/>
      <c r="M38" s="831"/>
      <c r="N38" s="831"/>
      <c r="O38" s="831"/>
      <c r="P38" s="831"/>
      <c r="Q38" s="834"/>
      <c r="R38" s="831"/>
      <c r="S38" s="831">
        <f>Q38</f>
        <v>0</v>
      </c>
      <c r="T38" s="821"/>
      <c r="U38" s="619"/>
      <c r="V38" s="619"/>
      <c r="W38" s="17"/>
      <c r="X38" s="821"/>
      <c r="Y38" s="17"/>
      <c r="Z38" s="787"/>
      <c r="AA38" s="822"/>
      <c r="AB38" s="715"/>
      <c r="AC38" s="715"/>
      <c r="AD38" s="715"/>
      <c r="AE38" s="675"/>
      <c r="AF38" s="17"/>
      <c r="AG38" s="715"/>
      <c r="AH38" s="715"/>
      <c r="AI38" s="715"/>
      <c r="AJ38" s="715"/>
      <c r="AK38" s="676"/>
      <c r="AL38" s="820"/>
      <c r="AM38" s="744"/>
      <c r="AN38" s="653"/>
      <c r="AO38" s="17"/>
      <c r="AP38" s="17"/>
      <c r="AQ38" s="17"/>
      <c r="AR38" s="17"/>
      <c r="AS38" s="17"/>
      <c r="AT38" s="17"/>
      <c r="AU38" s="17"/>
    </row>
    <row r="39" s="190" customFormat="1" ht="29" customHeight="1" spans="2:47">
      <c r="B39" s="835" t="s">
        <v>109</v>
      </c>
      <c r="C39" s="836" t="s">
        <v>110</v>
      </c>
      <c r="D39" s="830">
        <v>8157.23</v>
      </c>
      <c r="E39" s="830"/>
      <c r="F39" s="830"/>
      <c r="G39" s="830"/>
      <c r="H39" s="830"/>
      <c r="I39" s="830"/>
      <c r="J39" s="830"/>
      <c r="K39" s="830"/>
      <c r="L39" s="830"/>
      <c r="M39" s="830"/>
      <c r="N39" s="830"/>
      <c r="O39" s="805"/>
      <c r="P39" s="800"/>
      <c r="Q39" s="837"/>
      <c r="R39" s="838"/>
      <c r="S39" s="831">
        <f>D39</f>
        <v>8157.23</v>
      </c>
      <c r="T39" s="821"/>
      <c r="U39" s="460"/>
      <c r="V39" s="460"/>
      <c r="W39" s="460"/>
      <c r="X39" s="839"/>
      <c r="Y39" s="460"/>
      <c r="Z39" s="787"/>
      <c r="AA39" s="822"/>
      <c r="AB39" s="715"/>
      <c r="AC39" s="715"/>
      <c r="AD39" s="715"/>
      <c r="AE39" s="675"/>
      <c r="AF39" s="460"/>
      <c r="AG39" s="715"/>
      <c r="AH39" s="715"/>
      <c r="AI39" s="715"/>
      <c r="AJ39" s="715"/>
      <c r="AK39" s="676"/>
      <c r="AL39" s="820"/>
      <c r="AM39" s="744"/>
      <c r="AN39" s="675"/>
      <c r="AO39" s="460"/>
      <c r="AP39" s="460"/>
      <c r="AQ39" s="460"/>
      <c r="AR39" s="460"/>
      <c r="AS39" s="460"/>
      <c r="AT39" s="460"/>
      <c r="AU39" s="460"/>
    </row>
    <row r="40" s="190" customFormat="1" ht="29" customHeight="1" spans="2:47">
      <c r="B40" s="835"/>
      <c r="C40" s="836" t="s">
        <v>111</v>
      </c>
      <c r="D40" s="830">
        <v>0</v>
      </c>
      <c r="E40" s="830"/>
      <c r="F40" s="830"/>
      <c r="G40" s="830"/>
      <c r="H40" s="830"/>
      <c r="I40" s="830"/>
      <c r="J40" s="830"/>
      <c r="K40" s="830"/>
      <c r="L40" s="830"/>
      <c r="M40" s="830"/>
      <c r="N40" s="830"/>
      <c r="O40" s="805"/>
      <c r="P40" s="800"/>
      <c r="Q40" s="837"/>
      <c r="R40" s="838"/>
      <c r="S40" s="805">
        <f>D40+F40+H40+J40+M40+O40</f>
        <v>0</v>
      </c>
      <c r="T40" s="839"/>
      <c r="U40" s="460"/>
      <c r="V40" s="460"/>
      <c r="W40" s="460"/>
      <c r="X40" s="839"/>
      <c r="Y40" s="460"/>
      <c r="Z40" s="787"/>
      <c r="AA40" s="822"/>
      <c r="AB40" s="715"/>
      <c r="AC40" s="715"/>
      <c r="AD40" s="715"/>
      <c r="AE40" s="653"/>
      <c r="AF40" s="460"/>
      <c r="AG40" s="715"/>
      <c r="AH40" s="715"/>
      <c r="AI40" s="715"/>
      <c r="AJ40" s="715"/>
      <c r="AK40" s="676"/>
      <c r="AL40" s="820"/>
      <c r="AM40" s="744"/>
      <c r="AN40" s="675"/>
      <c r="AO40" s="460"/>
      <c r="AP40" s="460"/>
      <c r="AQ40" s="460"/>
      <c r="AR40" s="460"/>
      <c r="AS40" s="460"/>
      <c r="AT40" s="460"/>
      <c r="AU40" s="460"/>
    </row>
    <row r="41" s="190" customFormat="1" ht="29" customHeight="1" spans="2:47">
      <c r="B41" s="835" t="s">
        <v>112</v>
      </c>
      <c r="C41" s="803">
        <v>0.09</v>
      </c>
      <c r="D41" s="832">
        <v>0</v>
      </c>
      <c r="E41" s="833"/>
      <c r="F41" s="840"/>
      <c r="G41" s="841"/>
      <c r="H41" s="830"/>
      <c r="I41" s="830"/>
      <c r="J41" s="840"/>
      <c r="K41" s="841"/>
      <c r="L41" s="830"/>
      <c r="M41" s="830"/>
      <c r="N41" s="830"/>
      <c r="O41" s="805"/>
      <c r="P41" s="800"/>
      <c r="Q41" s="837"/>
      <c r="R41" s="838"/>
      <c r="S41" s="831">
        <f>D41</f>
        <v>0</v>
      </c>
      <c r="T41" s="839"/>
      <c r="U41" s="460"/>
      <c r="V41" s="460"/>
      <c r="W41" s="460"/>
      <c r="X41" s="839"/>
      <c r="Y41" s="460"/>
      <c r="Z41" s="787"/>
      <c r="AA41" s="822"/>
      <c r="AB41" s="715"/>
      <c r="AC41" s="715"/>
      <c r="AD41" s="715"/>
      <c r="AE41" s="653"/>
      <c r="AF41" s="460"/>
      <c r="AG41" s="715"/>
      <c r="AH41" s="715"/>
      <c r="AI41" s="715"/>
      <c r="AJ41" s="715"/>
      <c r="AK41" s="676"/>
      <c r="AL41" s="820"/>
      <c r="AM41" s="744"/>
      <c r="AN41" s="675"/>
      <c r="AO41" s="460"/>
      <c r="AP41" s="460"/>
      <c r="AQ41" s="460"/>
      <c r="AR41" s="460"/>
      <c r="AS41" s="460"/>
      <c r="AT41" s="460"/>
      <c r="AU41" s="460"/>
    </row>
    <row r="42" s="190" customFormat="1" ht="29" customHeight="1" spans="2:47">
      <c r="B42" s="777" t="s">
        <v>102</v>
      </c>
      <c r="C42" s="803">
        <v>0.07</v>
      </c>
      <c r="D42" s="832">
        <f>S41</f>
        <v>0</v>
      </c>
      <c r="E42" s="842"/>
      <c r="F42" s="842"/>
      <c r="G42" s="842"/>
      <c r="H42" s="842"/>
      <c r="I42" s="842"/>
      <c r="J42" s="842"/>
      <c r="K42" s="842"/>
      <c r="L42" s="842"/>
      <c r="M42" s="842"/>
      <c r="N42" s="842"/>
      <c r="O42" s="842"/>
      <c r="P42" s="842"/>
      <c r="Q42" s="842"/>
      <c r="R42" s="833"/>
      <c r="S42" s="805">
        <f>ROUND(D42*C42,2)</f>
        <v>0</v>
      </c>
      <c r="T42" s="839"/>
      <c r="U42" s="460"/>
      <c r="V42" s="460"/>
      <c r="W42" s="460"/>
      <c r="X42" s="839"/>
      <c r="Y42" s="460"/>
      <c r="Z42" s="787"/>
      <c r="AA42" s="822"/>
      <c r="AB42" s="715"/>
      <c r="AC42" s="715"/>
      <c r="AD42" s="715"/>
      <c r="AE42" s="653"/>
      <c r="AF42" s="460"/>
      <c r="AG42" s="715"/>
      <c r="AH42" s="715"/>
      <c r="AI42" s="715"/>
      <c r="AJ42" s="715"/>
      <c r="AK42" s="676"/>
      <c r="AL42" s="820"/>
      <c r="AM42" s="744"/>
      <c r="AN42" s="675"/>
      <c r="AO42" s="460"/>
      <c r="AP42" s="460"/>
      <c r="AQ42" s="460"/>
      <c r="AR42" s="460"/>
      <c r="AS42" s="460"/>
      <c r="AT42" s="460"/>
      <c r="AU42" s="460"/>
    </row>
    <row r="43" s="190" customFormat="1" ht="29" customHeight="1" spans="2:47">
      <c r="B43" s="777" t="s">
        <v>103</v>
      </c>
      <c r="C43" s="803">
        <v>0.03</v>
      </c>
      <c r="D43" s="832">
        <f>S41</f>
        <v>0</v>
      </c>
      <c r="E43" s="842"/>
      <c r="F43" s="842"/>
      <c r="G43" s="842"/>
      <c r="H43" s="842"/>
      <c r="I43" s="842"/>
      <c r="J43" s="842"/>
      <c r="K43" s="842"/>
      <c r="L43" s="842"/>
      <c r="M43" s="842"/>
      <c r="N43" s="842"/>
      <c r="O43" s="842"/>
      <c r="P43" s="842"/>
      <c r="Q43" s="842"/>
      <c r="R43" s="833"/>
      <c r="S43" s="805">
        <f>ROUND(D43*C43,2)</f>
        <v>0</v>
      </c>
      <c r="T43" s="839"/>
      <c r="U43" s="460"/>
      <c r="V43" s="460"/>
      <c r="W43" s="460"/>
      <c r="X43" s="839"/>
      <c r="Y43" s="460"/>
      <c r="Z43" s="787"/>
      <c r="AA43" s="822"/>
      <c r="AB43" s="715"/>
      <c r="AC43" s="715"/>
      <c r="AD43" s="715"/>
      <c r="AE43" s="653"/>
      <c r="AF43" s="460"/>
      <c r="AG43" s="715"/>
      <c r="AH43" s="715"/>
      <c r="AI43" s="715"/>
      <c r="AJ43" s="715"/>
      <c r="AK43" s="676"/>
      <c r="AL43" s="820"/>
      <c r="AM43" s="744"/>
      <c r="AN43" s="675"/>
      <c r="AO43" s="460"/>
      <c r="AP43" s="460"/>
      <c r="AQ43" s="460"/>
      <c r="AR43" s="460"/>
      <c r="AS43" s="460"/>
      <c r="AT43" s="460"/>
      <c r="AU43" s="460"/>
    </row>
    <row r="44" s="190" customFormat="1" ht="29" customHeight="1" spans="2:47">
      <c r="B44" s="777" t="s">
        <v>104</v>
      </c>
      <c r="C44" s="803">
        <v>0.02</v>
      </c>
      <c r="D44" s="832">
        <f>S41</f>
        <v>0</v>
      </c>
      <c r="E44" s="842"/>
      <c r="F44" s="842"/>
      <c r="G44" s="842"/>
      <c r="H44" s="842"/>
      <c r="I44" s="842"/>
      <c r="J44" s="842"/>
      <c r="K44" s="842"/>
      <c r="L44" s="842"/>
      <c r="M44" s="842"/>
      <c r="N44" s="842"/>
      <c r="O44" s="842"/>
      <c r="P44" s="842"/>
      <c r="Q44" s="842"/>
      <c r="R44" s="833"/>
      <c r="S44" s="805">
        <f>ROUND(D44*C44,2)</f>
        <v>0</v>
      </c>
      <c r="T44" s="839"/>
      <c r="U44" s="460"/>
      <c r="V44" s="460"/>
      <c r="W44" s="460"/>
      <c r="X44" s="839"/>
      <c r="Y44" s="460"/>
      <c r="Z44" s="787"/>
      <c r="AA44" s="822"/>
      <c r="AB44" s="715"/>
      <c r="AC44" s="715"/>
      <c r="AD44" s="715"/>
      <c r="AE44" s="653"/>
      <c r="AF44" s="460"/>
      <c r="AG44" s="715"/>
      <c r="AH44" s="715"/>
      <c r="AI44" s="715"/>
      <c r="AJ44" s="715"/>
      <c r="AK44" s="676"/>
      <c r="AL44" s="820"/>
      <c r="AM44" s="744"/>
      <c r="AN44" s="675"/>
      <c r="AO44" s="460"/>
      <c r="AP44" s="460"/>
      <c r="AQ44" s="460"/>
      <c r="AR44" s="460"/>
      <c r="AS44" s="460"/>
      <c r="AT44" s="460"/>
      <c r="AU44" s="460"/>
    </row>
    <row r="45" s="190" customFormat="1" ht="29" customHeight="1" spans="2:47">
      <c r="B45" s="777" t="s">
        <v>113</v>
      </c>
      <c r="C45" s="803">
        <v>11</v>
      </c>
      <c r="D45" s="843"/>
      <c r="E45" s="844"/>
      <c r="F45" s="844"/>
      <c r="G45" s="844"/>
      <c r="H45" s="844"/>
      <c r="I45" s="844"/>
      <c r="J45" s="844"/>
      <c r="K45" s="844"/>
      <c r="L45" s="844"/>
      <c r="M45" s="844"/>
      <c r="N45" s="844"/>
      <c r="O45" s="844"/>
      <c r="P45" s="844"/>
      <c r="Q45" s="844"/>
      <c r="R45" s="844"/>
      <c r="S45" s="805"/>
      <c r="T45" s="821"/>
      <c r="U45" s="460"/>
      <c r="V45" s="460"/>
      <c r="W45" s="460"/>
      <c r="X45" s="839"/>
      <c r="Y45" s="460"/>
      <c r="Z45" s="787"/>
      <c r="AA45" s="822"/>
      <c r="AB45" s="715"/>
      <c r="AC45" s="715"/>
      <c r="AD45" s="715"/>
      <c r="AE45" s="653"/>
      <c r="AF45" s="460"/>
      <c r="AG45" s="715"/>
      <c r="AH45" s="715"/>
      <c r="AI45" s="715"/>
      <c r="AJ45" s="715"/>
      <c r="AK45" s="676"/>
      <c r="AL45" s="820"/>
      <c r="AM45" s="744"/>
      <c r="AN45" s="675"/>
      <c r="AO45" s="460"/>
      <c r="AP45" s="460"/>
      <c r="AQ45" s="460"/>
      <c r="AR45" s="460"/>
      <c r="AS45" s="460"/>
      <c r="AT45" s="460"/>
      <c r="AU45" s="460"/>
    </row>
    <row r="46" ht="29" customHeight="1" spans="2:47">
      <c r="B46" s="777" t="s">
        <v>114</v>
      </c>
      <c r="C46" s="843">
        <f>G53</f>
        <v>10750.5768</v>
      </c>
      <c r="D46" s="844"/>
      <c r="E46" s="844"/>
      <c r="F46" s="844"/>
      <c r="G46" s="844"/>
      <c r="H46" s="844"/>
      <c r="I46" s="844"/>
      <c r="J46" s="844"/>
      <c r="K46" s="844"/>
      <c r="L46" s="844"/>
      <c r="M46" s="844"/>
      <c r="N46" s="844"/>
      <c r="O46" s="844"/>
      <c r="P46" s="844"/>
      <c r="Q46" s="844"/>
      <c r="R46" s="845"/>
      <c r="S46" s="805">
        <f>C46</f>
        <v>10750.5768</v>
      </c>
      <c r="T46" s="821"/>
      <c r="U46" s="619"/>
      <c r="V46" s="619"/>
      <c r="W46" s="17"/>
      <c r="X46" s="821"/>
      <c r="Z46" s="787"/>
      <c r="AA46" s="822"/>
      <c r="AB46" s="715"/>
      <c r="AC46" s="715"/>
      <c r="AD46" s="654"/>
      <c r="AE46" s="675"/>
      <c r="AG46" s="715"/>
      <c r="AH46" s="715"/>
      <c r="AI46" s="715"/>
      <c r="AJ46" s="715"/>
      <c r="AK46" s="676"/>
      <c r="AL46" s="820"/>
      <c r="AM46" s="744"/>
      <c r="AN46" s="675"/>
    </row>
    <row r="47" ht="36" customHeight="1" spans="2:47">
      <c r="B47" s="846" t="s">
        <v>10</v>
      </c>
      <c r="C47" s="847"/>
      <c r="D47" s="847"/>
      <c r="E47" s="847"/>
      <c r="F47" s="847"/>
      <c r="G47" s="847"/>
      <c r="H47" s="847"/>
      <c r="I47" s="847"/>
      <c r="J47" s="847"/>
      <c r="K47" s="847"/>
      <c r="L47" s="847"/>
      <c r="M47" s="847"/>
      <c r="N47" s="847"/>
      <c r="O47" s="847"/>
      <c r="P47" s="847"/>
      <c r="Q47" s="847"/>
      <c r="R47" s="848"/>
      <c r="S47" s="838">
        <f>SUM(S29:S46)</f>
        <v>1420626.72716563</v>
      </c>
      <c r="T47" s="849"/>
      <c r="U47" s="850"/>
      <c r="V47" s="818"/>
      <c r="W47" s="17"/>
      <c r="X47" s="821"/>
      <c r="Z47" s="787"/>
      <c r="AA47" s="822"/>
      <c r="AB47" s="715"/>
      <c r="AC47" s="715"/>
      <c r="AD47" s="715"/>
      <c r="AE47" s="675"/>
      <c r="AG47" s="715"/>
      <c r="AH47" s="715"/>
      <c r="AI47" s="715"/>
      <c r="AJ47" s="715"/>
      <c r="AK47" s="676"/>
      <c r="AL47" s="820"/>
      <c r="AM47" s="744"/>
      <c r="AN47" s="675"/>
      <c r="AO47" s="820"/>
    </row>
    <row r="48" ht="128" customHeight="1" spans="2:47">
      <c r="B48" s="851" t="s">
        <v>115</v>
      </c>
      <c r="C48" s="851"/>
      <c r="D48" s="851"/>
      <c r="E48" s="851"/>
      <c r="F48" s="851"/>
      <c r="G48" s="851"/>
      <c r="H48" s="851"/>
      <c r="I48" s="851"/>
      <c r="J48" s="851"/>
      <c r="K48" s="851"/>
      <c r="L48" s="851"/>
      <c r="M48" s="851"/>
      <c r="N48" s="851"/>
      <c r="O48" s="851"/>
      <c r="P48" s="851"/>
      <c r="Q48" s="851"/>
      <c r="R48" s="851"/>
      <c r="S48" s="851"/>
      <c r="T48" s="821"/>
      <c r="U48" s="852"/>
      <c r="V48" s="818"/>
      <c r="W48" s="17"/>
      <c r="X48" s="821"/>
      <c r="AA48" s="822"/>
      <c r="AB48" s="715"/>
      <c r="AC48" s="715"/>
      <c r="AD48" s="715"/>
      <c r="AE48" s="853"/>
      <c r="AG48" s="715"/>
      <c r="AH48" s="715"/>
      <c r="AI48" s="715"/>
      <c r="AJ48" s="715"/>
      <c r="AK48" s="676"/>
      <c r="AL48" s="820"/>
      <c r="AM48" s="854"/>
      <c r="AN48" s="853"/>
    </row>
    <row r="49" s="581" customFormat="1" ht="25" customHeight="1" spans="1:47">
      <c r="B49" s="855"/>
      <c r="C49" s="855"/>
      <c r="D49" s="855"/>
      <c r="E49" s="856"/>
      <c r="F49" s="856"/>
      <c r="G49" s="855"/>
      <c r="H49" s="855"/>
      <c r="I49" s="855"/>
      <c r="J49" s="855"/>
      <c r="K49" s="855"/>
      <c r="L49" s="857"/>
      <c r="M49" s="857"/>
      <c r="N49" s="857"/>
      <c r="O49" s="857"/>
      <c r="P49" s="857"/>
      <c r="Q49" s="855"/>
      <c r="R49" s="855"/>
      <c r="S49" s="855"/>
      <c r="T49" s="821"/>
      <c r="U49" s="852"/>
      <c r="V49" s="818"/>
      <c r="W49" s="17"/>
      <c r="X49" s="821"/>
      <c r="Y49" s="17"/>
      <c r="Z49" s="17"/>
      <c r="AA49" s="822"/>
      <c r="AB49" s="715"/>
      <c r="AC49" s="715"/>
      <c r="AD49" s="715"/>
      <c r="AE49" s="653"/>
      <c r="AF49" s="17"/>
      <c r="AG49" s="715"/>
      <c r="AH49" s="715"/>
      <c r="AI49" s="715"/>
      <c r="AJ49" s="715"/>
      <c r="AK49" s="676"/>
      <c r="AL49" s="858"/>
      <c r="AM49" s="675"/>
      <c r="AN49" s="675"/>
      <c r="AO49" s="17"/>
      <c r="AP49" s="17"/>
      <c r="AQ49" s="17"/>
      <c r="AR49" s="17"/>
      <c r="AS49" s="17"/>
      <c r="AT49" s="17"/>
      <c r="AU49" s="17"/>
    </row>
    <row r="50" s="581" customFormat="1" ht="25" customHeight="1" spans="1:47">
      <c r="D50" s="859"/>
      <c r="E50" s="859"/>
      <c r="F50" s="859"/>
      <c r="G50" s="860"/>
      <c r="H50" s="859"/>
      <c r="J50" s="638"/>
      <c r="K50" s="638"/>
      <c r="L50" s="857"/>
      <c r="M50" s="619"/>
      <c r="N50" s="619"/>
      <c r="O50" s="619"/>
      <c r="P50" s="619"/>
      <c r="Q50" s="855"/>
      <c r="R50" s="855"/>
      <c r="S50" s="855"/>
      <c r="T50" s="821"/>
      <c r="U50" s="852"/>
      <c r="V50" s="818"/>
      <c r="W50" s="17"/>
      <c r="X50" s="861"/>
      <c r="Y50" s="862"/>
      <c r="Z50" s="862"/>
      <c r="AA50" s="822"/>
      <c r="AB50" s="715"/>
      <c r="AC50" s="715"/>
      <c r="AD50" s="715"/>
      <c r="AE50" s="863"/>
      <c r="AF50" s="864"/>
      <c r="AG50" s="715"/>
      <c r="AH50" s="715"/>
      <c r="AI50" s="715"/>
      <c r="AJ50" s="715"/>
      <c r="AK50" s="676"/>
      <c r="AL50" s="858"/>
      <c r="AM50" s="675"/>
      <c r="AN50" s="675"/>
      <c r="AO50" s="17"/>
      <c r="AP50" s="17"/>
      <c r="AQ50" s="17"/>
      <c r="AR50" s="17"/>
      <c r="AS50" s="17"/>
      <c r="AT50" s="17"/>
      <c r="AU50" s="17"/>
    </row>
    <row r="51" s="581" customFormat="1" ht="25" customHeight="1" spans="1:47">
      <c r="A51" s="859"/>
      <c r="B51" s="865"/>
      <c r="C51" s="855"/>
      <c r="D51" s="866"/>
      <c r="E51" s="865"/>
      <c r="F51" s="855"/>
      <c r="G51" s="855"/>
      <c r="H51" s="855"/>
      <c r="I51" s="855"/>
      <c r="J51" s="638"/>
      <c r="K51" s="638"/>
      <c r="L51" s="857"/>
      <c r="M51" s="619"/>
      <c r="N51" s="619"/>
      <c r="O51" s="619"/>
      <c r="P51" s="619"/>
      <c r="Q51" s="855"/>
      <c r="R51" s="855"/>
      <c r="S51" s="581"/>
      <c r="U51" s="852"/>
      <c r="V51" s="818"/>
      <c r="W51" s="17"/>
      <c r="X51" s="867"/>
      <c r="Y51" s="868"/>
      <c r="Z51" s="868"/>
      <c r="AA51" s="822"/>
      <c r="AB51" s="715"/>
      <c r="AC51" s="715"/>
      <c r="AD51" s="715"/>
      <c r="AE51" s="863"/>
      <c r="AF51" s="864"/>
      <c r="AG51" s="715"/>
      <c r="AH51" s="715"/>
      <c r="AI51" s="715"/>
      <c r="AJ51" s="715"/>
      <c r="AK51" s="676"/>
      <c r="AL51" s="820"/>
      <c r="AM51" s="675"/>
      <c r="AN51" s="675"/>
      <c r="AO51" s="17"/>
      <c r="AP51" s="17"/>
      <c r="AQ51" s="17"/>
      <c r="AR51" s="17"/>
      <c r="AS51" s="17"/>
      <c r="AT51" s="17"/>
      <c r="AU51" s="17"/>
    </row>
    <row r="52" s="581" customFormat="1" ht="28" customHeight="1" spans="1:47">
      <c r="A52" s="41"/>
      <c r="B52" s="869" t="s">
        <v>116</v>
      </c>
      <c r="C52" s="869" t="s">
        <v>117</v>
      </c>
      <c r="D52" s="869" t="s">
        <v>118</v>
      </c>
      <c r="E52" s="870" t="s">
        <v>119</v>
      </c>
      <c r="F52" s="870" t="s">
        <v>120</v>
      </c>
      <c r="G52" s="870" t="s">
        <v>121</v>
      </c>
      <c r="H52" s="869" t="s">
        <v>49</v>
      </c>
      <c r="I52" s="855"/>
      <c r="J52" s="620"/>
      <c r="K52" s="871"/>
      <c r="L52" s="872"/>
      <c r="M52" s="873"/>
      <c r="N52" s="874"/>
      <c r="O52" s="875">
        <v>46188</v>
      </c>
      <c r="P52" s="876" t="s">
        <v>122</v>
      </c>
      <c r="Q52" s="877" t="s">
        <v>123</v>
      </c>
      <c r="R52" s="1005" t="s">
        <v>124</v>
      </c>
      <c r="S52" s="878" t="s">
        <v>125</v>
      </c>
      <c r="T52" s="878"/>
      <c r="U52" s="879" t="s">
        <v>126</v>
      </c>
      <c r="V52" s="877">
        <v>107.42</v>
      </c>
      <c r="W52" s="880">
        <v>107.42</v>
      </c>
      <c r="X52" s="880">
        <v>7354.31</v>
      </c>
      <c r="Y52" s="881">
        <v>790000</v>
      </c>
      <c r="Z52" s="868"/>
      <c r="AA52" s="822"/>
      <c r="AB52" s="715"/>
      <c r="AC52" s="715"/>
      <c r="AD52" s="715"/>
      <c r="AE52" s="853"/>
      <c r="AF52" s="864"/>
      <c r="AG52" s="715"/>
      <c r="AH52" s="715"/>
      <c r="AI52" s="715"/>
      <c r="AJ52" s="715"/>
      <c r="AK52" s="676"/>
      <c r="AL52" s="820"/>
      <c r="AM52" s="675"/>
      <c r="AN52" s="675"/>
      <c r="AO52" s="17"/>
      <c r="AP52" s="17"/>
      <c r="AQ52" s="17"/>
      <c r="AR52" s="17"/>
      <c r="AS52" s="17"/>
      <c r="AT52" s="17"/>
      <c r="AU52" s="17"/>
    </row>
    <row r="53" s="581" customFormat="1" ht="25" customHeight="1" spans="1:47">
      <c r="A53" s="41"/>
      <c r="B53" s="869" t="s">
        <v>114</v>
      </c>
      <c r="C53" s="882" t="s">
        <v>127</v>
      </c>
      <c r="D53" s="883"/>
      <c r="E53" s="869">
        <f>(-6974.19)+183272.88+144291+79528.81+137410.34</f>
        <v>537528.84</v>
      </c>
      <c r="F53" s="884">
        <v>0.02</v>
      </c>
      <c r="G53" s="885">
        <f>E53*F53</f>
        <v>10750.5768</v>
      </c>
      <c r="H53" s="869"/>
      <c r="I53" s="855"/>
      <c r="J53" s="620"/>
      <c r="K53" s="648"/>
      <c r="L53" s="857"/>
      <c r="M53" s="619"/>
      <c r="N53" s="648"/>
      <c r="O53" s="875">
        <v>46155</v>
      </c>
      <c r="P53" s="877">
        <v>20260002355</v>
      </c>
      <c r="Q53" s="877" t="s">
        <v>128</v>
      </c>
      <c r="R53" s="886" t="s">
        <v>129</v>
      </c>
      <c r="S53" s="878" t="s">
        <v>130</v>
      </c>
      <c r="T53" s="878"/>
      <c r="U53" s="879" t="s">
        <v>131</v>
      </c>
      <c r="V53" s="877">
        <v>107.77</v>
      </c>
      <c r="W53" s="880">
        <v>107.77</v>
      </c>
      <c r="X53" s="880"/>
      <c r="Y53" s="880">
        <v>510000</v>
      </c>
      <c r="Z53" s="868"/>
      <c r="AA53" s="822"/>
      <c r="AB53" s="715"/>
      <c r="AC53" s="715"/>
      <c r="AD53" s="654"/>
      <c r="AE53" s="653"/>
      <c r="AF53" s="864"/>
      <c r="AG53" s="715"/>
      <c r="AH53" s="715"/>
      <c r="AI53" s="715"/>
      <c r="AJ53" s="715"/>
      <c r="AK53" s="676"/>
      <c r="AL53" s="858"/>
      <c r="AM53" s="675"/>
      <c r="AN53" s="675"/>
      <c r="AO53" s="17"/>
      <c r="AP53" s="17"/>
      <c r="AQ53" s="17"/>
      <c r="AR53" s="17"/>
      <c r="AS53" s="17"/>
      <c r="AT53" s="17"/>
      <c r="AU53" s="17"/>
    </row>
    <row r="54" s="581" customFormat="1" ht="25" customHeight="1" spans="1:47">
      <c r="B54" s="855"/>
      <c r="C54" s="855"/>
      <c r="D54" s="855"/>
      <c r="E54" s="855">
        <f>E53+[4]汇总表!$G$56</f>
        <v>1185209.03</v>
      </c>
      <c r="F54" s="855"/>
      <c r="G54" s="855"/>
      <c r="H54" s="855"/>
      <c r="I54" s="855"/>
      <c r="J54" s="619"/>
      <c r="K54" s="874"/>
      <c r="L54" s="857"/>
      <c r="N54" s="874"/>
      <c r="O54" s="887">
        <v>46115</v>
      </c>
      <c r="P54" s="877">
        <v>20260001531</v>
      </c>
      <c r="Q54" s="877" t="s">
        <v>132</v>
      </c>
      <c r="R54" s="1005" t="s">
        <v>133</v>
      </c>
      <c r="S54" s="877" t="s">
        <v>134</v>
      </c>
      <c r="T54" s="877"/>
      <c r="U54" s="877" t="s">
        <v>135</v>
      </c>
      <c r="V54" s="877">
        <v>117.97</v>
      </c>
      <c r="W54" s="880">
        <v>117.97</v>
      </c>
      <c r="X54" s="880"/>
      <c r="Y54" s="880">
        <v>884461</v>
      </c>
      <c r="Z54" s="868"/>
      <c r="AA54" s="822"/>
      <c r="AB54" s="715"/>
      <c r="AC54" s="715"/>
      <c r="AD54" s="654"/>
      <c r="AE54" s="675"/>
      <c r="AF54" s="864"/>
      <c r="AG54" s="715"/>
      <c r="AH54" s="715"/>
      <c r="AI54" s="715"/>
      <c r="AJ54" s="715"/>
      <c r="AK54" s="676"/>
      <c r="AL54" s="858"/>
      <c r="AM54" s="675"/>
      <c r="AN54" s="675"/>
      <c r="AO54" s="17"/>
      <c r="AP54" s="17"/>
      <c r="AQ54" s="17"/>
      <c r="AR54" s="17"/>
      <c r="AS54" s="17"/>
      <c r="AT54" s="17"/>
      <c r="AU54" s="17"/>
    </row>
    <row r="55" s="581" customFormat="1" ht="25" customHeight="1" spans="1:47">
      <c r="B55" s="855"/>
      <c r="C55" s="855"/>
      <c r="D55" s="855"/>
      <c r="E55" s="855"/>
      <c r="F55" s="855"/>
      <c r="G55" s="619"/>
      <c r="H55" s="865"/>
      <c r="I55" s="855"/>
      <c r="J55" s="888" t="s">
        <v>136</v>
      </c>
      <c r="K55" s="889"/>
      <c r="L55" s="857"/>
      <c r="M55" s="619"/>
      <c r="N55" s="874"/>
      <c r="O55" s="890">
        <v>46114</v>
      </c>
      <c r="P55" s="877">
        <v>20260001499</v>
      </c>
      <c r="Q55" s="877"/>
      <c r="R55" s="1005" t="s">
        <v>137</v>
      </c>
      <c r="S55" s="877" t="s">
        <v>138</v>
      </c>
      <c r="T55" s="1005" t="s">
        <v>139</v>
      </c>
      <c r="U55" s="891" t="s">
        <v>140</v>
      </c>
      <c r="V55" s="892">
        <v>117.84</v>
      </c>
      <c r="W55" s="880">
        <v>117.84</v>
      </c>
      <c r="X55" s="880">
        <v>4900</v>
      </c>
      <c r="Y55" s="880">
        <v>577416</v>
      </c>
      <c r="Z55" s="17"/>
      <c r="AA55" s="822"/>
      <c r="AB55" s="715"/>
      <c r="AC55" s="715"/>
      <c r="AD55" s="654"/>
      <c r="AE55" s="675"/>
      <c r="AF55" s="17"/>
      <c r="AG55" s="715"/>
      <c r="AH55" s="715"/>
      <c r="AI55" s="715"/>
      <c r="AJ55" s="715"/>
      <c r="AK55" s="676"/>
      <c r="AL55" s="675"/>
      <c r="AM55" s="675"/>
      <c r="AN55" s="675"/>
      <c r="AO55" s="17"/>
      <c r="AP55" s="17"/>
      <c r="AQ55" s="17"/>
      <c r="AR55" s="17"/>
      <c r="AS55" s="17"/>
      <c r="AT55" s="17"/>
      <c r="AU55" s="17"/>
    </row>
    <row r="56" s="581" customFormat="1" ht="25" customHeight="1" spans="1:47">
      <c r="B56" s="855"/>
      <c r="C56" s="855"/>
      <c r="D56" s="855"/>
      <c r="E56" s="855"/>
      <c r="F56" s="855"/>
      <c r="G56" s="865"/>
      <c r="H56" s="865"/>
      <c r="I56" s="855"/>
      <c r="J56" s="893"/>
      <c r="K56" s="894"/>
      <c r="L56" s="857"/>
      <c r="M56" s="619"/>
      <c r="N56" s="874"/>
      <c r="O56" s="895">
        <v>46190</v>
      </c>
      <c r="P56" s="21" t="s">
        <v>141</v>
      </c>
      <c r="Q56" s="877"/>
      <c r="R56" s="1005" t="s">
        <v>142</v>
      </c>
      <c r="S56" s="877" t="s">
        <v>143</v>
      </c>
      <c r="T56" s="1005" t="s">
        <v>144</v>
      </c>
      <c r="U56" s="896" t="s">
        <v>145</v>
      </c>
      <c r="V56" s="892">
        <v>117.84</v>
      </c>
      <c r="W56" s="880">
        <v>117.84</v>
      </c>
      <c r="X56" s="880">
        <v>6000</v>
      </c>
      <c r="Y56" s="880">
        <v>707040</v>
      </c>
      <c r="Z56" s="17"/>
      <c r="AA56" s="822"/>
      <c r="AB56" s="715"/>
      <c r="AC56" s="715"/>
      <c r="AD56" s="654"/>
      <c r="AE56" s="675"/>
      <c r="AF56" s="17"/>
      <c r="AG56" s="715"/>
      <c r="AH56" s="715"/>
      <c r="AI56" s="715"/>
      <c r="AJ56" s="715"/>
      <c r="AK56" s="676"/>
      <c r="AL56" s="675"/>
      <c r="AM56" s="675"/>
      <c r="AN56" s="675"/>
      <c r="AO56" s="17"/>
      <c r="AP56" s="17"/>
      <c r="AQ56" s="17"/>
      <c r="AR56" s="17"/>
      <c r="AS56" s="17"/>
      <c r="AT56" s="17"/>
      <c r="AU56" s="17"/>
    </row>
    <row r="57" s="581" customFormat="1" ht="34" customHeight="1" spans="1:47">
      <c r="B57" s="897"/>
      <c r="C57" s="897"/>
      <c r="D57" s="897"/>
      <c r="E57" s="898"/>
      <c r="F57" s="898"/>
      <c r="G57" s="898"/>
      <c r="H57" s="898"/>
      <c r="I57" s="855"/>
      <c r="J57" s="899" t="s">
        <v>146</v>
      </c>
      <c r="K57" s="894">
        <v>-12076437.32</v>
      </c>
      <c r="L57" s="857"/>
      <c r="M57" s="619"/>
      <c r="N57" s="874"/>
      <c r="O57" s="875">
        <v>46143</v>
      </c>
      <c r="P57" s="877">
        <v>20260001848</v>
      </c>
      <c r="Q57" s="877"/>
      <c r="R57" s="877" t="s">
        <v>147</v>
      </c>
      <c r="S57" s="877" t="s">
        <v>148</v>
      </c>
      <c r="T57" s="1005" t="s">
        <v>149</v>
      </c>
      <c r="U57" s="900" t="s">
        <v>150</v>
      </c>
      <c r="V57" s="901">
        <v>126.91</v>
      </c>
      <c r="W57" s="880">
        <v>126.91</v>
      </c>
      <c r="X57" s="880">
        <v>4800</v>
      </c>
      <c r="Y57" s="880">
        <v>609168</v>
      </c>
      <c r="AA57" s="902"/>
      <c r="AB57" s="903"/>
      <c r="AC57" s="904"/>
      <c r="AD57" s="905"/>
      <c r="AE57" s="675"/>
      <c r="AF57" s="17"/>
      <c r="AG57" s="826"/>
      <c r="AH57" s="715"/>
      <c r="AI57" s="715"/>
      <c r="AJ57" s="715"/>
      <c r="AK57" s="906"/>
      <c r="AL57" s="675"/>
      <c r="AM57" s="675"/>
      <c r="AN57" s="675"/>
      <c r="AO57" s="17"/>
      <c r="AP57" s="17"/>
      <c r="AQ57" s="17"/>
      <c r="AR57" s="17"/>
      <c r="AS57" s="17"/>
      <c r="AT57" s="17"/>
      <c r="AU57" s="17"/>
    </row>
    <row r="58" customHeight="1" spans="1:47">
      <c r="A58" s="897"/>
      <c r="B58" s="897"/>
      <c r="C58" s="897"/>
      <c r="D58" s="897"/>
      <c r="E58" s="898"/>
      <c r="F58" s="898"/>
      <c r="G58" s="898"/>
      <c r="H58" s="898"/>
      <c r="I58" s="581"/>
      <c r="J58" s="907" t="s">
        <v>151</v>
      </c>
      <c r="K58" s="908">
        <v>131792945.88</v>
      </c>
      <c r="L58" s="909"/>
      <c r="M58" s="910"/>
      <c r="N58" s="874"/>
      <c r="O58" s="875">
        <v>46143</v>
      </c>
      <c r="P58" s="877">
        <v>20260001941</v>
      </c>
      <c r="Q58" s="877"/>
      <c r="R58" s="1005" t="s">
        <v>152</v>
      </c>
      <c r="S58" s="877" t="s">
        <v>153</v>
      </c>
      <c r="T58" s="1005" t="s">
        <v>154</v>
      </c>
      <c r="U58" s="911" t="s">
        <v>155</v>
      </c>
      <c r="V58" s="901">
        <v>126.5</v>
      </c>
      <c r="W58" s="880">
        <v>126.5</v>
      </c>
      <c r="X58" s="880">
        <v>5200</v>
      </c>
      <c r="Y58" s="880">
        <v>657800</v>
      </c>
      <c r="AA58" s="902"/>
      <c r="AB58" s="903"/>
      <c r="AC58" s="904"/>
      <c r="AD58" s="658"/>
      <c r="AE58" s="675"/>
      <c r="AG58" s="826"/>
      <c r="AH58" s="715"/>
      <c r="AI58" s="715"/>
      <c r="AJ58" s="658"/>
      <c r="AK58" s="676"/>
      <c r="AL58" s="675"/>
      <c r="AM58" s="675"/>
      <c r="AN58" s="675"/>
    </row>
    <row r="59" s="582" customFormat="1" ht="22" customHeight="1" spans="1:47">
      <c r="A59" s="897"/>
      <c r="B59" s="897"/>
      <c r="C59" s="897"/>
      <c r="D59" s="897"/>
      <c r="E59" s="897"/>
      <c r="F59" s="898"/>
      <c r="G59" s="897"/>
      <c r="H59" s="898"/>
      <c r="J59" s="907" t="s">
        <v>156</v>
      </c>
      <c r="K59" s="908">
        <v>495653.39</v>
      </c>
      <c r="O59" s="875">
        <v>46129</v>
      </c>
      <c r="P59" s="877">
        <v>20260001676</v>
      </c>
      <c r="Q59" s="912" t="s">
        <v>157</v>
      </c>
      <c r="R59" s="1005" t="s">
        <v>158</v>
      </c>
      <c r="S59" s="877" t="s">
        <v>159</v>
      </c>
      <c r="T59" s="877"/>
      <c r="U59" s="900" t="s">
        <v>160</v>
      </c>
      <c r="V59" s="901">
        <v>128.65</v>
      </c>
      <c r="W59" s="880">
        <v>128.65</v>
      </c>
      <c r="X59" s="880">
        <v>7503.69</v>
      </c>
      <c r="Y59" s="880">
        <v>965350</v>
      </c>
      <c r="AA59" s="913"/>
      <c r="AB59" s="98"/>
      <c r="AC59" s="98"/>
      <c r="AD59" s="98"/>
      <c r="AE59" s="787"/>
      <c r="AF59" s="675"/>
      <c r="AG59" s="914"/>
      <c r="AH59" s="915"/>
      <c r="AI59" s="98"/>
      <c r="AJ59" s="98"/>
      <c r="AK59" s="100"/>
      <c r="AL59" s="621"/>
      <c r="AM59" s="916"/>
      <c r="AN59" s="853"/>
      <c r="AO59" s="619"/>
      <c r="AP59" s="619"/>
      <c r="AQ59" s="619"/>
      <c r="AR59" s="619"/>
      <c r="AS59" s="619"/>
      <c r="AT59" s="619"/>
      <c r="AU59" s="619"/>
    </row>
    <row r="60" s="582" customFormat="1" ht="22" customHeight="1" spans="1:47">
      <c r="A60" s="897"/>
      <c r="B60" s="897"/>
      <c r="C60" s="897"/>
      <c r="D60" s="897"/>
      <c r="E60" s="898"/>
      <c r="F60" s="898"/>
      <c r="G60" s="898"/>
      <c r="H60" s="898"/>
      <c r="J60" s="907" t="s">
        <v>161</v>
      </c>
      <c r="K60" s="908">
        <v>20</v>
      </c>
      <c r="O60" s="875">
        <v>46143</v>
      </c>
      <c r="P60" s="877">
        <v>20260001866</v>
      </c>
      <c r="Q60" s="877"/>
      <c r="R60" s="1005" t="s">
        <v>162</v>
      </c>
      <c r="S60" s="877" t="s">
        <v>163</v>
      </c>
      <c r="T60" s="1005" t="s">
        <v>164</v>
      </c>
      <c r="U60" s="911" t="s">
        <v>165</v>
      </c>
      <c r="V60" s="901">
        <v>129.06</v>
      </c>
      <c r="W60" s="880">
        <v>129.06</v>
      </c>
      <c r="X60" s="880">
        <v>7360.92</v>
      </c>
      <c r="Y60" s="880">
        <v>950000</v>
      </c>
      <c r="AA60" s="913"/>
      <c r="AB60" s="98"/>
      <c r="AC60" s="98"/>
      <c r="AD60" s="98"/>
      <c r="AE60" s="621"/>
      <c r="AF60" s="675"/>
      <c r="AG60" s="914"/>
      <c r="AH60" s="915"/>
      <c r="AI60" s="98"/>
      <c r="AJ60" s="917"/>
      <c r="AK60" s="100"/>
      <c r="AL60" s="621"/>
      <c r="AM60" s="916"/>
      <c r="AN60" s="853"/>
      <c r="AO60" s="619"/>
      <c r="AP60" s="619"/>
      <c r="AQ60" s="619"/>
      <c r="AR60" s="619"/>
      <c r="AS60" s="619"/>
      <c r="AT60" s="619"/>
      <c r="AU60" s="619"/>
    </row>
    <row r="61" s="582" customFormat="1" ht="22" customHeight="1" spans="1:47">
      <c r="A61" s="897"/>
      <c r="B61" s="897"/>
      <c r="C61" s="897"/>
      <c r="D61" s="897"/>
      <c r="E61" s="898"/>
      <c r="F61" s="898"/>
      <c r="G61" s="898"/>
      <c r="H61" s="898"/>
      <c r="J61" s="907" t="s">
        <v>166</v>
      </c>
      <c r="K61" s="908">
        <v>105920731.77</v>
      </c>
      <c r="L61" s="582">
        <v>26500000</v>
      </c>
      <c r="M61" s="918" t="s">
        <v>167</v>
      </c>
      <c r="N61" s="918" t="s">
        <v>168</v>
      </c>
      <c r="O61" s="875">
        <v>46145</v>
      </c>
      <c r="P61" s="877">
        <v>20260002068</v>
      </c>
      <c r="Q61" s="877"/>
      <c r="R61" s="1005" t="s">
        <v>169</v>
      </c>
      <c r="S61" s="877" t="s">
        <v>170</v>
      </c>
      <c r="T61" s="1005" t="s">
        <v>171</v>
      </c>
      <c r="U61" s="911" t="s">
        <v>172</v>
      </c>
      <c r="V61" s="901">
        <v>126.5</v>
      </c>
      <c r="W61" s="880">
        <v>126.5</v>
      </c>
      <c r="X61" s="880">
        <v>5200</v>
      </c>
      <c r="Y61" s="880">
        <v>657800</v>
      </c>
      <c r="AA61" s="913"/>
      <c r="AB61" s="98"/>
      <c r="AC61" s="98"/>
      <c r="AD61" s="98"/>
      <c r="AE61" s="675"/>
      <c r="AF61" s="675"/>
      <c r="AG61" s="914"/>
      <c r="AH61" s="915"/>
      <c r="AI61" s="98"/>
      <c r="AJ61" s="98"/>
      <c r="AK61" s="100"/>
      <c r="AL61" s="675"/>
      <c r="AM61" s="744"/>
      <c r="AN61" s="853"/>
      <c r="AO61" s="619"/>
      <c r="AP61" s="619"/>
      <c r="AQ61" s="619"/>
      <c r="AR61" s="619"/>
      <c r="AS61" s="619"/>
      <c r="AT61" s="619"/>
      <c r="AU61" s="619"/>
    </row>
    <row r="62" s="582" customFormat="1" ht="22" customHeight="1" spans="1:47">
      <c r="A62" s="897"/>
      <c r="B62" s="897"/>
      <c r="C62" s="897"/>
      <c r="D62" s="897"/>
      <c r="E62" s="898"/>
      <c r="F62" s="898"/>
      <c r="G62" s="898"/>
      <c r="H62" s="898"/>
      <c r="J62" s="907" t="s">
        <v>173</v>
      </c>
      <c r="K62" s="908">
        <v>1808115.7</v>
      </c>
      <c r="O62" s="875">
        <v>46146</v>
      </c>
      <c r="P62" s="877">
        <v>20260002159</v>
      </c>
      <c r="Q62" s="877"/>
      <c r="R62" s="1005" t="s">
        <v>174</v>
      </c>
      <c r="S62" s="877" t="s">
        <v>175</v>
      </c>
      <c r="T62" s="1005" t="s">
        <v>176</v>
      </c>
      <c r="U62" s="911" t="s">
        <v>177</v>
      </c>
      <c r="V62" s="901">
        <v>126.5</v>
      </c>
      <c r="W62" s="880">
        <v>126.5</v>
      </c>
      <c r="X62" s="880">
        <v>5138.339</v>
      </c>
      <c r="Y62" s="880">
        <v>650000</v>
      </c>
      <c r="AA62" s="913"/>
      <c r="AB62" s="98"/>
      <c r="AC62" s="98"/>
      <c r="AD62" s="98"/>
      <c r="AE62" s="675"/>
      <c r="AF62" s="675"/>
      <c r="AG62" s="919"/>
      <c r="AH62" s="915"/>
      <c r="AI62" s="98"/>
      <c r="AJ62" s="98"/>
      <c r="AK62" s="100"/>
      <c r="AL62" s="920"/>
      <c r="AM62" s="744"/>
      <c r="AN62" s="863"/>
      <c r="AO62" s="619"/>
      <c r="AP62" s="619"/>
      <c r="AQ62" s="619"/>
      <c r="AR62" s="619"/>
      <c r="AS62" s="619"/>
      <c r="AT62" s="619"/>
      <c r="AU62" s="619"/>
    </row>
    <row r="63" s="582" customFormat="1" ht="22" customHeight="1" spans="1:47">
      <c r="A63" s="897"/>
      <c r="B63" s="897"/>
      <c r="C63" s="897"/>
      <c r="D63" s="897"/>
      <c r="E63" s="898"/>
      <c r="F63" s="898"/>
      <c r="G63" s="898"/>
      <c r="H63" s="898"/>
      <c r="J63" s="907" t="s">
        <v>178</v>
      </c>
      <c r="K63" s="908">
        <v>1443202.67</v>
      </c>
      <c r="L63" s="921"/>
      <c r="O63" s="875">
        <v>46144</v>
      </c>
      <c r="P63" s="877">
        <v>20260001997</v>
      </c>
      <c r="Q63" s="877"/>
      <c r="R63" s="1005" t="s">
        <v>179</v>
      </c>
      <c r="S63" s="877" t="s">
        <v>180</v>
      </c>
      <c r="T63" s="877"/>
      <c r="U63" s="900" t="s">
        <v>181</v>
      </c>
      <c r="V63" s="901">
        <v>134.8</v>
      </c>
      <c r="W63" s="880">
        <v>134.8</v>
      </c>
      <c r="X63" s="880">
        <v>4950</v>
      </c>
      <c r="Y63" s="880">
        <v>667260</v>
      </c>
      <c r="AA63" s="913"/>
      <c r="AB63" s="98"/>
      <c r="AC63" s="98"/>
      <c r="AD63" s="98"/>
      <c r="AE63" s="675"/>
      <c r="AF63" s="675"/>
      <c r="AG63" s="914"/>
      <c r="AH63" s="915"/>
      <c r="AI63" s="98"/>
      <c r="AJ63" s="917"/>
      <c r="AK63" s="100"/>
      <c r="AL63" s="675"/>
      <c r="AM63" s="744"/>
      <c r="AN63" s="853"/>
      <c r="AO63" s="619"/>
      <c r="AP63" s="619"/>
      <c r="AQ63" s="619"/>
      <c r="AR63" s="619"/>
      <c r="AS63" s="619"/>
      <c r="AT63" s="619"/>
      <c r="AU63" s="619"/>
    </row>
    <row r="64" s="582" customFormat="1" ht="22" customHeight="1" spans="1:47">
      <c r="A64" s="897"/>
      <c r="B64" s="897"/>
      <c r="C64" s="897"/>
      <c r="D64" s="897"/>
      <c r="E64" s="898"/>
      <c r="F64" s="898"/>
      <c r="G64" s="898"/>
      <c r="H64" s="898"/>
      <c r="J64" s="907" t="s">
        <v>182</v>
      </c>
      <c r="K64" s="908">
        <v>1721114.09</v>
      </c>
      <c r="L64" s="921"/>
      <c r="O64" s="875">
        <v>46147</v>
      </c>
      <c r="P64" s="877">
        <v>20260002187</v>
      </c>
      <c r="Q64" s="877"/>
      <c r="R64" s="1005" t="s">
        <v>183</v>
      </c>
      <c r="S64" s="877" t="s">
        <v>184</v>
      </c>
      <c r="T64" s="1005" t="s">
        <v>185</v>
      </c>
      <c r="U64" s="911" t="s">
        <v>186</v>
      </c>
      <c r="V64" s="901">
        <v>133.94</v>
      </c>
      <c r="W64" s="880">
        <v>133.94</v>
      </c>
      <c r="X64" s="880">
        <v>5226.22</v>
      </c>
      <c r="Y64" s="880">
        <v>700000</v>
      </c>
      <c r="AA64" s="913"/>
      <c r="AB64" s="98"/>
      <c r="AC64" s="98"/>
      <c r="AD64" s="98"/>
      <c r="AE64" s="675"/>
      <c r="AF64" s="675"/>
      <c r="AG64" s="919"/>
      <c r="AH64" s="915"/>
      <c r="AI64" s="98"/>
      <c r="AJ64" s="98"/>
      <c r="AK64" s="100"/>
      <c r="AL64" s="675"/>
      <c r="AM64" s="744"/>
      <c r="AN64" s="675"/>
      <c r="AO64" s="619"/>
      <c r="AP64" s="619"/>
      <c r="AQ64" s="619"/>
      <c r="AR64" s="619"/>
      <c r="AS64" s="619"/>
      <c r="AT64" s="619"/>
      <c r="AU64" s="619"/>
    </row>
    <row r="65" s="582" customFormat="1" ht="22" customHeight="1" spans="1:47">
      <c r="A65" s="897"/>
      <c r="B65" s="897"/>
      <c r="C65" s="897"/>
      <c r="D65" s="898"/>
      <c r="E65" s="898"/>
      <c r="F65" s="898"/>
      <c r="G65" s="898"/>
      <c r="H65" s="898"/>
      <c r="J65" s="907" t="s">
        <v>187</v>
      </c>
      <c r="K65" s="908">
        <v>-100894.94</v>
      </c>
      <c r="L65" s="922"/>
      <c r="M65" s="923"/>
      <c r="O65" s="875">
        <v>46125</v>
      </c>
      <c r="P65" s="877">
        <v>20260001638</v>
      </c>
      <c r="Q65" s="924"/>
      <c r="R65" s="877" t="s">
        <v>188</v>
      </c>
      <c r="S65" s="877" t="s">
        <v>189</v>
      </c>
      <c r="T65" s="1005" t="s">
        <v>190</v>
      </c>
      <c r="U65" s="900" t="s">
        <v>191</v>
      </c>
      <c r="V65" s="901">
        <v>134.8</v>
      </c>
      <c r="W65" s="880">
        <v>134.8</v>
      </c>
      <c r="X65" s="880">
        <v>5300</v>
      </c>
      <c r="Y65" s="880">
        <v>714440</v>
      </c>
      <c r="AA65" s="913"/>
      <c r="AB65" s="98"/>
      <c r="AC65" s="98"/>
      <c r="AD65" s="98"/>
      <c r="AE65" s="675"/>
      <c r="AF65" s="675"/>
      <c r="AG65" s="914"/>
      <c r="AH65" s="915"/>
      <c r="AI65" s="98"/>
      <c r="AJ65" s="917"/>
      <c r="AK65" s="100"/>
      <c r="AL65" s="675"/>
      <c r="AM65" s="744"/>
      <c r="AN65" s="675"/>
      <c r="AO65" s="619"/>
      <c r="AP65" s="619"/>
      <c r="AQ65" s="619"/>
      <c r="AR65" s="619"/>
      <c r="AS65" s="619"/>
      <c r="AT65" s="619"/>
      <c r="AU65" s="619"/>
    </row>
    <row r="66" s="582" customFormat="1" ht="22" customHeight="1" spans="1:47">
      <c r="A66" s="897"/>
      <c r="B66" s="897"/>
      <c r="C66" s="897"/>
      <c r="D66" s="898"/>
      <c r="E66" s="898"/>
      <c r="F66" s="898"/>
      <c r="G66" s="898"/>
      <c r="H66" s="897"/>
      <c r="J66" s="907" t="s">
        <v>192</v>
      </c>
      <c r="K66" s="908">
        <v>100440.4</v>
      </c>
      <c r="M66" s="923"/>
      <c r="N66" s="582"/>
      <c r="O66" s="875">
        <v>46143</v>
      </c>
      <c r="P66" s="877">
        <v>20260001914</v>
      </c>
      <c r="Q66" s="877"/>
      <c r="R66" s="877" t="s">
        <v>193</v>
      </c>
      <c r="S66" s="877" t="s">
        <v>194</v>
      </c>
      <c r="T66" s="1005" t="s">
        <v>195</v>
      </c>
      <c r="U66" s="911" t="s">
        <v>196</v>
      </c>
      <c r="V66" s="901">
        <v>133.94</v>
      </c>
      <c r="W66" s="880">
        <v>133.94</v>
      </c>
      <c r="X66" s="880">
        <v>5261.32</v>
      </c>
      <c r="Y66" s="880">
        <v>704701</v>
      </c>
      <c r="AA66" s="913"/>
      <c r="AB66" s="98"/>
      <c r="AC66" s="98"/>
      <c r="AD66" s="98"/>
      <c r="AE66" s="675"/>
      <c r="AF66" s="675"/>
      <c r="AG66" s="914"/>
      <c r="AH66" s="915"/>
      <c r="AI66" s="98"/>
      <c r="AJ66" s="98"/>
      <c r="AK66" s="100"/>
      <c r="AL66" s="675"/>
      <c r="AM66" s="675"/>
      <c r="AN66" s="675"/>
      <c r="AO66" s="675"/>
      <c r="AP66" s="619"/>
      <c r="AQ66" s="619"/>
      <c r="AR66" s="619"/>
      <c r="AS66" s="619"/>
      <c r="AT66" s="619"/>
      <c r="AU66" s="619"/>
    </row>
    <row r="67" s="582" customFormat="1" ht="22" customHeight="1" spans="1:47">
      <c r="A67" s="897"/>
      <c r="B67" s="897"/>
      <c r="C67" s="897"/>
      <c r="D67" s="898"/>
      <c r="E67" s="898"/>
      <c r="F67" s="898"/>
      <c r="G67" s="898"/>
      <c r="H67" s="898"/>
      <c r="J67" s="907"/>
      <c r="K67" s="894"/>
      <c r="O67" s="875">
        <v>46090</v>
      </c>
      <c r="P67" s="877">
        <v>20260001097</v>
      </c>
      <c r="Q67" s="877"/>
      <c r="R67" s="1005" t="s">
        <v>197</v>
      </c>
      <c r="S67" s="877" t="s">
        <v>198</v>
      </c>
      <c r="T67" s="1005" t="s">
        <v>199</v>
      </c>
      <c r="U67" s="900" t="s">
        <v>200</v>
      </c>
      <c r="V67" s="901">
        <v>134.8</v>
      </c>
      <c r="W67" s="880">
        <v>134.8</v>
      </c>
      <c r="X67" s="880">
        <v>5490</v>
      </c>
      <c r="Y67" s="880">
        <v>740052</v>
      </c>
      <c r="AA67" s="913"/>
      <c r="AB67" s="98"/>
      <c r="AC67" s="98"/>
      <c r="AD67" s="98"/>
      <c r="AE67" s="675"/>
      <c r="AF67" s="675"/>
      <c r="AG67" s="914"/>
      <c r="AH67" s="915"/>
      <c r="AI67" s="98"/>
      <c r="AJ67" s="98"/>
      <c r="AK67" s="100"/>
      <c r="AL67" s="675"/>
      <c r="AM67" s="675"/>
      <c r="AN67" s="675"/>
      <c r="AO67" s="675"/>
      <c r="AP67" s="619"/>
      <c r="AQ67" s="619"/>
      <c r="AR67" s="619"/>
      <c r="AS67" s="619"/>
      <c r="AT67" s="619"/>
      <c r="AU67" s="619"/>
    </row>
    <row r="68" s="582" customFormat="1" ht="22" customHeight="1" spans="1:47">
      <c r="A68" s="897"/>
      <c r="B68" s="897"/>
      <c r="C68" s="897"/>
      <c r="D68" s="897"/>
      <c r="E68" s="897"/>
      <c r="F68" s="897"/>
      <c r="G68" s="897"/>
      <c r="H68" s="897"/>
      <c r="I68"/>
      <c r="J68" s="907" t="s">
        <v>201</v>
      </c>
      <c r="K68" s="894">
        <f>K57+K58+K59+K60-K61-K62-K63-K64-K65-K66</f>
        <v>9319472.26000001</v>
      </c>
      <c r="O68" s="875">
        <v>46143</v>
      </c>
      <c r="P68" s="877">
        <v>20260001887</v>
      </c>
      <c r="Q68" s="877" t="s">
        <v>202</v>
      </c>
      <c r="R68" s="1005" t="s">
        <v>203</v>
      </c>
      <c r="S68" s="877" t="s">
        <v>204</v>
      </c>
      <c r="T68" s="877"/>
      <c r="U68" s="911" t="s">
        <v>205</v>
      </c>
      <c r="V68" s="901">
        <v>133.94</v>
      </c>
      <c r="W68" s="880">
        <v>133.94</v>
      </c>
      <c r="X68" s="880">
        <v>7565</v>
      </c>
      <c r="Y68" s="880">
        <v>1013256</v>
      </c>
      <c r="AA68" s="913"/>
      <c r="AB68" s="98"/>
      <c r="AC68" s="98"/>
      <c r="AD68" s="925"/>
      <c r="AE68" s="675"/>
      <c r="AF68" s="675"/>
      <c r="AG68" s="914"/>
      <c r="AH68" s="915"/>
      <c r="AI68" s="98"/>
      <c r="AJ68" s="98"/>
      <c r="AK68" s="100"/>
      <c r="AL68" s="675"/>
      <c r="AM68" s="675"/>
      <c r="AN68" s="653"/>
      <c r="AO68" s="675"/>
      <c r="AP68" s="619"/>
      <c r="AQ68" s="619"/>
      <c r="AR68" s="619"/>
      <c r="AS68" s="619"/>
      <c r="AT68" s="619"/>
      <c r="AU68" s="619"/>
    </row>
    <row r="69" s="582" customFormat="1" ht="22" customHeight="1" spans="1:47">
      <c r="A69"/>
      <c r="B69"/>
      <c r="C69"/>
      <c r="D69"/>
      <c r="E69"/>
      <c r="F69"/>
      <c r="G69"/>
      <c r="H69"/>
      <c r="I69"/>
      <c r="J69" s="907" t="s">
        <v>206</v>
      </c>
      <c r="K69" s="894">
        <f>K68*0.25</f>
        <v>2329868.065</v>
      </c>
      <c r="O69" s="875">
        <v>46125</v>
      </c>
      <c r="P69" s="877">
        <v>20260001640</v>
      </c>
      <c r="Q69" s="877"/>
      <c r="R69" s="1005" t="s">
        <v>207</v>
      </c>
      <c r="S69" s="877" t="s">
        <v>208</v>
      </c>
      <c r="T69" s="1005" t="s">
        <v>209</v>
      </c>
      <c r="U69" s="911" t="s">
        <v>210</v>
      </c>
      <c r="V69" s="901">
        <v>134.8</v>
      </c>
      <c r="W69" s="880">
        <v>134.8</v>
      </c>
      <c r="X69" s="880">
        <v>6400</v>
      </c>
      <c r="Y69" s="880">
        <v>862720</v>
      </c>
      <c r="AA69" s="913"/>
      <c r="AB69" s="98"/>
      <c r="AC69" s="98"/>
      <c r="AD69" s="925"/>
      <c r="AE69" s="675"/>
      <c r="AF69" s="675"/>
      <c r="AG69" s="914"/>
      <c r="AH69" s="915"/>
      <c r="AI69" s="98"/>
      <c r="AJ69" s="98"/>
      <c r="AK69" s="100"/>
      <c r="AL69" s="675"/>
      <c r="AM69" s="675"/>
      <c r="AN69" s="653"/>
      <c r="AO69" s="675"/>
      <c r="AP69" s="619"/>
      <c r="AQ69" s="619"/>
      <c r="AR69" s="619"/>
      <c r="AS69" s="619"/>
      <c r="AT69" s="619"/>
      <c r="AU69" s="619"/>
    </row>
    <row r="70" s="582" customFormat="1" ht="22" customHeight="1" spans="1:47">
      <c r="A70"/>
      <c r="B70"/>
      <c r="C70"/>
      <c r="D70"/>
      <c r="E70"/>
      <c r="F70"/>
      <c r="G70"/>
      <c r="H70"/>
      <c r="I70"/>
      <c r="J70" s="926" t="s">
        <v>211</v>
      </c>
      <c r="K70" s="927">
        <v>993684.26</v>
      </c>
      <c r="O70" s="875">
        <v>46145</v>
      </c>
      <c r="P70" s="877">
        <v>20260002112</v>
      </c>
      <c r="Q70" s="877"/>
      <c r="R70" s="1005" t="s">
        <v>212</v>
      </c>
      <c r="S70" s="912" t="s">
        <v>213</v>
      </c>
      <c r="T70" s="877"/>
      <c r="U70" s="877" t="s">
        <v>214</v>
      </c>
      <c r="V70" s="928">
        <v>54.01</v>
      </c>
      <c r="W70" s="880">
        <v>54.26</v>
      </c>
      <c r="X70" s="880">
        <v>17279.65</v>
      </c>
      <c r="Y70" s="880">
        <v>937594</v>
      </c>
      <c r="AA70" s="913"/>
      <c r="AB70" s="98"/>
      <c r="AC70" s="98"/>
      <c r="AD70" s="98"/>
      <c r="AE70" s="675"/>
      <c r="AF70" s="675"/>
      <c r="AG70" s="914"/>
      <c r="AH70" s="915"/>
      <c r="AI70" s="98"/>
      <c r="AJ70" s="98"/>
      <c r="AK70" s="100"/>
      <c r="AL70" s="675"/>
      <c r="AM70" s="675"/>
      <c r="AN70" s="675"/>
      <c r="AO70" s="675"/>
      <c r="AP70" s="619"/>
      <c r="AQ70" s="619"/>
      <c r="AR70" s="619"/>
      <c r="AS70" s="619"/>
      <c r="AT70" s="619"/>
      <c r="AU70" s="619"/>
    </row>
    <row r="71" s="582" customFormat="1" ht="22" customHeight="1" spans="1:47">
      <c r="A71"/>
      <c r="B71"/>
      <c r="C71"/>
      <c r="D71"/>
      <c r="E71"/>
      <c r="F71"/>
      <c r="G71"/>
      <c r="H71"/>
      <c r="I71"/>
      <c r="J71" s="929" t="s">
        <v>215</v>
      </c>
      <c r="K71" s="930">
        <f>K69-K70</f>
        <v>1336183.805</v>
      </c>
      <c r="O71" s="875">
        <v>46053</v>
      </c>
      <c r="P71" s="877">
        <v>20260000546</v>
      </c>
      <c r="Q71" s="877"/>
      <c r="R71" s="1005" t="s">
        <v>216</v>
      </c>
      <c r="S71" s="912" t="s">
        <v>217</v>
      </c>
      <c r="T71" s="877"/>
      <c r="U71" s="877" t="s">
        <v>218</v>
      </c>
      <c r="V71" s="928">
        <v>92.11</v>
      </c>
      <c r="W71" s="880">
        <v>92.54</v>
      </c>
      <c r="X71" s="880">
        <v>21713.17</v>
      </c>
      <c r="Y71" s="880">
        <v>2009337</v>
      </c>
      <c r="AA71" s="913"/>
      <c r="AB71" s="98"/>
      <c r="AC71" s="98"/>
      <c r="AD71" s="98"/>
      <c r="AE71" s="931"/>
      <c r="AF71" s="675"/>
      <c r="AG71" s="914"/>
      <c r="AH71" s="915"/>
      <c r="AI71" s="98"/>
      <c r="AJ71" s="98"/>
      <c r="AK71" s="100"/>
      <c r="AL71" s="675"/>
      <c r="AM71" s="675"/>
      <c r="AN71" s="675"/>
      <c r="AO71" s="675"/>
      <c r="AP71" s="619"/>
      <c r="AQ71" s="619"/>
      <c r="AR71" s="619"/>
      <c r="AS71" s="619"/>
      <c r="AT71" s="619"/>
      <c r="AU71" s="619"/>
    </row>
    <row r="72" s="582" customFormat="1" ht="22" customHeight="1" spans="1:47">
      <c r="A72"/>
      <c r="B72"/>
      <c r="C72"/>
      <c r="D72"/>
      <c r="E72"/>
      <c r="F72"/>
      <c r="G72"/>
      <c r="H72"/>
      <c r="I72"/>
      <c r="O72" s="875">
        <v>46038</v>
      </c>
      <c r="P72" s="877">
        <v>20260000257</v>
      </c>
      <c r="Q72" s="877"/>
      <c r="R72" s="1005" t="s">
        <v>219</v>
      </c>
      <c r="S72" s="877" t="s">
        <v>220</v>
      </c>
      <c r="T72" s="877"/>
      <c r="U72" s="877" t="s">
        <v>221</v>
      </c>
      <c r="V72" s="928">
        <v>64.99</v>
      </c>
      <c r="W72" s="880">
        <v>64.99</v>
      </c>
      <c r="X72" s="880">
        <v>7500</v>
      </c>
      <c r="Y72" s="880">
        <v>487425</v>
      </c>
      <c r="AA72" s="913"/>
      <c r="AB72" s="98"/>
      <c r="AC72" s="98"/>
      <c r="AD72" s="98"/>
      <c r="AE72" s="932"/>
      <c r="AF72" s="675"/>
      <c r="AG72" s="914"/>
      <c r="AH72" s="915"/>
      <c r="AI72" s="98"/>
      <c r="AJ72" s="98"/>
      <c r="AK72" s="100"/>
      <c r="AL72" s="675"/>
      <c r="AM72" s="675"/>
      <c r="AN72" s="653"/>
      <c r="AO72" s="675"/>
      <c r="AP72" s="619"/>
      <c r="AQ72" s="619"/>
      <c r="AR72" s="619"/>
      <c r="AS72" s="619"/>
      <c r="AT72" s="619"/>
      <c r="AU72" s="619"/>
    </row>
    <row r="73" s="582" customFormat="1" ht="22" customHeight="1" spans="1:47">
      <c r="A73"/>
      <c r="B73"/>
      <c r="C73"/>
      <c r="D73"/>
      <c r="E73"/>
      <c r="F73"/>
      <c r="G73"/>
      <c r="H73"/>
      <c r="I73"/>
      <c r="O73" s="875">
        <v>46134</v>
      </c>
      <c r="P73" s="877">
        <v>20260001710</v>
      </c>
      <c r="Q73" s="877"/>
      <c r="R73" s="877"/>
      <c r="S73" s="912" t="s">
        <v>222</v>
      </c>
      <c r="T73" s="877"/>
      <c r="U73" s="877" t="s">
        <v>223</v>
      </c>
      <c r="V73" s="933">
        <v>45.74</v>
      </c>
      <c r="W73" s="933">
        <v>45.74</v>
      </c>
      <c r="X73" s="880">
        <v>33000</v>
      </c>
      <c r="Y73" s="880">
        <v>1509420</v>
      </c>
      <c r="AA73" s="913"/>
      <c r="AB73" s="98"/>
      <c r="AC73" s="98"/>
      <c r="AD73" s="98"/>
      <c r="AE73" s="931"/>
      <c r="AF73" s="675"/>
      <c r="AG73" s="914"/>
      <c r="AH73" s="915"/>
      <c r="AI73" s="98"/>
      <c r="AJ73" s="98"/>
      <c r="AK73" s="100"/>
      <c r="AL73" s="675"/>
      <c r="AM73" s="675"/>
      <c r="AN73" s="675"/>
      <c r="AO73" s="675"/>
      <c r="AP73" s="619"/>
      <c r="AQ73" s="619"/>
      <c r="AR73" s="619"/>
      <c r="AS73" s="619"/>
      <c r="AT73" s="619"/>
      <c r="AU73" s="619"/>
    </row>
    <row r="74" s="582" customFormat="1" ht="22" customHeight="1" spans="1:47">
      <c r="A74"/>
      <c r="B74"/>
      <c r="C74"/>
      <c r="D74"/>
      <c r="E74"/>
      <c r="F74"/>
      <c r="G74"/>
      <c r="H74"/>
      <c r="I74"/>
      <c r="O74" s="875">
        <v>46126</v>
      </c>
      <c r="P74" s="877">
        <v>20260001645</v>
      </c>
      <c r="Q74" s="877"/>
      <c r="R74" s="1005" t="s">
        <v>224</v>
      </c>
      <c r="S74" s="877" t="s">
        <v>225</v>
      </c>
      <c r="T74" s="877"/>
      <c r="U74" s="877" t="s">
        <v>226</v>
      </c>
      <c r="V74" s="933">
        <v>46.87</v>
      </c>
      <c r="W74" s="933">
        <v>46.87</v>
      </c>
      <c r="X74" s="880">
        <v>26286.42</v>
      </c>
      <c r="Y74" s="880">
        <v>1232045</v>
      </c>
      <c r="AA74" s="934"/>
      <c r="AB74" s="935"/>
      <c r="AC74" s="935"/>
      <c r="AD74" s="935"/>
      <c r="AE74" s="931"/>
      <c r="AF74" s="675"/>
      <c r="AG74" s="622"/>
      <c r="AH74" s="936"/>
      <c r="AI74" s="935"/>
      <c r="AJ74" s="935"/>
      <c r="AK74" s="937"/>
      <c r="AL74" s="675"/>
      <c r="AM74" s="675"/>
      <c r="AN74" s="675"/>
      <c r="AO74" s="675"/>
      <c r="AP74" s="619"/>
      <c r="AQ74" s="619"/>
      <c r="AR74" s="619"/>
      <c r="AS74" s="619"/>
      <c r="AT74" s="619"/>
      <c r="AU74" s="619"/>
    </row>
    <row r="75" s="582" customFormat="1" ht="22" customHeight="1" spans="1:47">
      <c r="A75"/>
      <c r="B75"/>
      <c r="C75"/>
      <c r="D75"/>
      <c r="E75"/>
      <c r="F75"/>
      <c r="G75"/>
      <c r="H75"/>
      <c r="I75"/>
      <c r="O75" s="875">
        <v>46126</v>
      </c>
      <c r="P75" s="877">
        <v>20260001644</v>
      </c>
      <c r="Q75" s="877"/>
      <c r="R75" s="1005" t="s">
        <v>224</v>
      </c>
      <c r="S75" s="877" t="s">
        <v>225</v>
      </c>
      <c r="T75" s="877"/>
      <c r="U75" s="877" t="s">
        <v>227</v>
      </c>
      <c r="V75" s="933">
        <v>45.23</v>
      </c>
      <c r="W75" s="933">
        <v>45.23</v>
      </c>
      <c r="X75" s="880">
        <v>25512.55</v>
      </c>
      <c r="Y75" s="880">
        <v>1153933</v>
      </c>
      <c r="AA75" s="934"/>
      <c r="AB75" s="935"/>
      <c r="AC75" s="935"/>
      <c r="AD75" s="935"/>
      <c r="AE75" s="675"/>
      <c r="AF75" s="675"/>
      <c r="AG75" s="622"/>
      <c r="AH75" s="936"/>
      <c r="AI75" s="935"/>
      <c r="AJ75" s="935"/>
      <c r="AK75" s="937"/>
      <c r="AL75" s="675"/>
      <c r="AM75" s="653"/>
      <c r="AN75" s="653"/>
      <c r="AO75" s="675"/>
      <c r="AP75" s="619"/>
      <c r="AQ75" s="619"/>
      <c r="AR75" s="619"/>
      <c r="AS75" s="619"/>
      <c r="AT75" s="619"/>
      <c r="AU75" s="619"/>
    </row>
    <row r="76" s="582" customFormat="1" ht="22" customHeight="1" spans="1:47">
      <c r="A76"/>
      <c r="B76"/>
      <c r="C76"/>
      <c r="D76"/>
      <c r="E76"/>
      <c r="F76"/>
      <c r="G76"/>
      <c r="H76"/>
      <c r="I76"/>
      <c r="O76" s="875">
        <v>46111</v>
      </c>
      <c r="P76" s="877">
        <v>20260001440</v>
      </c>
      <c r="Q76" s="877"/>
      <c r="R76" s="1005" t="s">
        <v>224</v>
      </c>
      <c r="S76" s="877" t="s">
        <v>225</v>
      </c>
      <c r="T76" s="877"/>
      <c r="U76" s="877" t="s">
        <v>228</v>
      </c>
      <c r="V76" s="933">
        <v>45.23</v>
      </c>
      <c r="W76" s="933">
        <v>45.23</v>
      </c>
      <c r="X76" s="880">
        <v>24738.74</v>
      </c>
      <c r="Y76" s="880">
        <v>1118934</v>
      </c>
      <c r="AA76" s="934"/>
      <c r="AB76" s="935"/>
      <c r="AC76" s="935"/>
      <c r="AD76" s="935"/>
      <c r="AE76" s="675"/>
      <c r="AF76" s="675"/>
      <c r="AG76" s="622"/>
      <c r="AH76" s="936"/>
      <c r="AI76" s="935"/>
      <c r="AJ76" s="938"/>
      <c r="AK76" s="937"/>
      <c r="AL76" s="675"/>
      <c r="AM76" s="675"/>
      <c r="AN76" s="675"/>
      <c r="AO76" s="675"/>
      <c r="AP76" s="619"/>
      <c r="AQ76" s="619"/>
      <c r="AR76" s="619"/>
      <c r="AS76" s="619"/>
      <c r="AT76" s="619"/>
      <c r="AU76" s="619"/>
    </row>
    <row r="77" s="582" customFormat="1" ht="22" customHeight="1" spans="1:47">
      <c r="A77"/>
      <c r="B77"/>
      <c r="C77"/>
      <c r="D77"/>
      <c r="E77"/>
      <c r="F77"/>
      <c r="G77"/>
      <c r="H77"/>
      <c r="I77"/>
      <c r="O77" s="875">
        <v>46056</v>
      </c>
      <c r="P77" s="877">
        <v>20260000663</v>
      </c>
      <c r="Q77" s="877"/>
      <c r="R77" s="1005" t="s">
        <v>229</v>
      </c>
      <c r="S77" s="877" t="s">
        <v>230</v>
      </c>
      <c r="T77" s="877"/>
      <c r="U77" s="877" t="s">
        <v>231</v>
      </c>
      <c r="V77" s="933">
        <v>210.8</v>
      </c>
      <c r="W77" s="933">
        <v>212.83</v>
      </c>
      <c r="X77" s="880">
        <v>10550.28</v>
      </c>
      <c r="Y77" s="880">
        <v>2245418</v>
      </c>
      <c r="AA77" s="934"/>
      <c r="AB77" s="935"/>
      <c r="AC77" s="935"/>
      <c r="AD77" s="935"/>
      <c r="AE77" s="675"/>
      <c r="AF77" s="675"/>
      <c r="AG77" s="622"/>
      <c r="AH77" s="936"/>
      <c r="AI77" s="935"/>
      <c r="AJ77" s="935"/>
      <c r="AK77" s="937"/>
      <c r="AL77" s="675"/>
      <c r="AM77" s="675"/>
      <c r="AN77" s="675"/>
      <c r="AO77" s="675"/>
      <c r="AP77" s="619"/>
      <c r="AQ77" s="619"/>
      <c r="AR77" s="619"/>
      <c r="AS77" s="619"/>
      <c r="AT77" s="619"/>
      <c r="AU77" s="619"/>
    </row>
    <row r="78" s="582" customFormat="1" ht="22" customHeight="1" spans="1:47">
      <c r="A78"/>
      <c r="B78"/>
      <c r="C78"/>
      <c r="D78"/>
      <c r="E78"/>
      <c r="F78"/>
      <c r="G78"/>
      <c r="H78"/>
      <c r="I78"/>
      <c r="O78" s="939"/>
      <c r="P78" s="869"/>
      <c r="Q78" s="869"/>
      <c r="R78" s="869"/>
      <c r="S78" s="869"/>
      <c r="T78" s="869"/>
      <c r="U78" s="869"/>
      <c r="V78" s="869"/>
      <c r="W78" s="869"/>
      <c r="X78" s="940"/>
      <c r="Y78" s="27">
        <f>SUM(Y52:Y77)</f>
        <v>24055570</v>
      </c>
      <c r="Z78" s="460">
        <f>Y78/1.09*0.0005</f>
        <v>11034.6651376147</v>
      </c>
      <c r="AA78" s="934"/>
      <c r="AB78" s="935"/>
      <c r="AC78" s="935"/>
      <c r="AD78" s="935"/>
      <c r="AE78" s="675"/>
      <c r="AF78" s="675"/>
      <c r="AG78" s="622"/>
      <c r="AH78" s="936"/>
      <c r="AI78" s="936"/>
      <c r="AJ78" s="935"/>
      <c r="AK78" s="937"/>
      <c r="AL78" s="675"/>
      <c r="AM78" s="675"/>
      <c r="AN78" s="675"/>
      <c r="AO78" s="675"/>
      <c r="AP78" s="619"/>
      <c r="AQ78" s="619"/>
      <c r="AR78" s="619"/>
      <c r="AS78" s="619"/>
      <c r="AT78" s="619"/>
      <c r="AU78" s="619"/>
    </row>
    <row r="79" s="582" customFormat="1" ht="22" customHeight="1" spans="1:47">
      <c r="A79"/>
      <c r="B79"/>
      <c r="C79"/>
      <c r="D79"/>
      <c r="E79"/>
      <c r="F79"/>
      <c r="G79"/>
      <c r="H79"/>
      <c r="I79"/>
      <c r="O79" s="941"/>
      <c r="T79" s="942"/>
      <c r="U79" s="942"/>
      <c r="V79" s="942"/>
      <c r="W79" s="942"/>
      <c r="X79" s="822"/>
      <c r="Y79" s="675"/>
      <c r="Z79" s="675"/>
      <c r="AA79" s="934"/>
      <c r="AB79" s="935"/>
      <c r="AC79" s="935"/>
      <c r="AD79" s="935"/>
      <c r="AE79" s="675"/>
      <c r="AF79" s="675"/>
      <c r="AG79" s="622"/>
      <c r="AH79" s="936"/>
      <c r="AI79" s="936"/>
      <c r="AJ79" s="935"/>
      <c r="AK79" s="937"/>
      <c r="AL79" s="675"/>
      <c r="AM79" s="675"/>
      <c r="AN79" s="675"/>
      <c r="AO79" s="675"/>
      <c r="AP79" s="619"/>
      <c r="AQ79" s="619"/>
      <c r="AR79" s="619"/>
      <c r="AS79" s="619"/>
      <c r="AT79" s="619"/>
      <c r="AU79" s="619"/>
    </row>
    <row r="80" s="582" customFormat="1" ht="22" customHeight="1" spans="1:47">
      <c r="A80"/>
      <c r="B80"/>
      <c r="C80"/>
      <c r="D80"/>
      <c r="E80"/>
      <c r="F80"/>
      <c r="G80"/>
      <c r="H80"/>
      <c r="I80"/>
      <c r="O80" s="941"/>
      <c r="T80" s="942"/>
      <c r="U80" s="942"/>
      <c r="V80" s="942"/>
      <c r="W80" s="942"/>
      <c r="X80" s="822"/>
      <c r="Y80" s="675"/>
      <c r="Z80" s="675"/>
      <c r="AA80" s="934"/>
      <c r="AB80" s="935"/>
      <c r="AC80" s="935"/>
      <c r="AD80" s="935"/>
      <c r="AE80" s="675"/>
      <c r="AF80" s="675"/>
      <c r="AG80" s="622"/>
      <c r="AH80" s="936"/>
      <c r="AI80" s="935"/>
      <c r="AJ80" s="935"/>
      <c r="AK80" s="937"/>
      <c r="AL80" s="675"/>
      <c r="AM80" s="675"/>
      <c r="AN80" s="675"/>
      <c r="AO80" s="675"/>
      <c r="AP80" s="619"/>
      <c r="AQ80" s="619"/>
      <c r="AR80" s="619"/>
      <c r="AS80" s="619"/>
      <c r="AT80" s="619"/>
      <c r="AU80" s="619"/>
    </row>
    <row r="81" s="582" customFormat="1" ht="22" customHeight="1" spans="1:47">
      <c r="A81"/>
      <c r="B81"/>
      <c r="C81"/>
      <c r="D81"/>
      <c r="E81"/>
      <c r="F81"/>
      <c r="G81"/>
      <c r="H81"/>
      <c r="I81"/>
      <c r="O81" s="943" t="s">
        <v>232</v>
      </c>
      <c r="P81" s="943" t="s">
        <v>233</v>
      </c>
      <c r="Q81" s="943" t="s">
        <v>234</v>
      </c>
      <c r="R81" s="944">
        <v>12000</v>
      </c>
      <c r="S81" s="945">
        <v>0.06</v>
      </c>
      <c r="T81" s="946">
        <f>12000/1.06</f>
        <v>11320.7547169811</v>
      </c>
      <c r="U81" s="947">
        <f t="shared" ref="U81:U90" si="5">T81*0.0003</f>
        <v>3.39622641509434</v>
      </c>
      <c r="V81" s="942"/>
      <c r="W81" s="942"/>
      <c r="X81" s="822"/>
      <c r="Y81" s="675"/>
      <c r="Z81" s="675"/>
      <c r="AA81" s="934"/>
      <c r="AB81" s="935"/>
      <c r="AC81" s="935"/>
      <c r="AD81" s="935"/>
      <c r="AE81" s="675"/>
      <c r="AF81" s="675"/>
      <c r="AG81" s="622"/>
      <c r="AH81" s="936"/>
      <c r="AI81" s="935"/>
      <c r="AJ81" s="935"/>
      <c r="AK81" s="937"/>
      <c r="AL81" s="675"/>
      <c r="AM81" s="675"/>
      <c r="AN81" s="675"/>
      <c r="AO81" s="675"/>
      <c r="AP81" s="619"/>
      <c r="AQ81" s="619"/>
      <c r="AR81" s="619"/>
      <c r="AS81" s="619"/>
      <c r="AT81" s="619"/>
      <c r="AU81" s="619"/>
    </row>
    <row r="82" s="582" customFormat="1" ht="22" customHeight="1" spans="1:47">
      <c r="A82"/>
      <c r="B82"/>
      <c r="C82"/>
      <c r="D82"/>
      <c r="E82"/>
      <c r="F82"/>
      <c r="G82"/>
      <c r="H82"/>
      <c r="I82"/>
      <c r="O82" s="943" t="s">
        <v>235</v>
      </c>
      <c r="P82" s="943" t="s">
        <v>236</v>
      </c>
      <c r="Q82" s="943" t="s">
        <v>237</v>
      </c>
      <c r="R82" s="944">
        <v>2022</v>
      </c>
      <c r="S82" s="945">
        <v>0.01</v>
      </c>
      <c r="T82" s="946">
        <f t="shared" ref="T82:T85" si="6">R82/1.01</f>
        <v>2001.9801980198</v>
      </c>
      <c r="U82" s="947">
        <f t="shared" si="5"/>
        <v>0.600594059405941</v>
      </c>
      <c r="V82" s="942"/>
      <c r="W82" s="942"/>
      <c r="X82" s="902"/>
      <c r="Y82" s="948"/>
      <c r="Z82" s="675"/>
      <c r="AA82" s="934"/>
      <c r="AB82" s="935"/>
      <c r="AC82" s="935"/>
      <c r="AD82" s="935"/>
      <c r="AE82" s="931"/>
      <c r="AF82" s="675"/>
      <c r="AG82" s="622"/>
      <c r="AH82" s="936"/>
      <c r="AI82" s="935"/>
      <c r="AJ82" s="935"/>
      <c r="AK82" s="937"/>
      <c r="AL82" s="675"/>
      <c r="AM82" s="675"/>
      <c r="AN82" s="675"/>
      <c r="AO82" s="675"/>
      <c r="AP82" s="619"/>
      <c r="AQ82" s="619"/>
      <c r="AR82" s="619"/>
      <c r="AS82" s="619"/>
      <c r="AT82" s="619"/>
      <c r="AU82" s="619"/>
    </row>
    <row r="83" s="582" customFormat="1" ht="22" customHeight="1" spans="1:47">
      <c r="A83"/>
      <c r="B83"/>
      <c r="C83"/>
      <c r="D83"/>
      <c r="E83"/>
      <c r="F83"/>
      <c r="G83"/>
      <c r="H83"/>
      <c r="I83"/>
      <c r="O83" s="943" t="s">
        <v>238</v>
      </c>
      <c r="P83" s="943" t="s">
        <v>239</v>
      </c>
      <c r="Q83" s="943" t="s">
        <v>240</v>
      </c>
      <c r="R83" s="944">
        <v>7850</v>
      </c>
      <c r="S83" s="945"/>
      <c r="T83" s="946">
        <f>7850/1.01</f>
        <v>7772.27722772277</v>
      </c>
      <c r="U83" s="947">
        <f t="shared" si="5"/>
        <v>2.33168316831683</v>
      </c>
      <c r="V83" s="942"/>
      <c r="W83" s="942"/>
      <c r="X83" s="902"/>
      <c r="Y83" s="948"/>
      <c r="Z83" s="675"/>
      <c r="AA83" s="934"/>
      <c r="AB83" s="935"/>
      <c r="AC83" s="935"/>
      <c r="AD83" s="935"/>
      <c r="AE83" s="931"/>
      <c r="AF83" s="675"/>
      <c r="AG83" s="622"/>
      <c r="AH83" s="936"/>
      <c r="AI83" s="935"/>
      <c r="AJ83" s="935"/>
      <c r="AK83" s="937"/>
      <c r="AL83" s="675"/>
      <c r="AM83" s="675"/>
      <c r="AN83" s="675"/>
      <c r="AO83" s="675"/>
      <c r="AP83" s="619"/>
      <c r="AQ83" s="619"/>
      <c r="AR83" s="619"/>
      <c r="AS83" s="619"/>
      <c r="AT83" s="619"/>
      <c r="AU83" s="619"/>
    </row>
    <row r="84" s="582" customFormat="1" ht="22" customHeight="1" spans="1:47">
      <c r="A84"/>
      <c r="B84"/>
      <c r="C84"/>
      <c r="D84"/>
      <c r="E84"/>
      <c r="F84"/>
      <c r="G84"/>
      <c r="H84"/>
      <c r="I84"/>
      <c r="O84" s="943" t="s">
        <v>241</v>
      </c>
      <c r="P84" s="943" t="s">
        <v>242</v>
      </c>
      <c r="Q84" s="943" t="s">
        <v>237</v>
      </c>
      <c r="R84" s="944">
        <v>11700</v>
      </c>
      <c r="S84" s="945">
        <v>0.01</v>
      </c>
      <c r="T84" s="946">
        <f t="shared" si="6"/>
        <v>11584.1584158416</v>
      </c>
      <c r="U84" s="947">
        <f t="shared" si="5"/>
        <v>3.47524752475248</v>
      </c>
      <c r="V84" s="942"/>
      <c r="W84" s="942"/>
      <c r="X84" s="902"/>
      <c r="Y84" s="948"/>
      <c r="Z84" s="675"/>
      <c r="AA84" s="934"/>
      <c r="AB84" s="935"/>
      <c r="AC84" s="935"/>
      <c r="AD84" s="935"/>
      <c r="AE84" s="932"/>
      <c r="AF84" s="675"/>
      <c r="AG84" s="622"/>
      <c r="AH84" s="936"/>
      <c r="AI84" s="935"/>
      <c r="AJ84" s="935"/>
      <c r="AK84" s="937"/>
      <c r="AL84" s="675"/>
      <c r="AM84" s="675"/>
      <c r="AN84" s="675"/>
      <c r="AO84" s="675"/>
      <c r="AP84" s="619"/>
      <c r="AQ84" s="619"/>
      <c r="AR84" s="619"/>
      <c r="AS84" s="619"/>
      <c r="AT84" s="619"/>
      <c r="AU84" s="619"/>
    </row>
    <row r="85" s="582" customFormat="1" ht="22" customHeight="1" spans="1:47">
      <c r="A85"/>
      <c r="B85"/>
      <c r="C85"/>
      <c r="D85"/>
      <c r="E85"/>
      <c r="F85"/>
      <c r="G85"/>
      <c r="H85"/>
      <c r="I85"/>
      <c r="O85" s="943" t="s">
        <v>243</v>
      </c>
      <c r="P85" s="943" t="s">
        <v>244</v>
      </c>
      <c r="Q85" s="943" t="s">
        <v>237</v>
      </c>
      <c r="R85" s="944">
        <v>1450</v>
      </c>
      <c r="S85" s="945">
        <v>0.01</v>
      </c>
      <c r="T85" s="946">
        <f t="shared" si="6"/>
        <v>1435.64356435644</v>
      </c>
      <c r="U85" s="947">
        <f t="shared" si="5"/>
        <v>0.430693069306931</v>
      </c>
      <c r="V85" s="942"/>
      <c r="W85" s="942"/>
      <c r="X85" s="902"/>
      <c r="Y85" s="744"/>
      <c r="Z85" s="675"/>
      <c r="AA85" s="934"/>
      <c r="AB85" s="935"/>
      <c r="AC85" s="935"/>
      <c r="AD85" s="935"/>
      <c r="AE85" s="932"/>
      <c r="AF85" s="675"/>
      <c r="AG85" s="622"/>
      <c r="AH85" s="936"/>
      <c r="AI85" s="935"/>
      <c r="AJ85" s="935"/>
      <c r="AK85" s="937"/>
      <c r="AL85" s="675"/>
      <c r="AM85" s="675"/>
      <c r="AN85" s="675"/>
      <c r="AO85" s="675"/>
      <c r="AP85" s="619"/>
      <c r="AQ85" s="619"/>
      <c r="AR85" s="619"/>
      <c r="AS85" s="619"/>
      <c r="AT85" s="619"/>
      <c r="AU85" s="619"/>
    </row>
    <row r="86" s="582" customFormat="1" ht="22" customHeight="1" spans="1:47">
      <c r="A86"/>
      <c r="B86"/>
      <c r="C86"/>
      <c r="D86"/>
      <c r="E86"/>
      <c r="F86"/>
      <c r="G86"/>
      <c r="H86"/>
      <c r="I86"/>
      <c r="O86" s="943" t="s">
        <v>245</v>
      </c>
      <c r="P86" s="943" t="s">
        <v>246</v>
      </c>
      <c r="Q86" s="943" t="s">
        <v>247</v>
      </c>
      <c r="R86" s="944">
        <v>34367.2</v>
      </c>
      <c r="S86" s="945">
        <v>0.03</v>
      </c>
      <c r="T86" s="946">
        <f>R86/1.03</f>
        <v>33366.213592233</v>
      </c>
      <c r="U86" s="947">
        <f t="shared" si="5"/>
        <v>10.0098640776699</v>
      </c>
      <c r="V86" s="942"/>
      <c r="W86" s="942"/>
      <c r="X86" s="902"/>
      <c r="Y86" s="675"/>
      <c r="Z86" s="675"/>
      <c r="AA86" s="934"/>
      <c r="AB86" s="935"/>
      <c r="AC86" s="935"/>
      <c r="AD86" s="935"/>
      <c r="AE86" s="931"/>
      <c r="AF86" s="675"/>
      <c r="AG86" s="622"/>
      <c r="AH86" s="936"/>
      <c r="AI86" s="935"/>
      <c r="AJ86" s="935"/>
      <c r="AK86" s="937"/>
      <c r="AL86" s="675"/>
      <c r="AM86" s="675"/>
      <c r="AN86" s="675"/>
      <c r="AO86" s="675"/>
      <c r="AP86" s="619"/>
      <c r="AQ86" s="619"/>
      <c r="AR86" s="619"/>
      <c r="AS86" s="619"/>
      <c r="AT86" s="619"/>
      <c r="AU86" s="619"/>
    </row>
    <row r="87" s="582" customFormat="1" ht="22" customHeight="1" spans="1:47">
      <c r="A87"/>
      <c r="B87"/>
      <c r="C87"/>
      <c r="D87"/>
      <c r="E87"/>
      <c r="F87"/>
      <c r="G87"/>
      <c r="H87"/>
      <c r="I87"/>
      <c r="O87" s="943" t="s">
        <v>248</v>
      </c>
      <c r="P87" s="943" t="s">
        <v>249</v>
      </c>
      <c r="Q87" s="943" t="s">
        <v>250</v>
      </c>
      <c r="R87" s="944">
        <v>130000</v>
      </c>
      <c r="S87" s="945">
        <v>0.09</v>
      </c>
      <c r="T87" s="946">
        <f>R87/1.09</f>
        <v>119266.055045872</v>
      </c>
      <c r="U87" s="947">
        <f t="shared" si="5"/>
        <v>35.7798165137615</v>
      </c>
      <c r="V87" s="942"/>
      <c r="W87" s="942"/>
      <c r="X87" s="902"/>
      <c r="Y87" s="948"/>
      <c r="Z87" s="675"/>
      <c r="AA87" s="934"/>
      <c r="AB87" s="935"/>
      <c r="AC87" s="935"/>
      <c r="AD87" s="935"/>
      <c r="AE87" s="931"/>
      <c r="AF87" s="675"/>
      <c r="AG87" s="622"/>
      <c r="AH87" s="949"/>
      <c r="AI87" s="949"/>
      <c r="AJ87" s="935"/>
      <c r="AK87" s="937"/>
      <c r="AL87" s="675"/>
      <c r="AM87" s="675"/>
      <c r="AN87" s="675"/>
      <c r="AO87" s="675"/>
      <c r="AP87" s="619"/>
      <c r="AQ87" s="619"/>
      <c r="AR87" s="619"/>
      <c r="AS87" s="619"/>
      <c r="AT87" s="619"/>
      <c r="AU87" s="619"/>
    </row>
    <row r="88" s="582" customFormat="1" ht="22" customHeight="1" spans="1:47">
      <c r="A88"/>
      <c r="B88"/>
      <c r="C88"/>
      <c r="D88"/>
      <c r="E88"/>
      <c r="F88"/>
      <c r="G88"/>
      <c r="H88"/>
      <c r="I88"/>
      <c r="O88" s="943" t="s">
        <v>251</v>
      </c>
      <c r="P88" s="943" t="s">
        <v>252</v>
      </c>
      <c r="Q88" s="943" t="s">
        <v>237</v>
      </c>
      <c r="R88" s="944">
        <v>12760</v>
      </c>
      <c r="S88" s="945">
        <v>0.01</v>
      </c>
      <c r="T88" s="946">
        <f t="shared" ref="T88:T90" si="7">R88/1.01</f>
        <v>12633.6633663366</v>
      </c>
      <c r="U88" s="947">
        <f t="shared" si="5"/>
        <v>3.79009900990099</v>
      </c>
      <c r="V88" s="942"/>
      <c r="W88" s="942"/>
      <c r="X88" s="715"/>
      <c r="Y88" s="948"/>
      <c r="Z88" s="675"/>
      <c r="AA88" s="934"/>
      <c r="AB88" s="935"/>
      <c r="AC88" s="935"/>
      <c r="AD88" s="935"/>
      <c r="AE88" s="931"/>
      <c r="AF88" s="675"/>
      <c r="AG88" s="622"/>
      <c r="AH88" s="949"/>
      <c r="AI88" s="949"/>
      <c r="AJ88" s="935"/>
      <c r="AK88" s="937"/>
      <c r="AL88" s="675"/>
      <c r="AM88" s="675"/>
      <c r="AN88" s="675"/>
      <c r="AO88" s="675"/>
      <c r="AP88" s="619"/>
      <c r="AQ88" s="619"/>
      <c r="AR88" s="619"/>
      <c r="AS88" s="619"/>
      <c r="AT88" s="619"/>
      <c r="AU88" s="619"/>
    </row>
    <row r="89" s="582" customFormat="1" ht="22" customHeight="1" spans="1:47">
      <c r="A89"/>
      <c r="B89"/>
      <c r="C89"/>
      <c r="D89"/>
      <c r="E89"/>
      <c r="F89"/>
      <c r="G89"/>
      <c r="H89"/>
      <c r="I89"/>
      <c r="O89" s="950" t="s">
        <v>251</v>
      </c>
      <c r="P89" s="950" t="s">
        <v>252</v>
      </c>
      <c r="Q89" s="950" t="s">
        <v>237</v>
      </c>
      <c r="R89" s="951">
        <v>27434</v>
      </c>
      <c r="S89" s="952">
        <v>0.01</v>
      </c>
      <c r="T89" s="953">
        <f t="shared" si="7"/>
        <v>27162.3762376238</v>
      </c>
      <c r="U89" s="954">
        <f t="shared" si="5"/>
        <v>8.14871287128713</v>
      </c>
      <c r="V89" s="942"/>
      <c r="W89" s="942"/>
      <c r="X89" s="902"/>
      <c r="Y89" s="948"/>
      <c r="Z89" s="675"/>
      <c r="AA89" s="934"/>
      <c r="AB89" s="935"/>
      <c r="AC89" s="935"/>
      <c r="AD89" s="935"/>
      <c r="AE89" s="931"/>
      <c r="AF89" s="675"/>
      <c r="AG89" s="622"/>
      <c r="AH89" s="949"/>
      <c r="AI89" s="949"/>
      <c r="AJ89" s="935"/>
      <c r="AK89" s="937"/>
      <c r="AL89" s="675"/>
      <c r="AM89" s="675"/>
      <c r="AN89" s="675"/>
      <c r="AO89" s="675"/>
      <c r="AP89" s="619"/>
      <c r="AQ89" s="619"/>
      <c r="AR89" s="619"/>
      <c r="AS89" s="619"/>
      <c r="AT89" s="619"/>
      <c r="AU89" s="619"/>
    </row>
    <row r="90" s="582" customFormat="1" ht="22" customHeight="1" spans="1:47">
      <c r="A90"/>
      <c r="B90"/>
      <c r="C90"/>
      <c r="D90"/>
      <c r="E90"/>
      <c r="F90"/>
      <c r="G90"/>
      <c r="H90"/>
      <c r="I90"/>
      <c r="O90" s="950" t="s">
        <v>253</v>
      </c>
      <c r="P90" s="950" t="s">
        <v>252</v>
      </c>
      <c r="Q90" s="950" t="s">
        <v>237</v>
      </c>
      <c r="R90" s="951">
        <v>20000</v>
      </c>
      <c r="S90" s="952">
        <v>0.01</v>
      </c>
      <c r="T90" s="953">
        <f t="shared" si="7"/>
        <v>19801.9801980198</v>
      </c>
      <c r="U90" s="954">
        <f t="shared" si="5"/>
        <v>5.94059405940594</v>
      </c>
      <c r="V90" s="942"/>
      <c r="W90" s="942"/>
      <c r="X90" s="902"/>
      <c r="Y90" s="948"/>
      <c r="Z90" s="675"/>
      <c r="AA90" s="934"/>
      <c r="AB90" s="935"/>
      <c r="AC90" s="935"/>
      <c r="AD90" s="935"/>
      <c r="AE90" s="931"/>
      <c r="AF90" s="675"/>
      <c r="AG90" s="622"/>
      <c r="AH90" s="949"/>
      <c r="AI90" s="949"/>
      <c r="AJ90" s="935"/>
      <c r="AK90" s="937"/>
      <c r="AL90" s="675"/>
      <c r="AM90" s="675"/>
      <c r="AN90" s="675"/>
      <c r="AO90" s="619"/>
      <c r="AP90" s="619"/>
      <c r="AQ90" s="619"/>
      <c r="AR90" s="619"/>
      <c r="AS90" s="619"/>
      <c r="AT90" s="619"/>
      <c r="AU90" s="619"/>
    </row>
    <row r="91" s="582" customFormat="1" ht="22" customHeight="1" spans="1:47">
      <c r="A91"/>
      <c r="B91"/>
      <c r="C91"/>
      <c r="D91"/>
      <c r="E91"/>
      <c r="F91"/>
      <c r="G91"/>
      <c r="H91"/>
      <c r="I91"/>
      <c r="O91" s="955" t="s">
        <v>254</v>
      </c>
      <c r="P91" s="956" t="s">
        <v>255</v>
      </c>
      <c r="Q91" s="956"/>
      <c r="R91" s="956">
        <v>333405.6</v>
      </c>
      <c r="S91" s="957"/>
      <c r="T91" s="954">
        <f>R91/1.09</f>
        <v>305876.697247706</v>
      </c>
      <c r="U91" s="954">
        <f>T91*0.1%</f>
        <v>305.876697247706</v>
      </c>
      <c r="V91" s="942"/>
      <c r="W91" s="942"/>
      <c r="X91" s="902"/>
      <c r="Y91" s="948"/>
      <c r="Z91" s="675"/>
      <c r="AA91" s="744"/>
      <c r="AB91" s="653"/>
      <c r="AC91" s="653"/>
      <c r="AD91" s="619"/>
      <c r="AE91" s="931"/>
      <c r="AF91" s="675"/>
      <c r="AG91" s="675"/>
      <c r="AH91" s="958"/>
      <c r="AI91" s="619"/>
      <c r="AJ91" s="675"/>
      <c r="AK91" s="676"/>
      <c r="AL91" s="675"/>
      <c r="AM91" s="675"/>
      <c r="AN91" s="675"/>
      <c r="AO91" s="619"/>
      <c r="AP91" s="619"/>
      <c r="AQ91" s="619"/>
      <c r="AR91" s="619"/>
      <c r="AS91" s="619"/>
      <c r="AT91" s="619"/>
      <c r="AU91" s="619"/>
    </row>
    <row r="92" s="582" customFormat="1" ht="22" customHeight="1" spans="1:47">
      <c r="A92"/>
      <c r="B92"/>
      <c r="C92"/>
      <c r="D92"/>
      <c r="E92"/>
      <c r="F92"/>
      <c r="G92"/>
      <c r="H92"/>
      <c r="I92"/>
      <c r="O92" s="959" t="s">
        <v>70</v>
      </c>
      <c r="P92" s="960"/>
      <c r="Q92" s="960"/>
      <c r="R92" s="960"/>
      <c r="S92" s="960"/>
      <c r="T92" s="869"/>
      <c r="U92" s="869">
        <f>SUM(U81:U91)</f>
        <v>379.780228016608</v>
      </c>
      <c r="V92" s="942"/>
      <c r="W92" s="942"/>
      <c r="X92" s="902"/>
      <c r="Y92" s="948"/>
      <c r="Z92" s="675"/>
      <c r="AA92" s="744"/>
      <c r="AB92" s="853"/>
      <c r="AC92" s="853"/>
      <c r="AD92" s="619"/>
      <c r="AE92" s="931"/>
      <c r="AF92" s="961"/>
      <c r="AG92" s="675"/>
      <c r="AH92" s="962"/>
      <c r="AI92" s="962"/>
      <c r="AJ92" s="962"/>
      <c r="AK92" s="676"/>
      <c r="AL92" s="675"/>
      <c r="AM92" s="675"/>
      <c r="AN92" s="675"/>
      <c r="AO92" s="619"/>
      <c r="AP92" s="619"/>
      <c r="AQ92" s="619"/>
      <c r="AR92" s="619"/>
      <c r="AS92" s="619"/>
      <c r="AT92" s="619"/>
      <c r="AU92" s="619"/>
    </row>
    <row r="93" s="582" customFormat="1" ht="22" customHeight="1" spans="1:47">
      <c r="A93"/>
      <c r="B93"/>
      <c r="C93"/>
      <c r="D93"/>
      <c r="E93"/>
      <c r="F93"/>
      <c r="G93"/>
      <c r="H93"/>
      <c r="I93"/>
      <c r="O93" s="941"/>
      <c r="T93" s="942"/>
      <c r="U93" s="942"/>
      <c r="V93" s="942"/>
      <c r="W93" s="942"/>
      <c r="X93" s="902"/>
      <c r="Y93" s="675"/>
      <c r="Z93" s="675"/>
      <c r="AA93" s="744"/>
      <c r="AB93" s="653"/>
      <c r="AC93" s="675"/>
      <c r="AD93" s="619"/>
      <c r="AE93" s="931"/>
      <c r="AF93" s="675"/>
      <c r="AG93" s="675"/>
      <c r="AH93" s="958"/>
      <c r="AI93" s="619"/>
      <c r="AJ93" s="675"/>
      <c r="AK93" s="715"/>
      <c r="AL93" s="675"/>
      <c r="AM93" s="675"/>
      <c r="AN93" s="653"/>
      <c r="AO93" s="619"/>
      <c r="AP93" s="619"/>
      <c r="AQ93" s="619"/>
      <c r="AR93" s="619"/>
      <c r="AS93" s="619"/>
      <c r="AT93" s="619"/>
      <c r="AU93" s="619"/>
    </row>
    <row r="94" s="582" customFormat="1" ht="22" customHeight="1" spans="1:47">
      <c r="A94"/>
      <c r="B94"/>
      <c r="C94"/>
      <c r="D94"/>
      <c r="E94"/>
      <c r="F94"/>
      <c r="G94"/>
      <c r="H94"/>
      <c r="I94"/>
      <c r="O94" s="941"/>
      <c r="T94" s="942"/>
      <c r="U94" s="942"/>
      <c r="V94" s="942"/>
      <c r="W94" s="942"/>
      <c r="X94" s="902"/>
      <c r="Y94" s="675"/>
      <c r="Z94" s="675"/>
      <c r="AA94" s="744"/>
      <c r="AB94" s="653"/>
      <c r="AC94" s="675"/>
      <c r="AD94" s="619"/>
      <c r="AE94" s="931"/>
      <c r="AF94" s="675"/>
      <c r="AG94" s="675"/>
      <c r="AH94" s="958"/>
      <c r="AI94" s="619"/>
      <c r="AJ94" s="675"/>
      <c r="AK94" s="715"/>
      <c r="AL94" s="675"/>
      <c r="AM94" s="744"/>
      <c r="AN94" s="963"/>
      <c r="AO94" s="675"/>
      <c r="AP94" s="675"/>
      <c r="AQ94" s="675"/>
      <c r="AR94" s="619"/>
      <c r="AS94" s="619"/>
      <c r="AT94" s="619"/>
      <c r="AU94" s="619"/>
    </row>
    <row r="95" s="582" customFormat="1" ht="22" customHeight="1" spans="1:47">
      <c r="A95"/>
      <c r="B95"/>
      <c r="C95"/>
      <c r="D95"/>
      <c r="E95"/>
      <c r="F95"/>
      <c r="G95"/>
      <c r="H95"/>
      <c r="I95"/>
      <c r="V95" s="942"/>
      <c r="W95" s="942"/>
      <c r="X95" s="902"/>
      <c r="Y95" s="675"/>
      <c r="Z95" s="675"/>
      <c r="AA95" s="744"/>
      <c r="AB95" s="653"/>
      <c r="AC95" s="675"/>
      <c r="AD95" s="619"/>
      <c r="AE95" s="931"/>
      <c r="AF95" s="675"/>
      <c r="AG95" s="675"/>
      <c r="AH95" s="958"/>
      <c r="AI95" s="619"/>
      <c r="AJ95" s="675"/>
      <c r="AK95" s="715"/>
      <c r="AL95" s="675"/>
      <c r="AM95" s="744"/>
      <c r="AN95" s="653"/>
      <c r="AO95" s="675"/>
      <c r="AP95" s="675"/>
      <c r="AQ95" s="675"/>
      <c r="AR95" s="619"/>
      <c r="AS95" s="619"/>
      <c r="AT95" s="619"/>
      <c r="AU95" s="619"/>
    </row>
    <row r="96" s="582" customFormat="1" ht="22" customHeight="1" spans="1:47">
      <c r="A96"/>
      <c r="B96"/>
      <c r="C96"/>
      <c r="D96"/>
      <c r="E96"/>
      <c r="F96"/>
      <c r="G96"/>
      <c r="H96"/>
      <c r="I96"/>
      <c r="O96" s="941"/>
      <c r="T96" s="942"/>
      <c r="U96" s="942"/>
      <c r="V96" s="942"/>
      <c r="W96" s="942"/>
      <c r="X96" s="902"/>
      <c r="Y96" s="675"/>
      <c r="Z96" s="675"/>
      <c r="AA96" s="744"/>
      <c r="AB96" s="653"/>
      <c r="AC96" s="675"/>
      <c r="AD96" s="619"/>
      <c r="AE96" s="931"/>
      <c r="AF96" s="675"/>
      <c r="AG96" s="675"/>
      <c r="AH96" s="958"/>
      <c r="AI96" s="619"/>
      <c r="AJ96" s="653"/>
      <c r="AK96" s="715"/>
      <c r="AL96" s="675"/>
      <c r="AM96" s="675"/>
      <c r="AN96" s="675"/>
      <c r="AO96" s="619"/>
      <c r="AP96" s="619"/>
      <c r="AQ96" s="619"/>
      <c r="AR96" s="619"/>
      <c r="AS96" s="619"/>
      <c r="AT96" s="619"/>
      <c r="AU96" s="619"/>
    </row>
    <row r="97" s="582" customFormat="1" ht="22" customHeight="1" spans="1:47">
      <c r="A97"/>
      <c r="B97"/>
      <c r="C97"/>
      <c r="D97"/>
      <c r="E97"/>
      <c r="F97"/>
      <c r="G97"/>
      <c r="H97"/>
      <c r="I97"/>
      <c r="O97" s="941"/>
      <c r="T97" s="942"/>
      <c r="U97" s="942"/>
      <c r="V97" s="942"/>
      <c r="W97" s="942"/>
      <c r="X97" s="902"/>
      <c r="Y97" s="675"/>
      <c r="Z97" s="675"/>
      <c r="AA97" s="744"/>
      <c r="AB97" s="653"/>
      <c r="AC97" s="675"/>
      <c r="AD97" s="619"/>
      <c r="AE97" s="931"/>
      <c r="AF97" s="675"/>
      <c r="AG97" s="675"/>
      <c r="AH97" s="958"/>
      <c r="AI97" s="619"/>
      <c r="AJ97" s="653"/>
      <c r="AK97" s="715"/>
      <c r="AL97" s="675"/>
      <c r="AM97" s="675"/>
      <c r="AN97" s="675"/>
      <c r="AO97" s="619"/>
      <c r="AP97" s="619"/>
      <c r="AQ97" s="619"/>
      <c r="AR97" s="619"/>
      <c r="AS97" s="619"/>
      <c r="AT97" s="619"/>
      <c r="AU97" s="619"/>
    </row>
    <row r="98" s="582" customFormat="1" ht="22" customHeight="1" spans="1:47">
      <c r="A98"/>
      <c r="B98"/>
      <c r="C98"/>
      <c r="D98"/>
      <c r="E98"/>
      <c r="F98"/>
      <c r="G98"/>
      <c r="H98"/>
      <c r="I98"/>
      <c r="O98" s="941"/>
      <c r="T98" s="942"/>
      <c r="U98" s="942"/>
      <c r="V98" s="942"/>
      <c r="W98" s="942"/>
      <c r="X98" s="902"/>
      <c r="Y98" s="675"/>
      <c r="Z98" s="675"/>
      <c r="AA98" s="744"/>
      <c r="AB98" s="653"/>
      <c r="AC98" s="675"/>
      <c r="AD98" s="619"/>
      <c r="AE98" s="931"/>
      <c r="AF98" s="675"/>
      <c r="AG98" s="675"/>
      <c r="AH98" s="958"/>
      <c r="AI98" s="619"/>
      <c r="AJ98" s="653"/>
      <c r="AK98" s="715"/>
      <c r="AL98" s="675"/>
      <c r="AM98" s="675"/>
      <c r="AN98" s="675"/>
      <c r="AO98" s="619"/>
      <c r="AP98" s="619"/>
      <c r="AQ98" s="619"/>
      <c r="AR98" s="619"/>
      <c r="AS98" s="619"/>
      <c r="AT98" s="619"/>
      <c r="AU98" s="619"/>
    </row>
    <row r="99" s="582" customFormat="1" ht="22" customHeight="1" spans="1:47">
      <c r="A99"/>
      <c r="B99"/>
      <c r="C99"/>
      <c r="D99"/>
      <c r="E99"/>
      <c r="F99"/>
      <c r="G99"/>
      <c r="H99"/>
      <c r="I99"/>
      <c r="O99" s="941"/>
      <c r="T99" s="942"/>
      <c r="U99" s="942"/>
      <c r="V99" s="942"/>
      <c r="W99" s="942"/>
      <c r="X99" s="902"/>
      <c r="Y99" s="675"/>
      <c r="Z99" s="675"/>
      <c r="AA99" s="744"/>
      <c r="AB99" s="653"/>
      <c r="AC99" s="675"/>
      <c r="AD99" s="619"/>
      <c r="AE99" s="931"/>
      <c r="AF99" s="675"/>
      <c r="AG99" s="675"/>
      <c r="AH99" s="958"/>
      <c r="AI99" s="619"/>
      <c r="AJ99" s="675"/>
      <c r="AK99" s="903"/>
      <c r="AL99" s="675"/>
      <c r="AM99" s="744"/>
      <c r="AN99" s="853"/>
      <c r="AO99" s="619"/>
      <c r="AP99" s="619"/>
      <c r="AQ99" s="619"/>
      <c r="AR99" s="619"/>
      <c r="AS99" s="619"/>
      <c r="AT99" s="619"/>
      <c r="AU99" s="619"/>
    </row>
    <row r="100" s="582" customFormat="1" ht="22" customHeight="1" spans="1:47">
      <c r="A100"/>
      <c r="B100"/>
      <c r="C100"/>
      <c r="D100"/>
      <c r="E100"/>
      <c r="F100"/>
      <c r="G100"/>
      <c r="H100"/>
      <c r="I100"/>
      <c r="O100" s="941"/>
      <c r="T100" s="942"/>
      <c r="U100" s="942"/>
      <c r="V100" s="942"/>
      <c r="W100" s="942"/>
      <c r="X100" s="902"/>
      <c r="Y100" s="675"/>
      <c r="Z100" s="675"/>
      <c r="AA100" s="744"/>
      <c r="AB100" s="653"/>
      <c r="AC100" s="675"/>
      <c r="AD100" s="619"/>
      <c r="AE100" s="931"/>
      <c r="AF100" s="675"/>
      <c r="AG100" s="675"/>
      <c r="AH100" s="958"/>
      <c r="AI100" s="619"/>
      <c r="AJ100" s="675"/>
      <c r="AK100" s="903"/>
      <c r="AL100" s="675"/>
      <c r="AM100" s="744"/>
      <c r="AN100" s="853"/>
      <c r="AO100" s="619"/>
      <c r="AP100" s="619"/>
      <c r="AQ100" s="619"/>
      <c r="AR100" s="619"/>
      <c r="AS100" s="619"/>
      <c r="AT100" s="619"/>
      <c r="AU100" s="619"/>
    </row>
    <row r="101" s="582" customFormat="1" ht="22" customHeight="1" spans="1:47">
      <c r="A101"/>
      <c r="B101"/>
      <c r="C101"/>
      <c r="D101"/>
      <c r="E101"/>
      <c r="F101"/>
      <c r="G101"/>
      <c r="H101"/>
      <c r="I101"/>
      <c r="O101" s="941"/>
      <c r="T101" s="942"/>
      <c r="U101" s="942"/>
      <c r="V101" s="942"/>
      <c r="W101" s="942"/>
      <c r="X101" s="902"/>
      <c r="Y101" s="675"/>
      <c r="Z101" s="675"/>
      <c r="AA101" s="744"/>
      <c r="AB101" s="653"/>
      <c r="AC101" s="675"/>
      <c r="AD101" s="619"/>
      <c r="AE101" s="931"/>
      <c r="AF101" s="675"/>
      <c r="AG101" s="675"/>
      <c r="AH101" s="958"/>
      <c r="AI101" s="619"/>
      <c r="AJ101" s="675"/>
      <c r="AK101" s="715"/>
      <c r="AL101" s="675"/>
      <c r="AM101" s="744"/>
      <c r="AN101" s="675"/>
      <c r="AO101" s="619"/>
      <c r="AP101" s="619"/>
      <c r="AQ101" s="619"/>
      <c r="AR101" s="619"/>
      <c r="AS101" s="619"/>
      <c r="AT101" s="619"/>
      <c r="AU101" s="619"/>
    </row>
    <row r="102" s="582" customFormat="1" ht="22" customHeight="1" spans="1:47">
      <c r="A102"/>
      <c r="B102"/>
      <c r="C102"/>
      <c r="D102"/>
      <c r="E102"/>
      <c r="F102"/>
      <c r="G102"/>
      <c r="H102"/>
      <c r="I102"/>
      <c r="O102" s="941"/>
      <c r="T102" s="942"/>
      <c r="U102" s="942"/>
      <c r="V102" s="942"/>
      <c r="W102" s="942"/>
      <c r="X102" s="902"/>
      <c r="Y102" s="675"/>
      <c r="Z102" s="675"/>
      <c r="AA102" s="744"/>
      <c r="AB102" s="653"/>
      <c r="AC102" s="675"/>
      <c r="AD102" s="619"/>
      <c r="AE102" s="931"/>
      <c r="AF102" s="675"/>
      <c r="AG102" s="675"/>
      <c r="AH102" s="958"/>
      <c r="AI102" s="619"/>
      <c r="AJ102" s="675"/>
      <c r="AK102" s="715"/>
      <c r="AL102" s="675"/>
      <c r="AM102" s="675"/>
      <c r="AN102" s="675"/>
      <c r="AO102" s="619"/>
      <c r="AP102" s="619"/>
      <c r="AQ102" s="619"/>
      <c r="AR102" s="619"/>
      <c r="AS102" s="619"/>
      <c r="AT102" s="619"/>
      <c r="AU102" s="619"/>
    </row>
    <row r="103" s="582" customFormat="1" ht="22" customHeight="1" spans="1:47">
      <c r="A103"/>
      <c r="B103"/>
      <c r="C103"/>
      <c r="D103"/>
      <c r="E103"/>
      <c r="F103"/>
      <c r="G103"/>
      <c r="H103"/>
      <c r="I103"/>
      <c r="O103" s="941"/>
      <c r="T103" s="942"/>
      <c r="U103" s="942"/>
      <c r="V103" s="942"/>
      <c r="W103" s="942"/>
      <c r="X103" s="902"/>
      <c r="Y103" s="675"/>
      <c r="Z103" s="675"/>
      <c r="AA103" s="744"/>
      <c r="AB103" s="653"/>
      <c r="AC103" s="675"/>
      <c r="AD103" s="619"/>
      <c r="AE103" s="931"/>
      <c r="AF103" s="675"/>
      <c r="AG103" s="675"/>
      <c r="AH103" s="958"/>
      <c r="AI103" s="619"/>
      <c r="AJ103" s="675"/>
      <c r="AK103" s="715"/>
      <c r="AL103" s="675"/>
      <c r="AM103" s="675"/>
      <c r="AN103" s="675"/>
      <c r="AO103" s="619"/>
      <c r="AP103" s="619"/>
      <c r="AQ103" s="619"/>
      <c r="AR103" s="619"/>
      <c r="AS103" s="619"/>
      <c r="AT103" s="619"/>
      <c r="AU103" s="619"/>
    </row>
    <row r="104" s="582" customFormat="1" ht="22" customHeight="1" spans="1:47">
      <c r="O104" s="941"/>
      <c r="T104" s="942"/>
      <c r="U104" s="942"/>
      <c r="V104" s="942"/>
      <c r="W104" s="942"/>
      <c r="X104" s="902"/>
      <c r="Y104" s="675"/>
      <c r="Z104" s="675"/>
      <c r="AA104" s="744"/>
      <c r="AB104" s="653"/>
      <c r="AC104" s="675"/>
      <c r="AD104" s="619"/>
      <c r="AE104" s="931"/>
      <c r="AF104" s="675"/>
      <c r="AG104" s="675"/>
      <c r="AH104" s="958"/>
      <c r="AI104" s="619"/>
      <c r="AJ104" s="675"/>
      <c r="AK104" s="715"/>
      <c r="AL104" s="675"/>
      <c r="AM104" s="675"/>
      <c r="AN104" s="675"/>
      <c r="AO104" s="619"/>
      <c r="AP104" s="619"/>
      <c r="AQ104" s="619"/>
      <c r="AR104" s="619"/>
      <c r="AS104" s="619"/>
      <c r="AT104" s="619"/>
      <c r="AU104" s="619"/>
    </row>
    <row r="105" s="582" customFormat="1" ht="22" customHeight="1" spans="1:47">
      <c r="O105" s="941"/>
      <c r="T105" s="942"/>
      <c r="U105" s="942"/>
      <c r="V105" s="942"/>
      <c r="W105" s="942"/>
      <c r="X105" s="902"/>
      <c r="Y105" s="675"/>
      <c r="Z105" s="675"/>
      <c r="AA105" s="744"/>
      <c r="AB105" s="653"/>
      <c r="AC105" s="675"/>
      <c r="AD105" s="619"/>
      <c r="AE105" s="931"/>
      <c r="AF105" s="675"/>
      <c r="AG105" s="675"/>
      <c r="AH105" s="958"/>
      <c r="AI105" s="619"/>
      <c r="AJ105" s="675"/>
      <c r="AK105" s="715"/>
      <c r="AL105" s="675"/>
      <c r="AM105" s="675"/>
      <c r="AN105" s="675"/>
      <c r="AO105" s="619"/>
      <c r="AP105" s="619"/>
      <c r="AQ105" s="619"/>
      <c r="AR105" s="619"/>
      <c r="AS105" s="619"/>
      <c r="AT105" s="619"/>
      <c r="AU105" s="619"/>
    </row>
    <row r="106" s="582" customFormat="1" ht="22" customHeight="1" spans="1:47">
      <c r="O106" s="941"/>
      <c r="T106" s="942"/>
      <c r="U106" s="942"/>
      <c r="V106" s="942"/>
      <c r="W106" s="942"/>
      <c r="X106" s="902"/>
      <c r="Y106" s="675"/>
      <c r="Z106" s="675"/>
      <c r="AA106" s="744"/>
      <c r="AB106" s="653"/>
      <c r="AC106" s="675"/>
      <c r="AD106" s="619"/>
      <c r="AE106" s="931"/>
      <c r="AF106" s="675"/>
      <c r="AG106" s="675"/>
      <c r="AH106" s="958"/>
      <c r="AI106" s="619"/>
      <c r="AJ106" s="675"/>
      <c r="AK106" s="715"/>
      <c r="AL106" s="675"/>
      <c r="AM106" s="675"/>
      <c r="AN106" s="675"/>
      <c r="AO106" s="619"/>
      <c r="AP106" s="619"/>
      <c r="AQ106" s="619"/>
      <c r="AR106" s="619"/>
      <c r="AS106" s="619"/>
      <c r="AT106" s="619"/>
      <c r="AU106" s="619"/>
    </row>
    <row r="107" s="582" customFormat="1" ht="22" customHeight="1" spans="1:47">
      <c r="O107" s="941"/>
      <c r="T107" s="942"/>
      <c r="U107" s="942"/>
      <c r="V107" s="942"/>
      <c r="W107" s="942"/>
      <c r="X107" s="902"/>
      <c r="Y107" s="675"/>
      <c r="Z107" s="675"/>
      <c r="AA107" s="744"/>
      <c r="AB107" s="653"/>
      <c r="AC107" s="675"/>
      <c r="AD107" s="619"/>
      <c r="AE107" s="931"/>
      <c r="AF107" s="675"/>
      <c r="AG107" s="675"/>
      <c r="AH107" s="958"/>
      <c r="AI107" s="619"/>
      <c r="AJ107" s="675"/>
      <c r="AK107" s="715"/>
      <c r="AL107" s="675"/>
      <c r="AM107" s="675"/>
      <c r="AN107" s="675"/>
      <c r="AO107" s="675"/>
      <c r="AP107" s="619"/>
      <c r="AQ107" s="619"/>
      <c r="AR107" s="619"/>
      <c r="AS107" s="619"/>
      <c r="AT107" s="619"/>
      <c r="AU107" s="619"/>
    </row>
    <row r="108" s="582" customFormat="1" ht="22" customHeight="1" spans="1:47">
      <c r="O108" s="941"/>
      <c r="T108" s="942"/>
      <c r="U108" s="942"/>
      <c r="V108" s="942"/>
      <c r="W108" s="942"/>
      <c r="X108" s="902"/>
      <c r="Y108" s="675"/>
      <c r="Z108" s="675"/>
      <c r="AA108" s="744"/>
      <c r="AB108" s="653"/>
      <c r="AC108" s="675"/>
      <c r="AD108" s="619"/>
      <c r="AE108" s="931"/>
      <c r="AF108" s="675"/>
      <c r="AG108" s="675"/>
      <c r="AH108" s="958"/>
      <c r="AI108" s="619"/>
      <c r="AJ108" s="675"/>
      <c r="AK108" s="715"/>
      <c r="AL108" s="675"/>
      <c r="AM108" s="675"/>
      <c r="AN108" s="675"/>
      <c r="AO108" s="675"/>
      <c r="AP108" s="619"/>
      <c r="AQ108" s="619"/>
      <c r="AR108" s="619"/>
      <c r="AS108" s="619"/>
      <c r="AT108" s="619"/>
      <c r="AU108" s="619"/>
    </row>
    <row r="109" s="582" customFormat="1" ht="22" customHeight="1" spans="1:47">
      <c r="O109" s="941"/>
      <c r="T109" s="942"/>
      <c r="U109" s="942"/>
      <c r="V109" s="942"/>
      <c r="W109" s="942"/>
      <c r="X109" s="902"/>
      <c r="Y109" s="675"/>
      <c r="Z109" s="675"/>
      <c r="AA109" s="744"/>
      <c r="AB109" s="653"/>
      <c r="AC109" s="675"/>
      <c r="AD109" s="619"/>
      <c r="AE109" s="931"/>
      <c r="AF109" s="675"/>
      <c r="AG109" s="675"/>
      <c r="AH109" s="958"/>
      <c r="AI109" s="619"/>
      <c r="AJ109" s="675"/>
      <c r="AK109" s="715"/>
      <c r="AL109" s="675"/>
      <c r="AM109" s="744"/>
      <c r="AN109" s="675"/>
      <c r="AO109" s="619"/>
      <c r="AP109" s="619"/>
      <c r="AQ109" s="619"/>
      <c r="AR109" s="619"/>
      <c r="AS109" s="619"/>
      <c r="AT109" s="619"/>
      <c r="AU109" s="619"/>
    </row>
    <row r="110" s="582" customFormat="1" ht="22" customHeight="1" spans="1:47">
      <c r="O110" s="941"/>
      <c r="T110" s="942"/>
      <c r="U110" s="942"/>
      <c r="V110" s="942"/>
      <c r="W110" s="942"/>
      <c r="X110" s="902"/>
      <c r="Y110" s="675"/>
      <c r="Z110" s="675"/>
      <c r="AA110" s="744"/>
      <c r="AB110" s="653"/>
      <c r="AC110" s="675"/>
      <c r="AD110" s="619"/>
      <c r="AE110" s="931"/>
      <c r="AF110" s="675"/>
      <c r="AG110" s="675"/>
      <c r="AH110" s="958"/>
      <c r="AI110" s="619"/>
      <c r="AJ110" s="675"/>
      <c r="AK110" s="715"/>
      <c r="AL110" s="675"/>
      <c r="AM110" s="744"/>
      <c r="AN110" s="675"/>
      <c r="AO110" s="619"/>
      <c r="AP110" s="619"/>
      <c r="AQ110" s="619"/>
      <c r="AR110" s="619"/>
      <c r="AS110" s="619"/>
      <c r="AT110" s="619"/>
      <c r="AU110" s="619"/>
    </row>
    <row r="111" s="582" customFormat="1" ht="22" customHeight="1" spans="1:47">
      <c r="O111" s="941"/>
      <c r="T111" s="942"/>
      <c r="U111" s="942"/>
      <c r="V111" s="942"/>
      <c r="W111" s="942"/>
      <c r="X111" s="902"/>
      <c r="Y111" s="675"/>
      <c r="Z111" s="675"/>
      <c r="AA111" s="744"/>
      <c r="AB111" s="653"/>
      <c r="AC111" s="675"/>
      <c r="AD111" s="619"/>
      <c r="AE111" s="931"/>
      <c r="AF111" s="675"/>
      <c r="AG111" s="675"/>
      <c r="AH111" s="958"/>
      <c r="AI111" s="619"/>
      <c r="AJ111" s="675"/>
      <c r="AK111" s="715"/>
      <c r="AL111" s="675"/>
      <c r="AM111" s="744"/>
      <c r="AN111" s="675"/>
      <c r="AO111" s="619"/>
      <c r="AP111" s="619"/>
      <c r="AQ111" s="619"/>
      <c r="AR111" s="619"/>
      <c r="AS111" s="619"/>
      <c r="AT111" s="619"/>
      <c r="AU111" s="619"/>
    </row>
    <row r="112" s="582" customFormat="1" ht="22" customHeight="1" spans="1:47">
      <c r="O112" s="941"/>
      <c r="T112" s="942"/>
      <c r="U112" s="942"/>
      <c r="V112" s="942"/>
      <c r="W112" s="942"/>
      <c r="X112" s="902"/>
      <c r="Y112" s="675"/>
      <c r="Z112" s="675"/>
      <c r="AA112" s="744"/>
      <c r="AB112" s="653"/>
      <c r="AC112" s="675"/>
      <c r="AD112" s="619"/>
      <c r="AE112" s="931"/>
      <c r="AF112" s="675"/>
      <c r="AG112" s="675"/>
      <c r="AH112" s="958"/>
      <c r="AI112" s="619"/>
      <c r="AJ112" s="675"/>
      <c r="AK112" s="715"/>
      <c r="AL112" s="675"/>
      <c r="AM112" s="675"/>
      <c r="AN112" s="653"/>
      <c r="AO112" s="619"/>
      <c r="AP112" s="619"/>
      <c r="AQ112" s="619"/>
      <c r="AR112" s="619"/>
      <c r="AS112" s="619"/>
      <c r="AT112" s="619"/>
      <c r="AU112" s="619"/>
    </row>
    <row r="113" s="582" customFormat="1" ht="22" customHeight="1" spans="15:47">
      <c r="O113" s="941"/>
      <c r="T113" s="942"/>
      <c r="U113" s="942"/>
      <c r="V113" s="942"/>
      <c r="W113" s="942"/>
      <c r="X113" s="902"/>
      <c r="Y113" s="675"/>
      <c r="Z113" s="675"/>
      <c r="AA113" s="744"/>
      <c r="AB113" s="653"/>
      <c r="AC113" s="675"/>
      <c r="AD113" s="619"/>
      <c r="AE113" s="931"/>
      <c r="AF113" s="675"/>
      <c r="AG113" s="675"/>
      <c r="AH113" s="958"/>
      <c r="AI113" s="619"/>
      <c r="AJ113" s="675"/>
      <c r="AK113" s="715"/>
      <c r="AL113" s="675"/>
      <c r="AM113" s="675"/>
      <c r="AN113" s="653"/>
      <c r="AO113" s="619"/>
      <c r="AP113" s="619"/>
      <c r="AQ113" s="619"/>
      <c r="AR113" s="619"/>
      <c r="AS113" s="619"/>
      <c r="AT113" s="619"/>
      <c r="AU113" s="619"/>
    </row>
    <row r="114" s="582" customFormat="1" ht="22" customHeight="1" spans="15:47">
      <c r="O114" s="941"/>
      <c r="T114" s="942"/>
      <c r="U114" s="942"/>
      <c r="V114" s="942"/>
      <c r="W114" s="942"/>
      <c r="X114" s="902"/>
      <c r="Y114" s="675"/>
      <c r="Z114" s="675"/>
      <c r="AA114" s="675"/>
      <c r="AB114" s="675"/>
      <c r="AC114" s="675"/>
      <c r="AD114" s="619"/>
      <c r="AE114" s="964"/>
      <c r="AF114" s="965"/>
      <c r="AG114" s="675"/>
      <c r="AH114" s="675"/>
      <c r="AI114" s="619"/>
      <c r="AJ114" s="619"/>
      <c r="AK114" s="638"/>
      <c r="AL114" s="619"/>
      <c r="AM114" s="619"/>
      <c r="AN114" s="619"/>
      <c r="AO114" s="619"/>
      <c r="AP114" s="619"/>
      <c r="AQ114" s="619"/>
      <c r="AR114" s="619"/>
      <c r="AS114" s="619"/>
      <c r="AT114" s="619"/>
      <c r="AU114" s="619"/>
    </row>
    <row r="115" s="582" customFormat="1" ht="22" customHeight="1" spans="15:47">
      <c r="O115" s="941"/>
      <c r="T115" s="942"/>
      <c r="U115" s="942"/>
      <c r="V115" s="942"/>
      <c r="W115" s="942"/>
      <c r="X115" s="902"/>
      <c r="Y115" s="675"/>
      <c r="Z115" s="675"/>
      <c r="AA115" s="675"/>
      <c r="AB115" s="675"/>
      <c r="AC115" s="675"/>
      <c r="AD115" s="619"/>
      <c r="AE115" s="964"/>
      <c r="AF115" s="965"/>
      <c r="AG115" s="675"/>
      <c r="AH115" s="675"/>
      <c r="AI115" s="619"/>
      <c r="AJ115" s="619"/>
      <c r="AK115" s="638"/>
      <c r="AL115" s="619"/>
      <c r="AM115" s="619"/>
      <c r="AN115" s="619"/>
      <c r="AO115" s="966"/>
      <c r="AP115" s="619"/>
      <c r="AQ115" s="619"/>
      <c r="AR115" s="619"/>
      <c r="AS115" s="619"/>
      <c r="AT115" s="619"/>
      <c r="AU115" s="619"/>
    </row>
    <row r="116" s="582" customFormat="1" ht="22" customHeight="1" spans="15:47">
      <c r="O116" s="941"/>
      <c r="W116" s="967"/>
      <c r="X116" s="902"/>
      <c r="Y116" s="675"/>
      <c r="Z116" s="675"/>
      <c r="AA116" s="675"/>
      <c r="AB116" s="675"/>
      <c r="AC116" s="675"/>
      <c r="AD116" s="619"/>
      <c r="AE116" s="968"/>
      <c r="AF116" s="965"/>
      <c r="AG116" s="675"/>
      <c r="AH116" s="675"/>
      <c r="AI116" s="619"/>
      <c r="AJ116" s="619"/>
      <c r="AK116" s="638"/>
      <c r="AL116" s="619"/>
      <c r="AM116" s="619"/>
      <c r="AN116" s="619"/>
      <c r="AO116" s="619"/>
      <c r="AP116" s="619"/>
      <c r="AQ116" s="619"/>
      <c r="AR116" s="619"/>
      <c r="AS116" s="619"/>
      <c r="AT116" s="619"/>
      <c r="AU116" s="619"/>
    </row>
    <row r="117" s="582" customFormat="1" ht="22" customHeight="1" spans="15:47">
      <c r="O117" s="941"/>
      <c r="W117" s="967"/>
      <c r="X117" s="902"/>
      <c r="Y117" s="675"/>
      <c r="Z117" s="675"/>
      <c r="AA117" s="675"/>
      <c r="AB117" s="675"/>
      <c r="AC117" s="675"/>
      <c r="AD117" s="619"/>
      <c r="AE117" s="968"/>
      <c r="AF117" s="965"/>
      <c r="AG117" s="675"/>
      <c r="AH117" s="675"/>
      <c r="AI117" s="619"/>
      <c r="AJ117" s="619"/>
      <c r="AK117" s="638"/>
      <c r="AL117" s="619"/>
      <c r="AM117" s="619"/>
      <c r="AN117" s="619"/>
      <c r="AO117" s="619"/>
      <c r="AP117" s="619"/>
      <c r="AQ117" s="619"/>
      <c r="AR117" s="619"/>
      <c r="AS117" s="619"/>
      <c r="AT117" s="619"/>
      <c r="AU117" s="619"/>
    </row>
    <row r="118" s="582" customFormat="1" ht="22" customHeight="1" spans="15:47">
      <c r="O118" s="941"/>
      <c r="W118" s="967"/>
      <c r="X118" s="902"/>
      <c r="Y118" s="675"/>
      <c r="Z118" s="675"/>
      <c r="AA118" s="675"/>
      <c r="AB118" s="675"/>
      <c r="AC118" s="675"/>
      <c r="AD118" s="619"/>
      <c r="AE118" s="964"/>
      <c r="AF118" s="965"/>
      <c r="AG118" s="675"/>
      <c r="AH118" s="675"/>
      <c r="AI118" s="619"/>
      <c r="AJ118" s="619"/>
      <c r="AK118" s="638"/>
      <c r="AL118" s="619"/>
      <c r="AM118" s="619"/>
      <c r="AN118" s="619"/>
      <c r="AO118" s="619"/>
      <c r="AP118" s="619"/>
      <c r="AQ118" s="619"/>
      <c r="AR118" s="619"/>
      <c r="AS118" s="619"/>
      <c r="AT118" s="619"/>
      <c r="AU118" s="619"/>
    </row>
    <row r="119" s="582" customFormat="1" ht="22" customHeight="1" spans="15:47">
      <c r="O119" s="941"/>
      <c r="W119" s="967"/>
      <c r="X119" s="902"/>
      <c r="Y119" s="675"/>
      <c r="Z119" s="675"/>
      <c r="AA119" s="675"/>
      <c r="AB119" s="675"/>
      <c r="AC119" s="675"/>
      <c r="AD119" s="619"/>
      <c r="AE119" s="968"/>
      <c r="AF119" s="965"/>
      <c r="AG119" s="675"/>
      <c r="AH119" s="675"/>
      <c r="AI119" s="619"/>
      <c r="AJ119" s="619"/>
      <c r="AK119" s="638"/>
      <c r="AL119" s="619"/>
      <c r="AM119" s="619"/>
      <c r="AN119" s="619"/>
      <c r="AO119" s="619"/>
      <c r="AP119" s="619"/>
      <c r="AQ119" s="619"/>
      <c r="AR119" s="619"/>
      <c r="AS119" s="619"/>
      <c r="AT119" s="619"/>
      <c r="AU119" s="619"/>
    </row>
    <row r="120" s="582" customFormat="1" ht="22" customHeight="1" spans="15:47">
      <c r="O120" s="941"/>
      <c r="W120" s="967"/>
      <c r="X120" s="902"/>
      <c r="Y120" s="675"/>
      <c r="Z120" s="675"/>
      <c r="AA120" s="675"/>
      <c r="AB120" s="653"/>
      <c r="AC120" s="675"/>
      <c r="AD120" s="619"/>
      <c r="AE120" s="964"/>
      <c r="AF120" s="965"/>
      <c r="AG120" s="675"/>
      <c r="AH120" s="675"/>
      <c r="AI120" s="619"/>
      <c r="AJ120" s="619"/>
      <c r="AK120" s="638"/>
      <c r="AL120" s="619"/>
      <c r="AM120" s="619"/>
      <c r="AN120" s="619"/>
      <c r="AO120" s="619"/>
      <c r="AP120" s="619"/>
      <c r="AQ120" s="619"/>
      <c r="AR120" s="619"/>
      <c r="AS120" s="619"/>
      <c r="AT120" s="619"/>
      <c r="AU120" s="619"/>
    </row>
    <row r="121" s="582" customFormat="1" ht="22" customHeight="1" spans="15:47">
      <c r="O121" s="941"/>
      <c r="W121" s="967"/>
      <c r="X121" s="902"/>
      <c r="Y121" s="675"/>
      <c r="Z121" s="675"/>
      <c r="AA121" s="675"/>
      <c r="AB121" s="675"/>
      <c r="AC121" s="675"/>
      <c r="AD121" s="619"/>
      <c r="AE121" s="964"/>
      <c r="AF121" s="965"/>
      <c r="AG121" s="675"/>
      <c r="AH121" s="675"/>
      <c r="AI121" s="619"/>
      <c r="AJ121" s="619"/>
      <c r="AK121" s="638"/>
      <c r="AL121" s="619"/>
      <c r="AM121" s="619"/>
      <c r="AN121" s="619"/>
      <c r="AO121" s="619"/>
      <c r="AP121" s="619"/>
      <c r="AQ121" s="619"/>
      <c r="AR121" s="619"/>
      <c r="AS121" s="619"/>
      <c r="AT121" s="619"/>
      <c r="AU121" s="619"/>
    </row>
    <row r="122" s="582" customFormat="1" ht="22" customHeight="1" spans="15:47">
      <c r="O122" s="941"/>
      <c r="W122" s="967"/>
      <c r="X122" s="902"/>
      <c r="Y122" s="675"/>
      <c r="Z122" s="675"/>
      <c r="AA122" s="675"/>
      <c r="AB122" s="675"/>
      <c r="AC122" s="675"/>
      <c r="AD122" s="619"/>
      <c r="AE122" s="968"/>
      <c r="AF122" s="965"/>
      <c r="AG122" s="675"/>
      <c r="AH122" s="675"/>
      <c r="AI122" s="619"/>
      <c r="AJ122" s="619"/>
      <c r="AK122" s="638"/>
      <c r="AL122" s="619"/>
      <c r="AM122" s="619"/>
      <c r="AN122" s="619"/>
      <c r="AO122" s="619"/>
      <c r="AP122" s="619"/>
      <c r="AQ122" s="619"/>
      <c r="AR122" s="619"/>
      <c r="AS122" s="619"/>
      <c r="AT122" s="619"/>
      <c r="AU122" s="619"/>
    </row>
    <row r="123" s="582" customFormat="1" ht="22" customHeight="1" spans="15:47">
      <c r="O123" s="941"/>
      <c r="W123" s="967"/>
      <c r="X123" s="967"/>
      <c r="Y123" s="619"/>
      <c r="Z123" s="619"/>
      <c r="AA123" s="619"/>
      <c r="AB123" s="619"/>
      <c r="AC123" s="619"/>
      <c r="AD123" s="619"/>
      <c r="AE123" s="619"/>
      <c r="AF123" s="619"/>
      <c r="AG123" s="619"/>
      <c r="AH123" s="619"/>
      <c r="AI123" s="619"/>
      <c r="AJ123" s="619"/>
      <c r="AK123" s="638"/>
      <c r="AL123" s="619"/>
      <c r="AM123" s="619"/>
      <c r="AN123" s="619"/>
      <c r="AO123" s="619"/>
      <c r="AP123" s="619"/>
      <c r="AQ123" s="619"/>
      <c r="AR123" s="619"/>
      <c r="AS123" s="619"/>
      <c r="AT123" s="619"/>
      <c r="AU123" s="619"/>
    </row>
    <row r="124" s="582" customFormat="1" ht="22" customHeight="1" spans="15:47">
      <c r="O124" s="941"/>
      <c r="Y124" s="619"/>
      <c r="Z124" s="619"/>
      <c r="AA124" s="619"/>
      <c r="AB124" s="619"/>
      <c r="AC124" s="619"/>
      <c r="AD124" s="619"/>
      <c r="AE124" s="619"/>
      <c r="AF124" s="619"/>
      <c r="AG124" s="619"/>
      <c r="AH124" s="619"/>
      <c r="AI124" s="619"/>
      <c r="AJ124" s="619"/>
      <c r="AK124" s="638"/>
      <c r="AL124" s="619"/>
      <c r="AM124" s="619"/>
      <c r="AN124" s="619"/>
      <c r="AO124" s="619"/>
      <c r="AP124" s="619"/>
      <c r="AQ124" s="619"/>
      <c r="AR124" s="619"/>
      <c r="AS124" s="619"/>
      <c r="AT124" s="619"/>
      <c r="AU124" s="619"/>
    </row>
    <row r="125" s="582" customFormat="1" ht="22" customHeight="1" spans="15:47">
      <c r="O125" s="941"/>
      <c r="Y125" s="619"/>
      <c r="Z125" s="619"/>
      <c r="AA125" s="619"/>
      <c r="AB125" s="619"/>
      <c r="AC125" s="619"/>
      <c r="AD125" s="619"/>
      <c r="AE125" s="619"/>
      <c r="AF125" s="619"/>
      <c r="AG125" s="619"/>
      <c r="AH125" s="619"/>
      <c r="AI125" s="619"/>
      <c r="AJ125" s="619"/>
      <c r="AK125" s="638"/>
      <c r="AL125" s="619"/>
      <c r="AM125" s="619"/>
      <c r="AN125" s="619"/>
      <c r="AO125" s="619"/>
      <c r="AP125" s="619"/>
      <c r="AQ125" s="619"/>
      <c r="AR125" s="619"/>
      <c r="AS125" s="619"/>
      <c r="AT125" s="619"/>
      <c r="AU125" s="619"/>
    </row>
    <row r="126" s="582" customFormat="1" ht="22" customHeight="1" spans="15:47">
      <c r="O126" s="941"/>
      <c r="Y126" s="619"/>
      <c r="Z126" s="619"/>
      <c r="AA126" s="619"/>
      <c r="AB126" s="619"/>
      <c r="AC126" s="619"/>
      <c r="AD126" s="619"/>
      <c r="AE126" s="619"/>
      <c r="AF126" s="619"/>
      <c r="AG126" s="619"/>
      <c r="AH126" s="619"/>
      <c r="AI126" s="619"/>
      <c r="AJ126" s="619"/>
      <c r="AK126" s="638"/>
      <c r="AL126" s="619"/>
      <c r="AM126" s="619"/>
      <c r="AN126" s="619"/>
      <c r="AO126" s="619"/>
      <c r="AP126" s="619"/>
      <c r="AQ126" s="619"/>
      <c r="AR126" s="619"/>
      <c r="AS126" s="619"/>
      <c r="AT126" s="619"/>
      <c r="AU126" s="619"/>
    </row>
    <row r="127" s="582" customFormat="1" ht="22" customHeight="1" spans="15:47">
      <c r="O127" s="941"/>
      <c r="Y127" s="619"/>
      <c r="Z127" s="619"/>
      <c r="AA127" s="619"/>
      <c r="AB127" s="619"/>
      <c r="AC127" s="619"/>
      <c r="AD127" s="619"/>
      <c r="AE127" s="619"/>
      <c r="AF127" s="619"/>
      <c r="AG127" s="619"/>
      <c r="AH127" s="619"/>
      <c r="AI127" s="619"/>
      <c r="AJ127" s="619"/>
      <c r="AK127" s="638"/>
      <c r="AL127" s="619"/>
      <c r="AM127" s="619"/>
      <c r="AN127" s="619"/>
      <c r="AO127" s="619"/>
      <c r="AP127" s="619"/>
      <c r="AQ127" s="619"/>
      <c r="AR127" s="619"/>
      <c r="AS127" s="619"/>
      <c r="AT127" s="619"/>
      <c r="AU127" s="619"/>
    </row>
    <row r="128" s="582" customFormat="1" ht="22" customHeight="1" spans="15:47">
      <c r="O128" s="941"/>
      <c r="Y128" s="619"/>
      <c r="Z128" s="619"/>
      <c r="AA128" s="619"/>
      <c r="AB128" s="619"/>
      <c r="AC128" s="619"/>
      <c r="AD128" s="619"/>
      <c r="AE128" s="619"/>
      <c r="AF128" s="619"/>
      <c r="AG128" s="619"/>
      <c r="AH128" s="619"/>
      <c r="AI128" s="619"/>
      <c r="AJ128" s="619"/>
      <c r="AK128" s="638"/>
      <c r="AL128" s="619"/>
      <c r="AM128" s="619"/>
      <c r="AN128" s="619"/>
      <c r="AO128" s="619"/>
      <c r="AP128" s="619"/>
      <c r="AQ128" s="619"/>
      <c r="AR128" s="619"/>
      <c r="AS128" s="619"/>
      <c r="AT128" s="619"/>
      <c r="AU128" s="619"/>
    </row>
  </sheetData>
  <mergeCells count="88">
    <mergeCell ref="A1:X1"/>
    <mergeCell ref="L2:S2"/>
    <mergeCell ref="T2:V2"/>
    <mergeCell ref="H13:I13"/>
    <mergeCell ref="H15:I15"/>
    <mergeCell ref="H17:I17"/>
    <mergeCell ref="H18:I18"/>
    <mergeCell ref="H19:I19"/>
    <mergeCell ref="K19:L19"/>
    <mergeCell ref="AA20:AD20"/>
    <mergeCell ref="H21:I21"/>
    <mergeCell ref="B24:S24"/>
    <mergeCell ref="B25:C25"/>
    <mergeCell ref="D25:E25"/>
    <mergeCell ref="F25:G25"/>
    <mergeCell ref="H25:I25"/>
    <mergeCell ref="J25:K25"/>
    <mergeCell ref="M25:N25"/>
    <mergeCell ref="D26:E26"/>
    <mergeCell ref="F26:G26"/>
    <mergeCell ref="H26:I26"/>
    <mergeCell ref="J26:K26"/>
    <mergeCell ref="M26:N26"/>
    <mergeCell ref="H27:I27"/>
    <mergeCell ref="H28:I28"/>
    <mergeCell ref="D29:E29"/>
    <mergeCell ref="F29:G29"/>
    <mergeCell ref="H29:I29"/>
    <mergeCell ref="J29:K29"/>
    <mergeCell ref="M29:N29"/>
    <mergeCell ref="D30:E30"/>
    <mergeCell ref="F30:G30"/>
    <mergeCell ref="H30:I30"/>
    <mergeCell ref="J30:K30"/>
    <mergeCell ref="M30:N30"/>
    <mergeCell ref="D31:E31"/>
    <mergeCell ref="F31:G31"/>
    <mergeCell ref="H31:I31"/>
    <mergeCell ref="J31:K31"/>
    <mergeCell ref="M31:N31"/>
    <mergeCell ref="D32:E32"/>
    <mergeCell ref="F32:G32"/>
    <mergeCell ref="H32:I32"/>
    <mergeCell ref="J32:K32"/>
    <mergeCell ref="M32:N32"/>
    <mergeCell ref="D33:E33"/>
    <mergeCell ref="F33:G33"/>
    <mergeCell ref="H33:I33"/>
    <mergeCell ref="J33:K33"/>
    <mergeCell ref="M33:N33"/>
    <mergeCell ref="D34:E34"/>
    <mergeCell ref="F34:G34"/>
    <mergeCell ref="H34:I34"/>
    <mergeCell ref="J34:K34"/>
    <mergeCell ref="M34:N34"/>
    <mergeCell ref="D35:E35"/>
    <mergeCell ref="F35:G35"/>
    <mergeCell ref="H35:I35"/>
    <mergeCell ref="J35:K35"/>
    <mergeCell ref="D36:E36"/>
    <mergeCell ref="D37:E37"/>
    <mergeCell ref="D38:E38"/>
    <mergeCell ref="D39:E39"/>
    <mergeCell ref="D40:E40"/>
    <mergeCell ref="D41:E41"/>
    <mergeCell ref="F41:G41"/>
    <mergeCell ref="J41:K41"/>
    <mergeCell ref="D42:R42"/>
    <mergeCell ref="D43:R43"/>
    <mergeCell ref="D44:R44"/>
    <mergeCell ref="D45:R45"/>
    <mergeCell ref="C46:R46"/>
    <mergeCell ref="B47:R47"/>
    <mergeCell ref="B48:S48"/>
    <mergeCell ref="J50:K50"/>
    <mergeCell ref="J51:K51"/>
    <mergeCell ref="C53:D53"/>
    <mergeCell ref="J55:K55"/>
    <mergeCell ref="AH92:AJ92"/>
    <mergeCell ref="A2:A3"/>
    <mergeCell ref="B2:B3"/>
    <mergeCell ref="B39:B40"/>
    <mergeCell ref="F17:F21"/>
    <mergeCell ref="J2:J3"/>
    <mergeCell ref="K2:K3"/>
    <mergeCell ref="P17:P18"/>
    <mergeCell ref="W2:W3"/>
    <mergeCell ref="B26:C27"/>
  </mergeCells>
  <conditionalFormatting sqref="U32">
    <cfRule type="expression" dxfId="0" priority="551" stopIfTrue="1">
      <formula>#REF!&lt;&gt;0</formula>
    </cfRule>
  </conditionalFormatting>
  <conditionalFormatting sqref="AG35">
    <cfRule type="expression" dxfId="0" priority="80" stopIfTrue="1">
      <formula>AN35&lt;&gt;0</formula>
    </cfRule>
  </conditionalFormatting>
  <conditionalFormatting sqref="AG36">
    <cfRule type="expression" dxfId="0" priority="78" stopIfTrue="1">
      <formula>AN36&lt;&gt;0</formula>
    </cfRule>
  </conditionalFormatting>
  <conditionalFormatting sqref="AG37">
    <cfRule type="expression" dxfId="0" priority="88" stopIfTrue="1">
      <formula>AN37&lt;&gt;0</formula>
    </cfRule>
  </conditionalFormatting>
  <conditionalFormatting sqref="U47">
    <cfRule type="expression" dxfId="0" priority="559" stopIfTrue="1">
      <formula>#REF!&lt;&gt;0</formula>
    </cfRule>
  </conditionalFormatting>
  <conditionalFormatting sqref="AG50">
    <cfRule type="expression" dxfId="0" priority="86" stopIfTrue="1">
      <formula>AN50&lt;&gt;0</formula>
    </cfRule>
  </conditionalFormatting>
  <conditionalFormatting sqref="AG51">
    <cfRule type="expression" dxfId="0" priority="84" stopIfTrue="1">
      <formula>AN51&lt;&gt;0</formula>
    </cfRule>
  </conditionalFormatting>
  <conditionalFormatting sqref="AG52">
    <cfRule type="expression" dxfId="0" priority="74" stopIfTrue="1">
      <formula>AN52&lt;&gt;0</formula>
    </cfRule>
  </conditionalFormatting>
  <conditionalFormatting sqref="AG53">
    <cfRule type="expression" dxfId="0" priority="72" stopIfTrue="1">
      <formula>AN53&lt;&gt;0</formula>
    </cfRule>
  </conditionalFormatting>
  <conditionalFormatting sqref="U54">
    <cfRule type="expression" dxfId="0" priority="17" stopIfTrue="1">
      <formula>AB54&lt;&gt;0</formula>
    </cfRule>
  </conditionalFormatting>
  <conditionalFormatting sqref="AG54">
    <cfRule type="expression" dxfId="0" priority="90" stopIfTrue="1">
      <formula>AN12&lt;&gt;0</formula>
    </cfRule>
  </conditionalFormatting>
  <conditionalFormatting sqref="V55">
    <cfRule type="expression" dxfId="1" priority="16" stopIfTrue="1">
      <formula>$F55&lt;&gt;0</formula>
    </cfRule>
    <cfRule type="expression" dxfId="1" priority="15" stopIfTrue="1">
      <formula>$F55&lt;&gt;0</formula>
    </cfRule>
  </conditionalFormatting>
  <conditionalFormatting sqref="AG55">
    <cfRule type="expression" dxfId="0" priority="66" stopIfTrue="1">
      <formula>AN25&lt;&gt;0</formula>
    </cfRule>
  </conditionalFormatting>
  <conditionalFormatting sqref="V56">
    <cfRule type="expression" dxfId="1" priority="14" stopIfTrue="1">
      <formula>$F56&lt;&gt;0</formula>
    </cfRule>
  </conditionalFormatting>
  <conditionalFormatting sqref="AG56">
    <cfRule type="expression" dxfId="0" priority="102" stopIfTrue="1">
      <formula>AN1048545&lt;&gt;0</formula>
    </cfRule>
  </conditionalFormatting>
  <conditionalFormatting sqref="AG57">
    <cfRule type="expression" dxfId="0" priority="68" stopIfTrue="1">
      <formula>AN1048538&lt;&gt;0</formula>
    </cfRule>
  </conditionalFormatting>
  <conditionalFormatting sqref="AH57">
    <cfRule type="expression" dxfId="1" priority="94" stopIfTrue="1">
      <formula>$F57&lt;&gt;0</formula>
    </cfRule>
  </conditionalFormatting>
  <conditionalFormatting sqref="AG58">
    <cfRule type="expression" dxfId="0" priority="104" stopIfTrue="1">
      <formula>AN31&lt;&gt;0</formula>
    </cfRule>
  </conditionalFormatting>
  <conditionalFormatting sqref="AH58">
    <cfRule type="expression" dxfId="1" priority="100" stopIfTrue="1">
      <formula>$F58&lt;&gt;0</formula>
    </cfRule>
  </conditionalFormatting>
  <conditionalFormatting sqref="U59">
    <cfRule type="expression" dxfId="0" priority="8" stopIfTrue="1">
      <formula>Z670&lt;&gt;0</formula>
    </cfRule>
  </conditionalFormatting>
  <conditionalFormatting sqref="AG61">
    <cfRule type="expression" dxfId="0" priority="47" stopIfTrue="1">
      <formula>AK655&lt;&gt;0</formula>
    </cfRule>
  </conditionalFormatting>
  <conditionalFormatting sqref="AG62">
    <cfRule type="expression" dxfId="0" priority="35" stopIfTrue="1">
      <formula>AK656&lt;&gt;0</formula>
    </cfRule>
  </conditionalFormatting>
  <conditionalFormatting sqref="AG63">
    <cfRule type="expression" dxfId="0" priority="25" stopIfTrue="1">
      <formula>AK669&lt;&gt;0</formula>
    </cfRule>
  </conditionalFormatting>
  <conditionalFormatting sqref="AG66">
    <cfRule type="expression" dxfId="0" priority="19" stopIfTrue="1">
      <formula>AK674&lt;&gt;0</formula>
    </cfRule>
  </conditionalFormatting>
  <conditionalFormatting sqref="U67">
    <cfRule type="expression" dxfId="0" priority="3" stopIfTrue="1">
      <formula>Z674&lt;&gt;0</formula>
    </cfRule>
  </conditionalFormatting>
  <conditionalFormatting sqref="U68">
    <cfRule type="expression" dxfId="0" priority="2" stopIfTrue="1">
      <formula>Z675&lt;&gt;0</formula>
    </cfRule>
  </conditionalFormatting>
  <conditionalFormatting sqref="U69">
    <cfRule type="expression" dxfId="0" priority="1" stopIfTrue="1">
      <formula>Z676&lt;&gt;0</formula>
    </cfRule>
  </conditionalFormatting>
  <conditionalFormatting sqref="AE73">
    <cfRule type="expression" dxfId="0" priority="225" stopIfTrue="1">
      <formula>AJ73&lt;&gt;0</formula>
    </cfRule>
  </conditionalFormatting>
  <conditionalFormatting sqref="AE74">
    <cfRule type="expression" dxfId="0" priority="220" stopIfTrue="1">
      <formula>AJ74&lt;&gt;0</formula>
    </cfRule>
  </conditionalFormatting>
  <conditionalFormatting sqref="AE75">
    <cfRule type="expression" dxfId="0" priority="570" stopIfTrue="1">
      <formula>#REF!&lt;&gt;0</formula>
    </cfRule>
    <cfRule type="expression" dxfId="0" priority="571" stopIfTrue="1">
      <formula>AJ75&lt;&gt;0</formula>
    </cfRule>
  </conditionalFormatting>
  <conditionalFormatting sqref="AE76">
    <cfRule type="expression" dxfId="0" priority="199" stopIfTrue="1">
      <formula>AJ48&lt;&gt;0</formula>
    </cfRule>
    <cfRule type="expression" dxfId="0" priority="201" stopIfTrue="1">
      <formula>AJ76&lt;&gt;0</formula>
    </cfRule>
  </conditionalFormatting>
  <conditionalFormatting sqref="AE78">
    <cfRule type="expression" dxfId="0" priority="203" stopIfTrue="1">
      <formula>AJ25&lt;&gt;0</formula>
    </cfRule>
  </conditionalFormatting>
  <conditionalFormatting sqref="AE79">
    <cfRule type="expression" dxfId="0" priority="224" stopIfTrue="1">
      <formula>AJ37&lt;&gt;0</formula>
    </cfRule>
  </conditionalFormatting>
  <conditionalFormatting sqref="AE80">
    <cfRule type="expression" dxfId="0" priority="209" stopIfTrue="1">
      <formula>#REF!&lt;&gt;0</formula>
    </cfRule>
  </conditionalFormatting>
  <conditionalFormatting sqref="AE81">
    <cfRule type="expression" dxfId="0" priority="250" stopIfTrue="1">
      <formula>AJ28&lt;&gt;0</formula>
    </cfRule>
  </conditionalFormatting>
  <conditionalFormatting sqref="AE84">
    <cfRule type="expression" dxfId="0" priority="216" stopIfTrue="1">
      <formula>AJ30&lt;&gt;0</formula>
    </cfRule>
  </conditionalFormatting>
  <conditionalFormatting sqref="AF84">
    <cfRule type="expression" dxfId="1" priority="236" stopIfTrue="1">
      <formula>#REF!&lt;&gt;0</formula>
    </cfRule>
  </conditionalFormatting>
  <conditionalFormatting sqref="AE85">
    <cfRule type="expression" dxfId="0" priority="214" stopIfTrue="1">
      <formula>AJ8&lt;&gt;0</formula>
    </cfRule>
  </conditionalFormatting>
  <conditionalFormatting sqref="AF85">
    <cfRule type="expression" dxfId="1" priority="234" stopIfTrue="1">
      <formula>#REF!&lt;&gt;0</formula>
    </cfRule>
  </conditionalFormatting>
  <conditionalFormatting sqref="AE86">
    <cfRule type="expression" dxfId="0" priority="211" stopIfTrue="1">
      <formula>AJ14&lt;&gt;0</formula>
    </cfRule>
  </conditionalFormatting>
  <conditionalFormatting sqref="AE87">
    <cfRule type="expression" dxfId="0" priority="567" stopIfTrue="1">
      <formula>AJ15&lt;&gt;0</formula>
    </cfRule>
  </conditionalFormatting>
  <conditionalFormatting sqref="AF87">
    <cfRule type="expression" dxfId="1" priority="246" stopIfTrue="1">
      <formula>#REF!&lt;&gt;0</formula>
    </cfRule>
  </conditionalFormatting>
  <conditionalFormatting sqref="AF88">
    <cfRule type="expression" dxfId="1" priority="243" stopIfTrue="1">
      <formula>#REF!&lt;&gt;0</formula>
    </cfRule>
  </conditionalFormatting>
  <conditionalFormatting sqref="AF89">
    <cfRule type="expression" dxfId="1" priority="242" stopIfTrue="1">
      <formula>#REF!&lt;&gt;0</formula>
    </cfRule>
  </conditionalFormatting>
  <conditionalFormatting sqref="AF90">
    <cfRule type="expression" dxfId="1" priority="241" stopIfTrue="1">
      <formula>#REF!&lt;&gt;0</formula>
    </cfRule>
  </conditionalFormatting>
  <conditionalFormatting sqref="AF91">
    <cfRule type="expression" dxfId="1" priority="239" stopIfTrue="1">
      <formula>#REF!&lt;&gt;0</formula>
    </cfRule>
  </conditionalFormatting>
  <conditionalFormatting sqref="AE92">
    <cfRule type="expression" dxfId="0" priority="207" stopIfTrue="1">
      <formula>#REF!&lt;&gt;0</formula>
    </cfRule>
  </conditionalFormatting>
  <conditionalFormatting sqref="AF92">
    <cfRule type="expression" dxfId="1" priority="238" stopIfTrue="1">
      <formula>#REF!&lt;&gt;0</formula>
    </cfRule>
  </conditionalFormatting>
  <conditionalFormatting sqref="AE99">
    <cfRule type="expression" dxfId="0" priority="563" stopIfTrue="1">
      <formula>AJ37&lt;&gt;0</formula>
    </cfRule>
  </conditionalFormatting>
  <conditionalFormatting sqref="AF115">
    <cfRule type="expression" dxfId="1" priority="191" stopIfTrue="1">
      <formula>$F115&lt;&gt;0</formula>
    </cfRule>
  </conditionalFormatting>
  <conditionalFormatting sqref="AF116">
    <cfRule type="expression" dxfId="1" priority="189" stopIfTrue="1">
      <formula>$F116&lt;&gt;0</formula>
    </cfRule>
  </conditionalFormatting>
  <conditionalFormatting sqref="AF117">
    <cfRule type="expression" dxfId="1" priority="195" stopIfTrue="1">
      <formula>$F117&lt;&gt;0</formula>
    </cfRule>
  </conditionalFormatting>
  <conditionalFormatting sqref="AF118">
    <cfRule type="expression" dxfId="1" priority="187" stopIfTrue="1">
      <formula>$F118&lt;&gt;0</formula>
    </cfRule>
  </conditionalFormatting>
  <conditionalFormatting sqref="U33:U34">
    <cfRule type="expression" dxfId="0" priority="549" stopIfTrue="1">
      <formula>#REF!&lt;&gt;0</formula>
    </cfRule>
  </conditionalFormatting>
  <conditionalFormatting sqref="U48:U51">
    <cfRule type="expression" dxfId="0" priority="541" stopIfTrue="1">
      <formula>#REF!&lt;&gt;0</formula>
    </cfRule>
  </conditionalFormatting>
  <conditionalFormatting sqref="U57:U58">
    <cfRule type="expression" dxfId="0" priority="9" stopIfTrue="1">
      <formula>Z666&lt;&gt;0</formula>
    </cfRule>
  </conditionalFormatting>
  <conditionalFormatting sqref="U60:U62">
    <cfRule type="expression" dxfId="0" priority="7" stopIfTrue="1">
      <formula>Z671&lt;&gt;0</formula>
    </cfRule>
  </conditionalFormatting>
  <conditionalFormatting sqref="U63:U64">
    <cfRule type="expression" dxfId="0" priority="5" stopIfTrue="1">
      <formula>Z668&lt;&gt;0</formula>
    </cfRule>
  </conditionalFormatting>
  <conditionalFormatting sqref="U65:U66">
    <cfRule type="expression" dxfId="0" priority="4" stopIfTrue="1">
      <formula>Z670&lt;&gt;0</formula>
    </cfRule>
  </conditionalFormatting>
  <conditionalFormatting sqref="V48:V51">
    <cfRule type="expression" dxfId="0" priority="533" stopIfTrue="1">
      <formula>#REF!&lt;&gt;0</formula>
    </cfRule>
  </conditionalFormatting>
  <conditionalFormatting sqref="V57:V58">
    <cfRule type="expression" dxfId="1" priority="10" stopIfTrue="1">
      <formula>$G156&lt;&gt;0</formula>
    </cfRule>
    <cfRule type="expression" dxfId="1" priority="11" stopIfTrue="1">
      <formula>$G252&lt;&gt;0</formula>
    </cfRule>
  </conditionalFormatting>
  <conditionalFormatting sqref="V59:V62">
    <cfRule type="expression" dxfId="1" priority="12" stopIfTrue="1">
      <formula>$G242&lt;&gt;0</formula>
    </cfRule>
    <cfRule type="expression" dxfId="1" priority="13" stopIfTrue="1">
      <formula>$G254&lt;&gt;0</formula>
    </cfRule>
  </conditionalFormatting>
  <conditionalFormatting sqref="V63:V69">
    <cfRule type="expression" dxfId="1" priority="6" stopIfTrue="1">
      <formula>$G63&lt;&gt;0</formula>
    </cfRule>
  </conditionalFormatting>
  <conditionalFormatting sqref="AE77:AE78">
    <cfRule type="expression" dxfId="0" priority="218" stopIfTrue="1">
      <formula>AJ77&lt;&gt;0</formula>
    </cfRule>
  </conditionalFormatting>
  <conditionalFormatting sqref="AE82:AE83">
    <cfRule type="expression" dxfId="0" priority="252" stopIfTrue="1">
      <formula>#REF!&lt;&gt;0</formula>
    </cfRule>
  </conditionalFormatting>
  <conditionalFormatting sqref="AE88:AE91">
    <cfRule type="expression" dxfId="0" priority="213" stopIfTrue="1">
      <formula>AJ17&lt;&gt;0</formula>
    </cfRule>
  </conditionalFormatting>
  <conditionalFormatting sqref="AE92:AE98">
    <cfRule type="expression" dxfId="0" priority="565" stopIfTrue="1">
      <formula>AJ29&lt;&gt;0</formula>
    </cfRule>
  </conditionalFormatting>
  <conditionalFormatting sqref="AE93:AE113">
    <cfRule type="expression" dxfId="0" priority="230" stopIfTrue="1">
      <formula>#REF!&lt;&gt;0</formula>
    </cfRule>
  </conditionalFormatting>
  <conditionalFormatting sqref="AE100:AE101">
    <cfRule type="expression" dxfId="0" priority="569" stopIfTrue="1">
      <formula>AJ39&lt;&gt;0</formula>
    </cfRule>
  </conditionalFormatting>
  <conditionalFormatting sqref="AE102:AE103">
    <cfRule type="expression" dxfId="0" priority="573" stopIfTrue="1">
      <formula>AJ46&lt;&gt;0</formula>
    </cfRule>
  </conditionalFormatting>
  <conditionalFormatting sqref="AE104:AE105">
    <cfRule type="expression" dxfId="0" priority="572" stopIfTrue="1">
      <formula>#REF!&lt;&gt;0</formula>
    </cfRule>
  </conditionalFormatting>
  <conditionalFormatting sqref="AE106:AE111">
    <cfRule type="expression" dxfId="0" priority="227" stopIfTrue="1">
      <formula>AJ48&lt;&gt;0</formula>
    </cfRule>
  </conditionalFormatting>
  <conditionalFormatting sqref="AE112:AE113">
    <cfRule type="expression" dxfId="0" priority="561" stopIfTrue="1">
      <formula>AJ46&lt;&gt;0</formula>
    </cfRule>
  </conditionalFormatting>
  <conditionalFormatting sqref="AF80:AF81">
    <cfRule type="expression" dxfId="1" priority="232" stopIfTrue="1">
      <formula>#REF!&lt;&gt;0</formula>
    </cfRule>
  </conditionalFormatting>
  <conditionalFormatting sqref="AF82:AF83">
    <cfRule type="expression" dxfId="1" priority="248" stopIfTrue="1">
      <formula>#REF!&lt;&gt;0</formula>
    </cfRule>
  </conditionalFormatting>
  <conditionalFormatting sqref="AF86:AF87">
    <cfRule type="expression" dxfId="1" priority="247" stopIfTrue="1">
      <formula>#REF!&lt;&gt;0</formula>
    </cfRule>
  </conditionalFormatting>
  <conditionalFormatting sqref="AF93:AF103">
    <cfRule type="expression" dxfId="1" priority="576" stopIfTrue="1">
      <formula>#REF!&lt;&gt;0</formula>
    </cfRule>
  </conditionalFormatting>
  <conditionalFormatting sqref="AF104:AF113">
    <cfRule type="expression" dxfId="1" priority="244" stopIfTrue="1">
      <formula>$F104&lt;&gt;0</formula>
    </cfRule>
  </conditionalFormatting>
  <conditionalFormatting sqref="AF121:AF122">
    <cfRule type="expression" dxfId="1" priority="193" stopIfTrue="1">
      <formula>$F121&lt;&gt;0</formula>
    </cfRule>
  </conditionalFormatting>
  <conditionalFormatting sqref="AG33:AG34">
    <cfRule type="expression" dxfId="0" priority="82" stopIfTrue="1">
      <formula>AN33&lt;&gt;0</formula>
    </cfRule>
  </conditionalFormatting>
  <conditionalFormatting sqref="AG38:AG49">
    <cfRule type="expression" dxfId="0" priority="76" stopIfTrue="1">
      <formula>AN38&lt;&gt;0</formula>
    </cfRule>
  </conditionalFormatting>
  <conditionalFormatting sqref="AG59:AG60">
    <cfRule type="expression" dxfId="0" priority="33" stopIfTrue="1">
      <formula>AK671&lt;&gt;0</formula>
    </cfRule>
  </conditionalFormatting>
  <conditionalFormatting sqref="AG64:AG65">
    <cfRule type="expression" dxfId="0" priority="23" stopIfTrue="1">
      <formula>AK672&lt;&gt;0</formula>
    </cfRule>
  </conditionalFormatting>
  <conditionalFormatting sqref="AG67:AG69">
    <cfRule type="expression" dxfId="0" priority="574" stopIfTrue="1">
      <formula>AK675&lt;&gt;0</formula>
    </cfRule>
  </conditionalFormatting>
  <conditionalFormatting sqref="AG70:AG73">
    <cfRule type="expression" dxfId="0" priority="21" stopIfTrue="1">
      <formula>AK677&lt;&gt;0</formula>
    </cfRule>
  </conditionalFormatting>
  <conditionalFormatting sqref="AH55:AH56">
    <cfRule type="expression" dxfId="1" priority="96" stopIfTrue="1">
      <formula>$F55&lt;&gt;0</formula>
    </cfRule>
  </conditionalFormatting>
  <conditionalFormatting sqref="AH59:AH62">
    <cfRule type="expression" dxfId="1" priority="52" stopIfTrue="1">
      <formula>$F243&lt;&gt;0</formula>
    </cfRule>
    <cfRule type="expression" dxfId="1" priority="53" stopIfTrue="1">
      <formula>$F255&lt;&gt;0</formula>
    </cfRule>
  </conditionalFormatting>
  <conditionalFormatting sqref="AH63:AH67">
    <cfRule type="expression" dxfId="1" priority="27" stopIfTrue="1">
      <formula>$F63&lt;&gt;0</formula>
    </cfRule>
  </conditionalFormatting>
  <conditionalFormatting sqref="AH69:AH70">
    <cfRule type="expression" dxfId="1" priority="575" stopIfTrue="1">
      <formula>#REF!&lt;&gt;0</formula>
    </cfRule>
  </conditionalFormatting>
  <conditionalFormatting sqref="V32 V34">
    <cfRule type="expression" dxfId="0" priority="555" stopIfTrue="1">
      <formula>#REF!&lt;&gt;0</formula>
    </cfRule>
  </conditionalFormatting>
  <conditionalFormatting sqref="V33 V47">
    <cfRule type="expression" dxfId="0" priority="553" stopIfTrue="1">
      <formula>#REF!&lt;&gt;0</formula>
    </cfRule>
  </conditionalFormatting>
  <conditionalFormatting sqref="AH68 AH71:AH73">
    <cfRule type="expression" dxfId="1" priority="577" stopIfTrue="1">
      <formula>#REF!&lt;&gt;0</formula>
    </cfRule>
  </conditionalFormatting>
  <conditionalFormatting sqref="AF114 AF119:AF120">
    <cfRule type="expression" dxfId="1" priority="197" stopIfTrue="1">
      <formula>$F114&lt;&gt;0</formula>
    </cfRule>
  </conditionalFormatting>
  <printOptions horizontalCentered="1"/>
  <pageMargins left="0.550694444444444" right="0.078740157480315" top="0.66875" bottom="0.15748031496063" header="1.18055555555556" footer="0.511811023622047"/>
  <pageSetup paperSize="1" scale="21" orientation="landscape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workbookViewId="0">
      <selection activeCell="C18" sqref="C18"/>
    </sheetView>
  </sheetViews>
  <sheetFormatPr defaultColWidth="9" defaultRowHeight="14.25"/>
  <cols>
    <col min="1" max="1" width="39.75" customWidth="1"/>
    <col min="2" max="2" width="16.375" customWidth="1"/>
    <col min="3" max="3" width="15.5" customWidth="1"/>
    <col min="4" max="4" width="17" customWidth="1"/>
    <col min="5" max="5" width="16.25" customWidth="1"/>
    <col min="6" max="6" width="16.125" customWidth="1"/>
    <col min="7" max="7" width="17.25" customWidth="1"/>
    <col min="8" max="8" width="20.625" customWidth="1"/>
    <col min="9" max="9" width="16.125" customWidth="1"/>
  </cols>
  <sheetData>
    <row r="1" spans="1:10">
      <c r="A1" s="570"/>
      <c r="B1" s="570" t="s">
        <v>256</v>
      </c>
      <c r="C1" s="570" t="s">
        <v>257</v>
      </c>
      <c r="D1" s="570" t="s">
        <v>258</v>
      </c>
      <c r="E1" s="570" t="s">
        <v>259</v>
      </c>
      <c r="F1" s="570" t="s">
        <v>260</v>
      </c>
      <c r="G1" s="570" t="s">
        <v>261</v>
      </c>
      <c r="H1" s="570" t="s">
        <v>262</v>
      </c>
      <c r="I1" s="570" t="s">
        <v>70</v>
      </c>
    </row>
    <row r="2" customFormat="1" spans="1:10">
      <c r="A2" s="570" t="s">
        <v>263</v>
      </c>
      <c r="B2" s="570">
        <v>13634.58</v>
      </c>
      <c r="C2" s="570"/>
      <c r="D2" s="570"/>
      <c r="E2" s="570">
        <v>976.47</v>
      </c>
      <c r="G2" s="573">
        <v>708.45</v>
      </c>
      <c r="H2" s="570"/>
      <c r="I2" s="570">
        <f>SUM(B2:H2)</f>
        <v>15319.5</v>
      </c>
    </row>
    <row r="3" spans="1:10">
      <c r="A3" s="570" t="s">
        <v>264</v>
      </c>
      <c r="B3" s="570"/>
      <c r="C3" s="570">
        <v>25449.64</v>
      </c>
      <c r="D3" s="570">
        <v>3287.13</v>
      </c>
      <c r="E3" s="570"/>
      <c r="F3" s="570">
        <f>2594.6-50.95</f>
        <v>2543.65</v>
      </c>
      <c r="G3" s="573">
        <v>50.95</v>
      </c>
      <c r="H3" s="570"/>
      <c r="I3" s="570">
        <f>SUM(B3:H3)</f>
        <v>31331.37</v>
      </c>
      <c r="J3">
        <f>4057.95+82.96</f>
        <v>4140.91</v>
      </c>
    </row>
    <row r="4" spans="1:10">
      <c r="A4" s="570" t="s">
        <v>265</v>
      </c>
      <c r="B4" s="570"/>
      <c r="C4" s="575">
        <v>39726.44</v>
      </c>
      <c r="D4" s="575">
        <f>5067.82-157.69</f>
        <v>4910.13</v>
      </c>
      <c r="E4" s="570"/>
      <c r="F4" s="575">
        <f>3315.08-924.1</f>
        <v>2390.98</v>
      </c>
      <c r="G4" s="573">
        <v>924.1</v>
      </c>
      <c r="H4" s="570">
        <f>65.29+111.69+60.09+157.69</f>
        <v>394.76</v>
      </c>
      <c r="I4" s="570">
        <f t="shared" ref="I3:I9" si="0">SUM(B4:H4)</f>
        <v>48346.41</v>
      </c>
      <c r="J4">
        <v>9282.89</v>
      </c>
    </row>
    <row r="5" spans="1:10">
      <c r="A5" s="570" t="s">
        <v>266</v>
      </c>
      <c r="B5" s="570"/>
      <c r="C5" s="576">
        <v>6672.37</v>
      </c>
      <c r="D5" s="570">
        <v>1636.59</v>
      </c>
      <c r="E5" s="570"/>
      <c r="F5" s="570">
        <v>727.99</v>
      </c>
      <c r="G5" s="573"/>
      <c r="H5" s="570">
        <v>17.74</v>
      </c>
      <c r="I5" s="570">
        <f t="shared" si="0"/>
        <v>9054.69</v>
      </c>
      <c r="J5">
        <v>2054.88</v>
      </c>
    </row>
    <row r="6" spans="1:10">
      <c r="A6" s="570" t="s">
        <v>267</v>
      </c>
      <c r="B6" s="570"/>
      <c r="C6" s="577">
        <v>8314.07</v>
      </c>
      <c r="D6" s="570"/>
      <c r="E6" s="570"/>
      <c r="F6" s="575">
        <v>696.75</v>
      </c>
      <c r="G6" s="573">
        <v>48.19</v>
      </c>
      <c r="H6" s="570"/>
      <c r="I6" s="570">
        <f t="shared" si="0"/>
        <v>9059.01</v>
      </c>
    </row>
    <row r="7" spans="1:10">
      <c r="A7" s="570" t="s">
        <v>268</v>
      </c>
      <c r="B7" s="570"/>
      <c r="C7" s="570">
        <v>5868.37</v>
      </c>
      <c r="D7" s="570">
        <v>3667.91</v>
      </c>
      <c r="E7" s="570"/>
      <c r="F7" s="570">
        <v>830.47</v>
      </c>
      <c r="G7" s="578"/>
      <c r="H7" s="570"/>
      <c r="I7" s="570">
        <f>SUM(B7:G7)</f>
        <v>10366.75</v>
      </c>
    </row>
    <row r="8" spans="1:10">
      <c r="A8" s="570" t="s">
        <v>90</v>
      </c>
      <c r="B8" s="577">
        <v>4722.24</v>
      </c>
      <c r="C8" s="570"/>
      <c r="D8" s="570"/>
      <c r="E8" s="570"/>
      <c r="F8" s="570"/>
      <c r="G8" s="573"/>
      <c r="H8" s="570">
        <f>92.29+1005.66</f>
        <v>1097.95</v>
      </c>
      <c r="I8" s="570">
        <f t="shared" si="0"/>
        <v>5820.19</v>
      </c>
    </row>
    <row r="9" spans="1:10">
      <c r="A9" s="570" t="s">
        <v>70</v>
      </c>
      <c r="B9" s="570">
        <f t="shared" ref="B9:H9" si="1">SUM(B2:B8)</f>
        <v>18356.82</v>
      </c>
      <c r="C9" s="570">
        <f t="shared" si="1"/>
        <v>86030.89</v>
      </c>
      <c r="D9" s="570">
        <f t="shared" si="1"/>
        <v>13501.76</v>
      </c>
      <c r="E9" s="570">
        <f t="shared" si="1"/>
        <v>976.47</v>
      </c>
      <c r="F9" s="570">
        <f t="shared" si="1"/>
        <v>7189.84</v>
      </c>
      <c r="G9" s="570">
        <f t="shared" si="1"/>
        <v>1731.69</v>
      </c>
      <c r="H9" s="570">
        <f t="shared" si="1"/>
        <v>1510.45</v>
      </c>
      <c r="I9" s="570">
        <f t="shared" si="0"/>
        <v>129297.92</v>
      </c>
    </row>
    <row r="13" customFormat="1" spans="1:10">
      <c r="G13">
        <v>127566.23</v>
      </c>
    </row>
    <row r="22" customFormat="1" spans="1:7">
      <c r="B22" s="570" t="s">
        <v>256</v>
      </c>
      <c r="C22" s="570" t="s">
        <v>257</v>
      </c>
      <c r="D22" s="570" t="s">
        <v>258</v>
      </c>
      <c r="E22" s="570" t="s">
        <v>269</v>
      </c>
    </row>
    <row r="23" customFormat="1" spans="1:7">
      <c r="A23" s="570" t="s">
        <v>263</v>
      </c>
      <c r="B23" s="570">
        <v>11045.56</v>
      </c>
      <c r="C23" s="570"/>
      <c r="D23" s="570"/>
      <c r="E23" s="570"/>
    </row>
    <row r="24" customFormat="1" spans="1:7">
      <c r="A24" s="570" t="s">
        <v>264</v>
      </c>
      <c r="B24" s="570"/>
      <c r="C24" s="570">
        <v>24578.3</v>
      </c>
      <c r="D24" s="570">
        <v>3134.34</v>
      </c>
      <c r="E24" s="575">
        <v>829.85</v>
      </c>
    </row>
    <row r="25" customFormat="1" spans="1:7">
      <c r="A25" s="570" t="s">
        <v>265</v>
      </c>
      <c r="B25" s="570"/>
      <c r="C25" s="570">
        <v>35849.26</v>
      </c>
      <c r="D25" s="570">
        <v>4603.21</v>
      </c>
      <c r="E25" s="570">
        <v>378.49</v>
      </c>
    </row>
    <row r="26" customFormat="1" spans="1:7">
      <c r="A26" s="570" t="s">
        <v>266</v>
      </c>
      <c r="B26" s="570"/>
      <c r="C26" s="570">
        <v>5981.61</v>
      </c>
      <c r="D26" s="570">
        <v>1636.59</v>
      </c>
      <c r="E26" s="570">
        <v>178.33</v>
      </c>
      <c r="G26">
        <f>F30/G13</f>
        <v>0.778799373470549</v>
      </c>
    </row>
    <row r="27" customFormat="1" spans="1:7">
      <c r="A27" s="570" t="s">
        <v>267</v>
      </c>
      <c r="B27" s="570"/>
      <c r="C27" s="570">
        <v>5191.01</v>
      </c>
      <c r="D27" s="570"/>
      <c r="E27" s="570"/>
    </row>
    <row r="28" customFormat="1" spans="1:7">
      <c r="A28" s="570" t="s">
        <v>268</v>
      </c>
      <c r="B28" s="570"/>
      <c r="C28" s="576">
        <v>2920.77</v>
      </c>
      <c r="D28" s="570">
        <v>1467.43</v>
      </c>
      <c r="E28" s="570"/>
    </row>
    <row r="29" customFormat="1" spans="1:7">
      <c r="A29" s="570" t="s">
        <v>90</v>
      </c>
      <c r="B29" s="570">
        <v>2383.6</v>
      </c>
      <c r="C29" s="570"/>
      <c r="D29" s="570"/>
      <c r="E29" s="570"/>
    </row>
    <row r="30" customFormat="1" spans="1:7">
      <c r="A30" s="570" t="s">
        <v>270</v>
      </c>
      <c r="B30" s="576">
        <f>SUM(B23:B29)</f>
        <v>13429.16</v>
      </c>
      <c r="C30" s="576">
        <f>SUM(C23:C29)</f>
        <v>74520.95</v>
      </c>
      <c r="D30" s="576">
        <f>SUM(D23:D29)</f>
        <v>10841.57</v>
      </c>
      <c r="E30" s="576">
        <f>SUM(E23:E29)</f>
        <v>1386.67</v>
      </c>
      <c r="F30">
        <v>99348.5</v>
      </c>
    </row>
    <row r="32" customFormat="1" spans="1:7">
      <c r="F32">
        <v>100178.35</v>
      </c>
    </row>
    <row r="33" customFormat="1" spans="1:6">
      <c r="F33">
        <f>F32-F30</f>
        <v>829.850000000006</v>
      </c>
    </row>
    <row r="36" customFormat="1" spans="1:6">
      <c r="B36" t="s">
        <v>271</v>
      </c>
      <c r="C36" t="s">
        <v>272</v>
      </c>
      <c r="D36" t="s">
        <v>273</v>
      </c>
    </row>
    <row r="37" customFormat="1" spans="1:6">
      <c r="A37" t="s">
        <v>274</v>
      </c>
      <c r="B37">
        <v>45891.47</v>
      </c>
      <c r="C37">
        <f>39588.05-E24</f>
        <v>38758.2</v>
      </c>
      <c r="D37">
        <f t="shared" ref="D37:D39" si="2">C37/B37</f>
        <v>0.844562181163515</v>
      </c>
    </row>
    <row r="38" customFormat="1" spans="1:6">
      <c r="A38" t="s">
        <v>275</v>
      </c>
      <c r="B38">
        <v>19421.44</v>
      </c>
      <c r="C38">
        <f>12184.73-E26</f>
        <v>12006.4</v>
      </c>
      <c r="D38">
        <f t="shared" si="2"/>
        <v>0.618203387596388</v>
      </c>
    </row>
    <row r="39" customFormat="1" spans="1:6">
      <c r="A39" t="s">
        <v>276</v>
      </c>
      <c r="B39">
        <v>62253.32</v>
      </c>
      <c r="C39">
        <f>48405.57-E25</f>
        <v>48027.08</v>
      </c>
      <c r="D39">
        <f t="shared" si="2"/>
        <v>0.771478211925083</v>
      </c>
    </row>
  </sheetData>
  <pageMargins left="0.75" right="0.75" top="1" bottom="1" header="0.5" footer="0.5"/>
  <pageSetup paperSize="9" orientation="portrait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M14" sqref="M14"/>
    </sheetView>
  </sheetViews>
  <sheetFormatPr defaultColWidth="9" defaultRowHeight="18" customHeight="1" outlineLevelCol="6"/>
  <cols>
    <col min="1" max="1" width="18.625" customWidth="1"/>
    <col min="2" max="2" width="21.875" customWidth="1"/>
    <col min="3" max="3" width="21" customWidth="1"/>
    <col min="4" max="4" width="18.875" customWidth="1"/>
    <col min="5" max="5" width="27.375" customWidth="1"/>
    <col min="6" max="6" width="21.625" customWidth="1"/>
    <col min="7" max="7" width="28.5" customWidth="1"/>
    <col min="8" max="8" width="12.625"/>
  </cols>
  <sheetData>
    <row r="1" customHeight="1" spans="1:7">
      <c r="A1" t="s">
        <v>277</v>
      </c>
    </row>
    <row r="3" customHeight="1" spans="1:7">
      <c r="A3" s="569" t="s">
        <v>278</v>
      </c>
      <c r="B3" s="569"/>
      <c r="C3" s="569"/>
      <c r="D3" s="569"/>
      <c r="E3" s="569"/>
      <c r="F3" s="569"/>
      <c r="G3" s="569"/>
    </row>
    <row r="4" customHeight="1" spans="1:7">
      <c r="A4" s="570" t="s">
        <v>279</v>
      </c>
      <c r="B4" s="570" t="s">
        <v>280</v>
      </c>
      <c r="C4" s="570" t="s">
        <v>281</v>
      </c>
      <c r="D4" s="570" t="s">
        <v>102</v>
      </c>
      <c r="E4" s="570" t="s">
        <v>103</v>
      </c>
      <c r="F4" s="570" t="s">
        <v>282</v>
      </c>
      <c r="G4" s="570" t="s">
        <v>70</v>
      </c>
    </row>
    <row r="5" customHeight="1" spans="1:7">
      <c r="A5" s="570">
        <v>2025.12</v>
      </c>
      <c r="B5" s="571">
        <v>36339000</v>
      </c>
      <c r="C5" s="571">
        <v>1000155.96</v>
      </c>
      <c r="D5" s="571">
        <v>70010.92</v>
      </c>
      <c r="E5" s="571">
        <v>30004.68</v>
      </c>
      <c r="F5" s="571">
        <v>20003.12</v>
      </c>
      <c r="G5" s="571">
        <f>SUM(C5:F5)</f>
        <v>1120174.68</v>
      </c>
    </row>
    <row r="6" customHeight="1" spans="1:7">
      <c r="B6" s="572"/>
      <c r="C6" s="572"/>
      <c r="D6" s="572"/>
      <c r="E6" s="572"/>
      <c r="F6" s="572"/>
      <c r="G6" s="572"/>
    </row>
    <row r="7" customHeight="1" spans="1:7">
      <c r="B7" s="572"/>
      <c r="C7" s="572"/>
      <c r="D7" s="572"/>
      <c r="E7" s="572"/>
      <c r="F7" s="572"/>
      <c r="G7" s="572"/>
    </row>
    <row r="8" customHeight="1" spans="1:7">
      <c r="B8" s="572"/>
      <c r="C8" s="572"/>
      <c r="D8" s="572"/>
      <c r="E8" s="572"/>
      <c r="F8" s="572"/>
      <c r="G8" s="572"/>
    </row>
    <row r="9" customHeight="1" spans="1:7">
      <c r="B9" s="572"/>
      <c r="C9" s="572"/>
      <c r="D9" s="572"/>
      <c r="E9" s="572"/>
      <c r="F9" s="572"/>
      <c r="G9" s="572"/>
    </row>
    <row r="11" customHeight="1" spans="1:7">
      <c r="A11" s="569" t="s">
        <v>283</v>
      </c>
      <c r="B11" s="569"/>
      <c r="C11" s="569"/>
      <c r="D11" s="569"/>
      <c r="E11" s="569"/>
      <c r="F11" s="569"/>
      <c r="G11" s="569"/>
    </row>
    <row r="12" customHeight="1" spans="1:7">
      <c r="A12" s="570" t="s">
        <v>284</v>
      </c>
      <c r="B12" s="570" t="s">
        <v>280</v>
      </c>
      <c r="C12" s="570" t="s">
        <v>281</v>
      </c>
      <c r="D12" s="570" t="s">
        <v>102</v>
      </c>
      <c r="E12" s="570" t="s">
        <v>103</v>
      </c>
      <c r="F12" s="570" t="s">
        <v>282</v>
      </c>
      <c r="G12" s="570" t="s">
        <v>70</v>
      </c>
    </row>
    <row r="13" customHeight="1" spans="1:7">
      <c r="A13" s="570">
        <v>2025.12</v>
      </c>
      <c r="B13" s="571">
        <v>7056644</v>
      </c>
      <c r="C13" s="571">
        <v>194219.56</v>
      </c>
      <c r="D13" s="571">
        <v>13595.37</v>
      </c>
      <c r="E13" s="571">
        <v>5826.59</v>
      </c>
      <c r="F13" s="571">
        <v>3884.39</v>
      </c>
      <c r="G13" s="571">
        <f>SUM(C13:F13)</f>
        <v>217525.91</v>
      </c>
    </row>
    <row r="14" customHeight="1" spans="1:7">
      <c r="A14" s="570">
        <v>2026.1</v>
      </c>
      <c r="B14" s="571">
        <v>5700466</v>
      </c>
      <c r="C14" s="571">
        <v>156893.56</v>
      </c>
      <c r="D14" s="571">
        <v>10982.55</v>
      </c>
      <c r="E14" s="571">
        <v>4706.81</v>
      </c>
      <c r="F14" s="571">
        <v>3137.87</v>
      </c>
      <c r="G14" s="571">
        <f t="shared" ref="G14:G22" si="0">SUM(C14:F14)</f>
        <v>175720.79</v>
      </c>
    </row>
    <row r="15" customHeight="1" spans="1:7">
      <c r="A15" s="570">
        <v>2026.2</v>
      </c>
      <c r="B15" s="571">
        <v>4315000</v>
      </c>
      <c r="C15" s="571">
        <v>118761.47</v>
      </c>
      <c r="D15" s="571">
        <v>8313.3</v>
      </c>
      <c r="E15" s="571">
        <v>3562.84</v>
      </c>
      <c r="F15" s="571">
        <v>2375.23</v>
      </c>
      <c r="G15" s="571">
        <f t="shared" si="0"/>
        <v>133012.84</v>
      </c>
    </row>
    <row r="16" customHeight="1" spans="1:7">
      <c r="A16" s="570">
        <v>2026.3</v>
      </c>
      <c r="B16" s="571">
        <v>8229246</v>
      </c>
      <c r="C16" s="571">
        <v>226493.01</v>
      </c>
      <c r="D16" s="571">
        <v>15854.51</v>
      </c>
      <c r="E16" s="571">
        <v>6794.79</v>
      </c>
      <c r="F16" s="571">
        <v>4529.86</v>
      </c>
      <c r="G16" s="571">
        <f t="shared" si="0"/>
        <v>253672.17</v>
      </c>
    </row>
    <row r="17" customHeight="1" spans="1:7">
      <c r="A17" s="570">
        <v>2026.4</v>
      </c>
      <c r="B17" s="571">
        <v>10542372</v>
      </c>
      <c r="C17" s="571">
        <f>B17/1.09*0.03</f>
        <v>290157.027522936</v>
      </c>
      <c r="D17" s="571">
        <f>C17*0.07</f>
        <v>20310.9919266055</v>
      </c>
      <c r="E17" s="571">
        <f>C17*0.03</f>
        <v>8704.71082568807</v>
      </c>
      <c r="F17" s="571">
        <f>C17*0.02</f>
        <v>5803.14055045872</v>
      </c>
      <c r="G17" s="571">
        <f t="shared" si="0"/>
        <v>324975.870825688</v>
      </c>
    </row>
    <row r="18" customHeight="1" spans="1:7">
      <c r="A18" s="570"/>
      <c r="B18" s="571"/>
      <c r="C18" s="571"/>
      <c r="D18" s="571"/>
      <c r="E18" s="571"/>
      <c r="F18" s="571"/>
      <c r="G18" s="571">
        <f t="shared" si="0"/>
        <v>0</v>
      </c>
    </row>
    <row r="19" customHeight="1" spans="1:7">
      <c r="A19" s="570"/>
      <c r="B19" s="571"/>
      <c r="C19" s="571"/>
      <c r="D19" s="571"/>
      <c r="E19" s="571"/>
      <c r="F19" s="571"/>
      <c r="G19" s="571">
        <f t="shared" si="0"/>
        <v>0</v>
      </c>
    </row>
    <row r="20" customHeight="1" spans="1:7">
      <c r="A20" s="570"/>
      <c r="B20" s="571"/>
      <c r="C20" s="571"/>
      <c r="D20" s="571"/>
      <c r="E20" s="571"/>
      <c r="F20" s="571"/>
      <c r="G20" s="571">
        <f t="shared" si="0"/>
        <v>0</v>
      </c>
    </row>
    <row r="21" customHeight="1" spans="1:7">
      <c r="A21" s="570"/>
      <c r="B21" s="571"/>
      <c r="C21" s="571"/>
      <c r="D21" s="571"/>
      <c r="E21" s="571"/>
      <c r="F21" s="571"/>
      <c r="G21" s="571">
        <f t="shared" si="0"/>
        <v>0</v>
      </c>
    </row>
    <row r="22" customHeight="1" spans="1:7">
      <c r="A22" s="570"/>
      <c r="B22" s="571"/>
      <c r="C22" s="571"/>
      <c r="D22" s="571"/>
      <c r="E22" s="571"/>
      <c r="F22" s="571"/>
      <c r="G22" s="571">
        <f t="shared" si="0"/>
        <v>0</v>
      </c>
    </row>
    <row r="23" customHeight="1" spans="1:7">
      <c r="A23" s="570" t="s">
        <v>270</v>
      </c>
      <c r="B23" s="571">
        <f t="shared" ref="B23:G23" si="1">SUM(B13:B22)</f>
        <v>35843728</v>
      </c>
      <c r="C23" s="571">
        <f t="shared" si="1"/>
        <v>986524.627522936</v>
      </c>
      <c r="D23" s="571">
        <f t="shared" si="1"/>
        <v>69056.7219266055</v>
      </c>
      <c r="E23" s="571">
        <f t="shared" si="1"/>
        <v>29595.7408256881</v>
      </c>
      <c r="F23" s="571">
        <f t="shared" si="1"/>
        <v>19730.4905504587</v>
      </c>
      <c r="G23" s="571">
        <f t="shared" si="1"/>
        <v>1104907.58082569</v>
      </c>
    </row>
    <row r="24" customHeight="1" spans="1:7">
      <c r="A24" s="573" t="s">
        <v>285</v>
      </c>
      <c r="B24" s="574">
        <f>B5-B23</f>
        <v>495272</v>
      </c>
      <c r="C24" s="574">
        <f t="shared" ref="B24:G24" si="2">C5-C23</f>
        <v>13631.3324770642</v>
      </c>
      <c r="D24" s="574">
        <f t="shared" si="2"/>
        <v>954.198073394495</v>
      </c>
      <c r="E24" s="574">
        <f t="shared" si="2"/>
        <v>408.939174311927</v>
      </c>
      <c r="F24" s="574">
        <f t="shared" si="2"/>
        <v>272.629449541284</v>
      </c>
      <c r="G24" s="574">
        <f t="shared" si="2"/>
        <v>15267.0991743119</v>
      </c>
    </row>
  </sheetData>
  <mergeCells count="2">
    <mergeCell ref="A3:G3"/>
    <mergeCell ref="A11:G1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V166"/>
  <sheetViews>
    <sheetView zoomScale="85" zoomScaleNormal="85" topLeftCell="CB1" workbookViewId="0">
      <pane ySplit="3" topLeftCell="A142" activePane="bottomLeft" state="frozen"/>
      <selection/>
      <selection pane="bottomLeft" activeCell="CM165" sqref="CM165"/>
    </sheetView>
  </sheetViews>
  <sheetFormatPr defaultColWidth="9" defaultRowHeight="33" customHeight="1"/>
  <cols>
    <col min="1" max="1" width="5.55833333333333" style="149" customWidth="1"/>
    <col min="2" max="2" width="8.59166666666667" style="149" customWidth="1"/>
    <col min="3" max="3" width="12.625" style="149" customWidth="1"/>
    <col min="4" max="4" width="17.625" style="149" customWidth="1"/>
    <col min="5" max="5" width="14.75" style="149" customWidth="1"/>
    <col min="6" max="6" width="20.375" style="149" customWidth="1"/>
    <col min="7" max="7" width="24.8416666666667" style="149" customWidth="1"/>
    <col min="8" max="8" width="9.025" style="149" customWidth="1"/>
    <col min="9" max="9" width="10.25" style="149" customWidth="1"/>
    <col min="10" max="10" width="8.5" style="149" customWidth="1"/>
    <col min="11" max="11" width="14" style="149" customWidth="1"/>
    <col min="12" max="12" width="14.125" style="149" customWidth="1"/>
    <col min="13" max="13" width="11.375" style="149" customWidth="1"/>
    <col min="14" max="14" width="20.6166666666667" style="491" customWidth="1"/>
    <col min="15" max="15" width="16.5" style="403" customWidth="1"/>
    <col min="16" max="16" width="16.5" style="149" customWidth="1"/>
    <col min="17" max="17" width="25.1583333333333" style="404" customWidth="1"/>
    <col min="18" max="18" width="27.3416666666667" style="149" customWidth="1"/>
    <col min="19" max="19" width="17.35" style="407" customWidth="1"/>
    <col min="20" max="20" width="16.75" style="403" customWidth="1"/>
    <col min="21" max="21" width="13.375" style="149" customWidth="1"/>
    <col min="22" max="22" width="21.875" style="149" customWidth="1"/>
    <col min="23" max="23" width="18.5" style="149" customWidth="1"/>
    <col min="24" max="24" width="20.125" style="403" customWidth="1"/>
    <col min="25" max="25" width="17.5" style="149" customWidth="1"/>
    <col min="26" max="26" width="18.25" style="403" customWidth="1"/>
    <col min="27" max="27" width="15.625" style="149" customWidth="1"/>
    <col min="28" max="28" width="19.625" style="403" customWidth="1"/>
    <col min="29" max="29" width="15.25" style="149" customWidth="1"/>
    <col min="30" max="30" width="18.5" style="149" customWidth="1"/>
    <col min="31" max="31" width="13.75" style="149" customWidth="1"/>
    <col min="32" max="32" width="18.125" style="149" customWidth="1"/>
    <col min="33" max="33" width="13.75" style="149" customWidth="1"/>
    <col min="34" max="34" width="16.25" style="149" customWidth="1"/>
    <col min="35" max="35" width="13.75" style="149" customWidth="1"/>
    <col min="36" max="36" width="17" style="149" customWidth="1"/>
    <col min="37" max="37" width="13.75" style="149" customWidth="1"/>
    <col min="38" max="38" width="20.375" style="403" customWidth="1"/>
    <col min="39" max="39" width="10.4" style="149" customWidth="1"/>
    <col min="40" max="40" width="11.5" style="149" customWidth="1"/>
    <col min="41" max="41" width="22.025" style="547" customWidth="1"/>
    <col min="42" max="42" width="19.8" style="149" customWidth="1"/>
    <col min="43" max="43" width="13.2" style="149" customWidth="1"/>
    <col min="44" max="44" width="23.2" style="149" customWidth="1"/>
    <col min="45" max="45" width="8.7" style="149" customWidth="1"/>
    <col min="46" max="48" width="12.9" style="403" customWidth="1"/>
    <col min="49" max="49" width="11.625" style="403" customWidth="1"/>
    <col min="50" max="50" width="11.5" style="403" customWidth="1"/>
    <col min="51" max="51" width="12.875" style="403" customWidth="1"/>
    <col min="52" max="52" width="11.5" style="403" customWidth="1"/>
    <col min="53" max="54" width="14.375" style="403" customWidth="1"/>
    <col min="55" max="55" width="20" style="403" customWidth="1"/>
    <col min="56" max="56" width="10.375" style="548" customWidth="1"/>
    <col min="57" max="59" width="17.25" style="403" customWidth="1"/>
    <col min="60" max="60" width="21.525" style="403" customWidth="1"/>
    <col min="61" max="62" width="16.75" style="403" customWidth="1"/>
    <col min="63" max="68" width="16.8083333333333" style="403" customWidth="1"/>
    <col min="69" max="69" width="19.25" style="403" customWidth="1"/>
    <col min="70" max="70" width="16.8083333333333" style="403" customWidth="1"/>
    <col min="71" max="71" width="18.25" style="403" customWidth="1"/>
    <col min="72" max="72" width="16.8083333333333" style="403" customWidth="1"/>
    <col min="73" max="73" width="18.875" style="403" customWidth="1"/>
    <col min="74" max="81" width="16.8083333333333" style="403" customWidth="1"/>
    <col min="82" max="82" width="17.6416666666667" style="403" customWidth="1"/>
    <col min="83" max="83" width="19.2583333333333" style="403" customWidth="1"/>
    <col min="84" max="84" width="15.875" style="403" customWidth="1"/>
    <col min="85" max="85" width="17.9333333333333" style="403" customWidth="1"/>
    <col min="86" max="86" width="13.125" style="403" customWidth="1"/>
    <col min="87" max="87" width="21.5" style="149" customWidth="1"/>
    <col min="88" max="88" width="11.7166666666667" style="149" customWidth="1"/>
    <col min="89" max="90" width="9" style="149" customWidth="1"/>
    <col min="91" max="91" width="10.4166666666667" style="149" customWidth="1"/>
    <col min="92" max="92" width="16.0833333333333" style="149" customWidth="1"/>
    <col min="93" max="93" width="11.5" style="149" customWidth="1"/>
    <col min="94" max="94" width="13.5916666666667" style="149" customWidth="1"/>
    <col min="95" max="95" width="12.025" style="149" customWidth="1"/>
    <col min="96" max="96" width="11.25" style="149" customWidth="1"/>
    <col min="97" max="97" width="9" style="149"/>
    <col min="98" max="98" width="11.5" style="149"/>
    <col min="99" max="16384" width="9" style="149"/>
  </cols>
  <sheetData>
    <row r="1" s="546" customFormat="1" customHeight="1" spans="1:94">
      <c r="A1" s="546" t="s">
        <v>286</v>
      </c>
      <c r="N1" s="549"/>
      <c r="O1" s="122"/>
      <c r="Q1" s="550"/>
      <c r="S1" s="126"/>
      <c r="T1" s="122"/>
      <c r="X1" s="122"/>
      <c r="Z1" s="122"/>
      <c r="AB1" s="122"/>
      <c r="AL1" s="122"/>
      <c r="AO1" s="551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552"/>
      <c r="BE1" s="122"/>
      <c r="BF1" s="122"/>
      <c r="BG1" s="122"/>
      <c r="BH1" s="122"/>
      <c r="BI1" s="122"/>
      <c r="BJ1" s="122"/>
      <c r="BK1" s="403"/>
      <c r="BL1" s="403"/>
      <c r="BM1" s="403"/>
      <c r="BN1" s="403"/>
      <c r="BO1" s="403"/>
      <c r="BP1" s="403"/>
      <c r="BQ1" s="403"/>
      <c r="BR1" s="403"/>
      <c r="BS1" s="403"/>
      <c r="BT1" s="403"/>
      <c r="BU1" s="403"/>
      <c r="BV1" s="403"/>
      <c r="BW1" s="403"/>
      <c r="BX1" s="403"/>
      <c r="BY1" s="403"/>
      <c r="BZ1" s="403"/>
      <c r="CA1" s="403"/>
      <c r="CB1" s="403"/>
      <c r="CC1" s="403"/>
      <c r="CD1" s="122"/>
      <c r="CE1" s="122"/>
      <c r="CF1" s="122"/>
      <c r="CG1" s="122"/>
      <c r="CH1" s="122"/>
    </row>
    <row r="2" s="546" customFormat="1" ht="16" customHeight="1" spans="1:94">
      <c r="A2" s="546" t="s">
        <v>40</v>
      </c>
      <c r="B2" s="546" t="s">
        <v>287</v>
      </c>
      <c r="C2" s="553" t="s">
        <v>288</v>
      </c>
      <c r="D2" s="546" t="s">
        <v>289</v>
      </c>
      <c r="E2" s="546" t="s">
        <v>290</v>
      </c>
      <c r="F2" s="546" t="s">
        <v>291</v>
      </c>
      <c r="G2" s="546" t="s">
        <v>292</v>
      </c>
      <c r="H2" s="546" t="s">
        <v>41</v>
      </c>
      <c r="I2" s="546" t="s">
        <v>293</v>
      </c>
      <c r="J2" s="546" t="s">
        <v>294</v>
      </c>
      <c r="K2" s="553" t="s">
        <v>295</v>
      </c>
      <c r="L2" s="546" t="s">
        <v>296</v>
      </c>
      <c r="M2" s="546" t="s">
        <v>297</v>
      </c>
      <c r="N2" s="549" t="s">
        <v>298</v>
      </c>
      <c r="O2" s="122" t="s">
        <v>299</v>
      </c>
      <c r="P2" s="551" t="s">
        <v>300</v>
      </c>
      <c r="Q2" s="112" t="s">
        <v>301</v>
      </c>
      <c r="R2" s="119"/>
      <c r="S2" s="126"/>
      <c r="T2" s="554" t="s">
        <v>302</v>
      </c>
      <c r="U2" s="546" t="s">
        <v>303</v>
      </c>
      <c r="V2" s="546" t="s">
        <v>304</v>
      </c>
      <c r="W2" s="546" t="s">
        <v>305</v>
      </c>
      <c r="X2" s="122" t="s">
        <v>306</v>
      </c>
      <c r="Z2" s="122"/>
      <c r="AB2" s="122"/>
      <c r="AL2" s="122" t="s">
        <v>307</v>
      </c>
      <c r="AM2" s="553" t="s">
        <v>308</v>
      </c>
      <c r="AN2" s="546" t="s">
        <v>309</v>
      </c>
      <c r="AO2" s="551" t="s">
        <v>61</v>
      </c>
      <c r="AP2" s="546" t="s">
        <v>310</v>
      </c>
      <c r="AQ2" s="546" t="s">
        <v>49</v>
      </c>
      <c r="AT2" s="555" t="s">
        <v>311</v>
      </c>
      <c r="AU2" s="556" t="s">
        <v>312</v>
      </c>
      <c r="AV2" s="556" t="s">
        <v>313</v>
      </c>
      <c r="AW2" s="556" t="s">
        <v>314</v>
      </c>
      <c r="AX2" s="556" t="s">
        <v>315</v>
      </c>
      <c r="AY2" s="556" t="s">
        <v>316</v>
      </c>
      <c r="AZ2" s="556" t="s">
        <v>317</v>
      </c>
      <c r="BA2" s="556" t="s">
        <v>318</v>
      </c>
      <c r="BB2" s="556" t="s">
        <v>319</v>
      </c>
      <c r="BC2" s="557" t="s">
        <v>320</v>
      </c>
      <c r="BD2" s="558" t="s">
        <v>321</v>
      </c>
      <c r="BE2" s="559" t="s">
        <v>322</v>
      </c>
      <c r="BF2" s="559" t="s">
        <v>323</v>
      </c>
      <c r="BG2" s="559" t="s">
        <v>324</v>
      </c>
      <c r="BH2" s="559" t="s">
        <v>325</v>
      </c>
      <c r="BI2" s="559" t="s">
        <v>326</v>
      </c>
      <c r="BJ2" s="559" t="s">
        <v>327</v>
      </c>
      <c r="BK2" s="559" t="s">
        <v>328</v>
      </c>
      <c r="BL2" s="559" t="s">
        <v>329</v>
      </c>
      <c r="BM2" s="559" t="s">
        <v>330</v>
      </c>
      <c r="BN2" s="559" t="s">
        <v>331</v>
      </c>
      <c r="BO2" s="559" t="s">
        <v>332</v>
      </c>
      <c r="BP2" s="559" t="s">
        <v>333</v>
      </c>
      <c r="BQ2" s="559" t="s">
        <v>334</v>
      </c>
      <c r="BR2" s="559" t="s">
        <v>335</v>
      </c>
      <c r="BS2" s="559" t="s">
        <v>336</v>
      </c>
      <c r="BT2" s="559" t="s">
        <v>337</v>
      </c>
      <c r="BU2" s="559" t="s">
        <v>338</v>
      </c>
      <c r="BV2" s="559" t="s">
        <v>339</v>
      </c>
      <c r="BW2" s="559" t="s">
        <v>340</v>
      </c>
      <c r="BX2" s="559" t="s">
        <v>341</v>
      </c>
      <c r="BY2" s="559" t="s">
        <v>342</v>
      </c>
      <c r="BZ2" s="559" t="s">
        <v>343</v>
      </c>
      <c r="CA2" s="559" t="s">
        <v>344</v>
      </c>
      <c r="CB2" s="559" t="s">
        <v>345</v>
      </c>
      <c r="CC2" s="559" t="s">
        <v>346</v>
      </c>
      <c r="CD2" s="559" t="s">
        <v>347</v>
      </c>
      <c r="CE2" s="559" t="s">
        <v>348</v>
      </c>
      <c r="CF2" s="559" t="s">
        <v>349</v>
      </c>
      <c r="CG2" s="559" t="s">
        <v>350</v>
      </c>
      <c r="CH2" s="559"/>
      <c r="CI2" s="546" t="s">
        <v>351</v>
      </c>
      <c r="CK2" s="102" t="s">
        <v>106</v>
      </c>
      <c r="CL2" s="102" t="s">
        <v>352</v>
      </c>
      <c r="CM2" s="115"/>
      <c r="CO2" s="412"/>
      <c r="CP2" s="412" t="s">
        <v>353</v>
      </c>
    </row>
    <row r="3" s="546" customFormat="1" ht="20" customHeight="1" spans="1:94">
      <c r="C3" s="553"/>
      <c r="N3" s="549"/>
      <c r="O3" s="122"/>
      <c r="P3" s="551"/>
      <c r="Q3" s="550" t="s">
        <v>354</v>
      </c>
      <c r="R3" s="551" t="s">
        <v>355</v>
      </c>
      <c r="S3" s="126"/>
      <c r="T3" s="122"/>
      <c r="X3" s="122" t="s">
        <v>356</v>
      </c>
      <c r="Y3" s="546" t="s">
        <v>357</v>
      </c>
      <c r="Z3" s="122" t="s">
        <v>358</v>
      </c>
      <c r="AA3" s="127" t="s">
        <v>357</v>
      </c>
      <c r="AB3" s="122" t="s">
        <v>359</v>
      </c>
      <c r="AC3" s="127" t="s">
        <v>357</v>
      </c>
      <c r="AD3" s="546" t="s">
        <v>360</v>
      </c>
      <c r="AE3" s="546" t="s">
        <v>357</v>
      </c>
      <c r="AF3" s="546" t="s">
        <v>361</v>
      </c>
      <c r="AG3" s="546" t="s">
        <v>357</v>
      </c>
      <c r="AH3" s="546" t="s">
        <v>362</v>
      </c>
      <c r="AI3" s="546" t="s">
        <v>357</v>
      </c>
      <c r="AJ3" s="546" t="s">
        <v>363</v>
      </c>
      <c r="AK3" s="546" t="s">
        <v>357</v>
      </c>
      <c r="AL3" s="122"/>
      <c r="AO3" s="551"/>
      <c r="AQ3" s="546" t="s">
        <v>364</v>
      </c>
      <c r="AR3" s="546" t="s">
        <v>365</v>
      </c>
      <c r="AS3" s="546" t="s">
        <v>366</v>
      </c>
      <c r="AT3" s="555"/>
      <c r="AU3" s="556"/>
      <c r="AV3" s="556"/>
      <c r="AW3" s="556"/>
      <c r="AX3" s="556"/>
      <c r="AY3" s="556"/>
      <c r="AZ3" s="556"/>
      <c r="BA3" s="556"/>
      <c r="BB3" s="556"/>
      <c r="BC3" s="557"/>
      <c r="BD3" s="558"/>
      <c r="BE3" s="559"/>
      <c r="BF3" s="559"/>
      <c r="BG3" s="559"/>
      <c r="BH3" s="559"/>
      <c r="BI3" s="559"/>
      <c r="BJ3" s="559"/>
      <c r="BK3" s="559"/>
      <c r="BL3" s="559"/>
      <c r="BM3" s="559"/>
      <c r="BN3" s="559"/>
      <c r="BO3" s="559"/>
      <c r="BP3" s="559"/>
      <c r="BQ3" s="559"/>
      <c r="BR3" s="559"/>
      <c r="BS3" s="559"/>
      <c r="BT3" s="559"/>
      <c r="BU3" s="559"/>
      <c r="BV3" s="559"/>
      <c r="BW3" s="559"/>
      <c r="BX3" s="559"/>
      <c r="BY3" s="559"/>
      <c r="BZ3" s="559"/>
      <c r="CA3" s="559"/>
      <c r="CB3" s="559"/>
      <c r="CC3" s="559"/>
      <c r="CD3" s="559"/>
      <c r="CE3" s="559"/>
      <c r="CF3" s="559"/>
      <c r="CG3" s="559"/>
      <c r="CH3" s="559"/>
      <c r="CL3" s="102"/>
      <c r="CM3" s="553"/>
      <c r="CO3" s="412"/>
      <c r="CP3" s="412"/>
    </row>
    <row r="4" s="134" customFormat="1" customHeight="1" spans="1:94">
      <c r="A4" s="134">
        <v>1</v>
      </c>
      <c r="B4" s="134"/>
      <c r="C4" s="443">
        <v>45566</v>
      </c>
      <c r="D4" s="134">
        <v>20240005549</v>
      </c>
      <c r="F4" s="429" t="s">
        <v>367</v>
      </c>
      <c r="G4" s="143" t="s">
        <v>368</v>
      </c>
      <c r="H4" s="134" t="s">
        <v>369</v>
      </c>
      <c r="I4" s="429" t="s">
        <v>370</v>
      </c>
      <c r="J4" s="429" t="s">
        <v>371</v>
      </c>
      <c r="K4" s="134">
        <v>68.42</v>
      </c>
      <c r="L4" s="134">
        <v>68.42</v>
      </c>
      <c r="M4" s="134">
        <v>20868.5</v>
      </c>
      <c r="N4" s="441">
        <v>1427823</v>
      </c>
      <c r="O4" s="359">
        <v>22746.96</v>
      </c>
      <c r="P4" s="134"/>
      <c r="Q4" s="145">
        <v>1309929.36</v>
      </c>
      <c r="R4" s="1006" t="s">
        <v>372</v>
      </c>
      <c r="S4" s="443">
        <v>45600</v>
      </c>
      <c r="T4" s="359"/>
      <c r="U4" s="413"/>
      <c r="V4" s="413"/>
      <c r="W4" s="413" t="s">
        <v>373</v>
      </c>
      <c r="X4" s="359">
        <v>10000</v>
      </c>
      <c r="Y4" s="413">
        <v>45561</v>
      </c>
      <c r="Z4" s="359">
        <f>1060000+57823</f>
        <v>1117823</v>
      </c>
      <c r="AA4" s="413" t="s">
        <v>374</v>
      </c>
      <c r="AB4" s="359">
        <v>300000</v>
      </c>
      <c r="AC4" s="413" t="s">
        <v>375</v>
      </c>
      <c r="AL4" s="359">
        <f>X4+Z4+AB4+AD4+AF4+AH4+AJ4</f>
        <v>1427823</v>
      </c>
      <c r="AO4" s="418">
        <f t="shared" ref="AO4:AO9" si="0">N4-AL4</f>
        <v>0</v>
      </c>
      <c r="AP4" s="134">
        <v>13579043254</v>
      </c>
      <c r="AT4" s="419">
        <f>AU4+AV4+AW4+AX4+AY4+AZ4+BA4+BB4</f>
        <v>400</v>
      </c>
      <c r="AU4" s="419">
        <f>200</f>
        <v>200</v>
      </c>
      <c r="AV4" s="359">
        <v>200</v>
      </c>
      <c r="AW4" s="359"/>
      <c r="AX4" s="359"/>
      <c r="AY4" s="359"/>
      <c r="AZ4" s="359"/>
      <c r="BA4" s="359"/>
      <c r="BB4" s="359"/>
      <c r="BC4" s="359">
        <f>SUM(BE4:CH4)</f>
        <v>1427823</v>
      </c>
      <c r="BD4" s="140">
        <f>1%+0.18%+0.2%</f>
        <v>0.0138</v>
      </c>
      <c r="BE4" s="359"/>
      <c r="BF4" s="359"/>
      <c r="BG4" s="359"/>
      <c r="BH4" s="359"/>
      <c r="BI4" s="359"/>
      <c r="BJ4" s="359"/>
      <c r="BK4" s="359"/>
      <c r="BL4" s="359"/>
      <c r="BM4" s="359"/>
      <c r="BN4" s="359"/>
      <c r="BO4" s="359"/>
      <c r="BP4" s="359"/>
      <c r="BQ4" s="359"/>
      <c r="BR4" s="359"/>
      <c r="BS4" s="359"/>
      <c r="BT4" s="359"/>
      <c r="BU4" s="359">
        <v>1427823</v>
      </c>
      <c r="BV4" s="359"/>
      <c r="BW4" s="359"/>
      <c r="BX4" s="359"/>
      <c r="BY4" s="359"/>
      <c r="BZ4" s="359"/>
      <c r="CA4" s="359"/>
      <c r="CB4" s="359"/>
      <c r="CC4" s="359"/>
      <c r="CD4" s="359"/>
      <c r="CE4" s="359"/>
      <c r="CF4" s="359"/>
      <c r="CG4" s="359"/>
      <c r="CH4" s="359"/>
      <c r="CI4" s="134"/>
      <c r="CK4" s="134" t="s">
        <v>376</v>
      </c>
      <c r="CN4" s="134" t="s">
        <v>377</v>
      </c>
    </row>
    <row r="5" s="134" customFormat="1" customHeight="1" spans="1:94">
      <c r="A5" s="134">
        <v>2</v>
      </c>
      <c r="C5" s="443">
        <v>45401</v>
      </c>
      <c r="D5" s="134">
        <v>20240002187</v>
      </c>
      <c r="E5" s="1006" t="s">
        <v>378</v>
      </c>
      <c r="F5" s="429" t="s">
        <v>379</v>
      </c>
      <c r="G5" s="143" t="s">
        <v>380</v>
      </c>
      <c r="I5" s="429" t="s">
        <v>370</v>
      </c>
      <c r="J5" s="429" t="s">
        <v>381</v>
      </c>
      <c r="K5" s="134">
        <v>68.42</v>
      </c>
      <c r="L5" s="134">
        <v>68.42</v>
      </c>
      <c r="M5" s="134">
        <v>22700</v>
      </c>
      <c r="N5" s="441">
        <v>1553134</v>
      </c>
      <c r="O5" s="359">
        <v>22651.12</v>
      </c>
      <c r="Q5" s="145">
        <v>1424893.58</v>
      </c>
      <c r="R5" s="1006" t="s">
        <v>382</v>
      </c>
      <c r="S5" s="443">
        <v>45618</v>
      </c>
      <c r="T5" s="359"/>
      <c r="U5" s="138"/>
      <c r="V5" s="413"/>
      <c r="W5" s="413" t="s">
        <v>383</v>
      </c>
      <c r="X5" s="359">
        <v>100000</v>
      </c>
      <c r="Y5" s="138" t="s">
        <v>384</v>
      </c>
      <c r="Z5" s="359">
        <v>683134</v>
      </c>
      <c r="AA5" s="417" t="s">
        <v>385</v>
      </c>
      <c r="AB5" s="359">
        <v>770000</v>
      </c>
      <c r="AC5" s="138" t="s">
        <v>386</v>
      </c>
      <c r="AL5" s="359">
        <f>X5+Z5+AB5+AD5+AF5+AH5+AJ5</f>
        <v>1553134</v>
      </c>
      <c r="AO5" s="418">
        <f t="shared" si="0"/>
        <v>0</v>
      </c>
      <c r="AP5" s="134">
        <v>18609962209</v>
      </c>
      <c r="AT5" s="419">
        <f t="shared" ref="AT5:AT36" si="1">AU5+AV5+AW5+AX5+AY5+AZ5+BA5+BB5</f>
        <v>400</v>
      </c>
      <c r="AU5" s="419">
        <f>200</f>
        <v>200</v>
      </c>
      <c r="AV5" s="359"/>
      <c r="AW5" s="359"/>
      <c r="AX5" s="359">
        <v>200</v>
      </c>
      <c r="AY5" s="359"/>
      <c r="AZ5" s="359"/>
      <c r="BA5" s="359"/>
      <c r="BB5" s="359"/>
      <c r="BC5" s="359">
        <f t="shared" ref="BC5:BC36" si="2">SUM(BE5:CH5)</f>
        <v>1553134</v>
      </c>
      <c r="BD5" s="513">
        <f>1%+0.2%</f>
        <v>0.012</v>
      </c>
      <c r="BE5" s="359"/>
      <c r="BF5" s="359"/>
      <c r="BG5" s="359"/>
      <c r="BH5" s="359"/>
      <c r="BI5" s="359"/>
      <c r="BJ5" s="359"/>
      <c r="BK5" s="359"/>
      <c r="BL5" s="359"/>
      <c r="BM5" s="359"/>
      <c r="BN5" s="359"/>
      <c r="BO5" s="359">
        <v>1553134</v>
      </c>
      <c r="BP5" s="359"/>
      <c r="BQ5" s="359"/>
      <c r="BR5" s="359"/>
      <c r="BS5" s="359"/>
      <c r="BT5" s="359"/>
      <c r="BU5" s="359"/>
      <c r="BV5" s="359"/>
      <c r="BW5" s="359"/>
      <c r="BX5" s="359"/>
      <c r="BY5" s="359"/>
      <c r="BZ5" s="359"/>
      <c r="CA5" s="359"/>
      <c r="CB5" s="359"/>
      <c r="CC5" s="359"/>
      <c r="CD5" s="359"/>
      <c r="CE5" s="359"/>
      <c r="CF5" s="359"/>
      <c r="CG5" s="359"/>
      <c r="CH5" s="359"/>
      <c r="CK5" s="134" t="s">
        <v>376</v>
      </c>
      <c r="CL5" s="134" t="s">
        <v>387</v>
      </c>
      <c r="CN5" s="134" t="s">
        <v>377</v>
      </c>
    </row>
    <row r="6" s="134" customFormat="1" customHeight="1" spans="1:94">
      <c r="A6" s="134">
        <v>3</v>
      </c>
      <c r="B6" s="134"/>
      <c r="C6" s="443">
        <v>45566</v>
      </c>
      <c r="D6" s="134">
        <v>20240005511</v>
      </c>
      <c r="E6" s="1006" t="s">
        <v>388</v>
      </c>
      <c r="F6" s="429" t="s">
        <v>389</v>
      </c>
      <c r="G6" s="134" t="s">
        <v>390</v>
      </c>
      <c r="I6" s="429" t="s">
        <v>370</v>
      </c>
      <c r="J6" s="429" t="s">
        <v>391</v>
      </c>
      <c r="K6" s="134">
        <v>116.65</v>
      </c>
      <c r="L6" s="134">
        <v>116.65</v>
      </c>
      <c r="M6" s="134">
        <v>21945.99</v>
      </c>
      <c r="N6" s="441">
        <v>2560000</v>
      </c>
      <c r="O6" s="359">
        <v>21618</v>
      </c>
      <c r="P6" s="134"/>
      <c r="Q6" s="145">
        <v>2348623.85</v>
      </c>
      <c r="R6" s="1006" t="s">
        <v>392</v>
      </c>
      <c r="S6" s="443">
        <v>45716</v>
      </c>
      <c r="T6" s="359"/>
      <c r="U6" s="138"/>
      <c r="W6" s="138" t="s">
        <v>393</v>
      </c>
      <c r="X6" s="359">
        <v>50000</v>
      </c>
      <c r="Y6" s="138">
        <v>45539</v>
      </c>
      <c r="Z6" s="359">
        <v>800000</v>
      </c>
      <c r="AA6" s="138">
        <v>45563</v>
      </c>
      <c r="AB6" s="359">
        <v>1710000</v>
      </c>
      <c r="AC6" s="138" t="s">
        <v>394</v>
      </c>
      <c r="AL6" s="359">
        <f>X6+Z6+AB6+AD6+AF6+AH6+AJ6</f>
        <v>2560000</v>
      </c>
      <c r="AO6" s="418">
        <f t="shared" si="0"/>
        <v>0</v>
      </c>
      <c r="AP6" s="134">
        <v>13899099509</v>
      </c>
      <c r="AT6" s="419">
        <f t="shared" si="1"/>
        <v>0</v>
      </c>
      <c r="AU6" s="143"/>
      <c r="BC6" s="359">
        <f t="shared" si="2"/>
        <v>2560000</v>
      </c>
      <c r="BD6" s="140">
        <f>1%+0.15%+0.2%</f>
        <v>0.0135</v>
      </c>
      <c r="BU6" s="134">
        <v>2560000</v>
      </c>
      <c r="CK6" s="134" t="s">
        <v>376</v>
      </c>
      <c r="CN6" s="134" t="s">
        <v>377</v>
      </c>
    </row>
    <row r="7" s="134" customFormat="1" customHeight="1" spans="1:94">
      <c r="A7" s="134">
        <v>4</v>
      </c>
      <c r="C7" s="443">
        <v>45283</v>
      </c>
      <c r="D7" s="134">
        <v>20230010576</v>
      </c>
      <c r="E7" s="1006" t="s">
        <v>395</v>
      </c>
      <c r="F7" s="429" t="s">
        <v>396</v>
      </c>
      <c r="G7" s="134" t="s">
        <v>397</v>
      </c>
      <c r="I7" s="429" t="s">
        <v>370</v>
      </c>
      <c r="J7" s="429" t="s">
        <v>398</v>
      </c>
      <c r="K7" s="134">
        <v>68.42</v>
      </c>
      <c r="L7" s="134">
        <v>68.42</v>
      </c>
      <c r="M7" s="134">
        <v>21800</v>
      </c>
      <c r="N7" s="441">
        <v>1491556</v>
      </c>
      <c r="O7" s="359">
        <v>21560</v>
      </c>
      <c r="Q7" s="145">
        <v>1368400</v>
      </c>
      <c r="R7" s="1006" t="s">
        <v>399</v>
      </c>
      <c r="S7" s="443">
        <v>45716</v>
      </c>
      <c r="T7" s="359"/>
      <c r="U7" s="138"/>
      <c r="V7" s="138"/>
      <c r="W7" s="138" t="s">
        <v>400</v>
      </c>
      <c r="X7" s="359">
        <v>80000</v>
      </c>
      <c r="Y7" s="138" t="s">
        <v>401</v>
      </c>
      <c r="Z7" s="359">
        <f>420000+361556</f>
        <v>781556</v>
      </c>
      <c r="AA7" s="138" t="s">
        <v>402</v>
      </c>
      <c r="AB7" s="359">
        <v>100000</v>
      </c>
      <c r="AC7" s="138" t="s">
        <v>403</v>
      </c>
      <c r="AD7" s="359">
        <v>130000</v>
      </c>
      <c r="AE7" s="138" t="s">
        <v>404</v>
      </c>
      <c r="AF7" s="359">
        <v>200000</v>
      </c>
      <c r="AG7" s="138" t="s">
        <v>405</v>
      </c>
      <c r="AH7" s="359">
        <v>200000</v>
      </c>
      <c r="AI7" s="138" t="s">
        <v>405</v>
      </c>
      <c r="AL7" s="359">
        <f t="shared" ref="AL7:AL26" si="3">X7+Z7+AB7+AD7+AF7+AH7+AJ7</f>
        <v>1491556</v>
      </c>
      <c r="AO7" s="418">
        <f t="shared" si="0"/>
        <v>0</v>
      </c>
      <c r="AP7" s="134">
        <v>17399115251</v>
      </c>
      <c r="AT7" s="419">
        <f t="shared" si="1"/>
        <v>0</v>
      </c>
      <c r="AU7" s="143"/>
      <c r="BC7" s="359">
        <f t="shared" si="2"/>
        <v>1491556</v>
      </c>
      <c r="BD7" s="140">
        <f>0.8%+0.13%+0.14%</f>
        <v>0.0107</v>
      </c>
      <c r="BJ7" s="134">
        <v>861556</v>
      </c>
      <c r="BQ7" s="134">
        <v>630000</v>
      </c>
      <c r="CK7" s="134" t="s">
        <v>376</v>
      </c>
      <c r="CL7" s="134" t="s">
        <v>387</v>
      </c>
      <c r="CN7" s="134" t="s">
        <v>377</v>
      </c>
    </row>
    <row r="8" s="134" customFormat="1" customHeight="1" spans="1:94">
      <c r="A8" s="134">
        <v>5</v>
      </c>
      <c r="C8" s="443">
        <v>45394</v>
      </c>
      <c r="D8" s="134">
        <v>20240002029</v>
      </c>
      <c r="F8" s="429" t="s">
        <v>406</v>
      </c>
      <c r="G8" s="143" t="s">
        <v>407</v>
      </c>
      <c r="I8" s="429" t="s">
        <v>370</v>
      </c>
      <c r="J8" s="429" t="s">
        <v>408</v>
      </c>
      <c r="K8" s="134">
        <v>68.42</v>
      </c>
      <c r="L8" s="134">
        <v>68.42</v>
      </c>
      <c r="M8" s="134">
        <v>21967.26</v>
      </c>
      <c r="N8" s="441">
        <v>1503000</v>
      </c>
      <c r="O8" s="359">
        <v>21960</v>
      </c>
      <c r="Q8" s="145">
        <v>1378899.08</v>
      </c>
      <c r="R8" s="1006" t="s">
        <v>409</v>
      </c>
      <c r="S8" s="443">
        <v>45716</v>
      </c>
      <c r="T8" s="359"/>
      <c r="U8" s="138"/>
      <c r="V8" s="138"/>
      <c r="W8" s="413" t="s">
        <v>410</v>
      </c>
      <c r="X8" s="359">
        <v>20000</v>
      </c>
      <c r="Y8" s="138" t="s">
        <v>411</v>
      </c>
      <c r="Z8" s="359">
        <v>783000</v>
      </c>
      <c r="AA8" s="138" t="s">
        <v>412</v>
      </c>
      <c r="AB8" s="359">
        <v>700000</v>
      </c>
      <c r="AC8" s="138" t="s">
        <v>413</v>
      </c>
      <c r="AD8" s="359"/>
      <c r="AE8" s="138"/>
      <c r="AL8" s="359">
        <f t="shared" si="3"/>
        <v>1503000</v>
      </c>
      <c r="AO8" s="418">
        <f t="shared" si="0"/>
        <v>0</v>
      </c>
      <c r="AP8" s="134">
        <v>13150241703</v>
      </c>
      <c r="AT8" s="419">
        <f t="shared" si="1"/>
        <v>200</v>
      </c>
      <c r="AU8" s="143"/>
      <c r="AV8" s="134">
        <v>200</v>
      </c>
      <c r="BC8" s="359">
        <f t="shared" si="2"/>
        <v>1503000</v>
      </c>
      <c r="BD8" s="140">
        <f>1%+0.18%+0.2%</f>
        <v>0.0138</v>
      </c>
      <c r="BN8" s="134">
        <v>803000</v>
      </c>
      <c r="BO8" s="134">
        <v>700000</v>
      </c>
      <c r="CK8" s="134" t="s">
        <v>376</v>
      </c>
      <c r="CL8" s="134" t="s">
        <v>387</v>
      </c>
      <c r="CN8" s="134" t="s">
        <v>377</v>
      </c>
    </row>
    <row r="9" s="134" customFormat="1" ht="47" customHeight="1" spans="1:94">
      <c r="A9" s="134">
        <v>6</v>
      </c>
      <c r="C9" s="443">
        <v>45269</v>
      </c>
      <c r="D9" s="134">
        <v>20230010242</v>
      </c>
      <c r="E9" s="1006" t="s">
        <v>414</v>
      </c>
      <c r="F9" s="429" t="s">
        <v>415</v>
      </c>
      <c r="G9" s="143" t="s">
        <v>416</v>
      </c>
      <c r="I9" s="429" t="s">
        <v>370</v>
      </c>
      <c r="J9" s="429" t="s">
        <v>417</v>
      </c>
      <c r="K9" s="134">
        <v>68.42</v>
      </c>
      <c r="L9" s="134">
        <v>68.42</v>
      </c>
      <c r="M9" s="134">
        <v>22500</v>
      </c>
      <c r="N9" s="441">
        <v>1539450</v>
      </c>
      <c r="O9" s="359">
        <v>22360</v>
      </c>
      <c r="Q9" s="145">
        <v>1412339.45</v>
      </c>
      <c r="R9" s="1006" t="s">
        <v>418</v>
      </c>
      <c r="S9" s="443">
        <v>45716</v>
      </c>
      <c r="T9" s="359"/>
      <c r="V9" s="143"/>
      <c r="W9" s="143" t="s">
        <v>419</v>
      </c>
      <c r="X9" s="359">
        <v>100000</v>
      </c>
      <c r="Y9" s="134" t="s">
        <v>420</v>
      </c>
      <c r="Z9" s="134">
        <v>909450</v>
      </c>
      <c r="AA9" s="417" t="s">
        <v>421</v>
      </c>
      <c r="AB9" s="359">
        <v>530000</v>
      </c>
      <c r="AC9" s="134" t="s">
        <v>422</v>
      </c>
      <c r="AD9" s="359"/>
      <c r="AL9" s="359">
        <f t="shared" si="3"/>
        <v>1539450</v>
      </c>
      <c r="AO9" s="418">
        <f t="shared" si="0"/>
        <v>0</v>
      </c>
      <c r="AT9" s="419">
        <f t="shared" si="1"/>
        <v>500</v>
      </c>
      <c r="AU9" s="419"/>
      <c r="AV9" s="359">
        <v>200</v>
      </c>
      <c r="AW9" s="359"/>
      <c r="AX9" s="359"/>
      <c r="AY9" s="359"/>
      <c r="AZ9" s="359"/>
      <c r="BA9" s="359">
        <v>300</v>
      </c>
      <c r="BB9" s="359"/>
      <c r="BC9" s="359">
        <f t="shared" si="2"/>
        <v>1539450</v>
      </c>
      <c r="BD9" s="513">
        <f>0.9%+0.13%+0.14%</f>
        <v>0.0117</v>
      </c>
      <c r="BE9" s="359"/>
      <c r="BF9" s="359"/>
      <c r="BG9" s="359"/>
      <c r="BH9" s="359"/>
      <c r="BI9" s="359"/>
      <c r="BJ9" s="359">
        <v>1539450</v>
      </c>
      <c r="BK9" s="359"/>
      <c r="BL9" s="359"/>
      <c r="BM9" s="359"/>
      <c r="BN9" s="359"/>
      <c r="BO9" s="359"/>
      <c r="BP9" s="359"/>
      <c r="BQ9" s="359"/>
      <c r="BR9" s="359"/>
      <c r="BS9" s="359"/>
      <c r="BT9" s="359"/>
      <c r="BU9" s="359"/>
      <c r="BV9" s="359"/>
      <c r="BW9" s="359"/>
      <c r="BX9" s="359"/>
      <c r="BY9" s="359"/>
      <c r="BZ9" s="359"/>
      <c r="CA9" s="359"/>
      <c r="CB9" s="359"/>
      <c r="CC9" s="359"/>
      <c r="CD9" s="359"/>
      <c r="CE9" s="359"/>
      <c r="CF9" s="359"/>
      <c r="CG9" s="359"/>
      <c r="CH9" s="359"/>
      <c r="CI9" s="134"/>
      <c r="CK9" s="134" t="s">
        <v>376</v>
      </c>
      <c r="CL9" s="134" t="s">
        <v>387</v>
      </c>
      <c r="CN9" s="134" t="s">
        <v>377</v>
      </c>
    </row>
    <row r="10" s="134" customFormat="1" ht="39" customHeight="1" spans="1:94">
      <c r="A10" s="134">
        <v>7</v>
      </c>
      <c r="C10" s="443">
        <v>45200</v>
      </c>
      <c r="D10" s="134">
        <v>20230008432</v>
      </c>
      <c r="E10" s="1006" t="s">
        <v>423</v>
      </c>
      <c r="F10" s="429" t="s">
        <v>424</v>
      </c>
      <c r="G10" s="143" t="s">
        <v>425</v>
      </c>
      <c r="I10" s="429" t="s">
        <v>370</v>
      </c>
      <c r="J10" s="429" t="s">
        <v>426</v>
      </c>
      <c r="K10" s="134">
        <v>68.42</v>
      </c>
      <c r="L10" s="134">
        <v>68.42</v>
      </c>
      <c r="M10" s="134">
        <v>22960.42</v>
      </c>
      <c r="N10" s="441">
        <v>1570952</v>
      </c>
      <c r="O10" s="359">
        <v>22760.42</v>
      </c>
      <c r="Q10" s="145">
        <v>1441240.37</v>
      </c>
      <c r="R10" s="1006" t="s">
        <v>427</v>
      </c>
      <c r="S10" s="443">
        <v>45716</v>
      </c>
      <c r="T10" s="359"/>
      <c r="W10" s="143" t="s">
        <v>428</v>
      </c>
      <c r="X10" s="359">
        <v>30000</v>
      </c>
      <c r="Y10" s="134" t="s">
        <v>429</v>
      </c>
      <c r="Z10" s="359">
        <v>760952</v>
      </c>
      <c r="AA10" s="134" t="s">
        <v>430</v>
      </c>
      <c r="AB10" s="359">
        <v>780000</v>
      </c>
      <c r="AC10" s="134" t="s">
        <v>431</v>
      </c>
      <c r="AD10" s="359"/>
      <c r="AL10" s="359">
        <f t="shared" si="3"/>
        <v>1570952</v>
      </c>
      <c r="AO10" s="418">
        <f t="shared" ref="AO10:AO25" si="4">N10-AL10</f>
        <v>0</v>
      </c>
      <c r="AT10" s="419">
        <f t="shared" si="1"/>
        <v>200</v>
      </c>
      <c r="AU10" s="419"/>
      <c r="AV10" s="359">
        <v>200</v>
      </c>
      <c r="AW10" s="359"/>
      <c r="AX10" s="359"/>
      <c r="AY10" s="359"/>
      <c r="AZ10" s="359"/>
      <c r="BA10" s="359"/>
      <c r="BB10" s="359"/>
      <c r="BC10" s="359">
        <f t="shared" si="2"/>
        <v>1570952</v>
      </c>
      <c r="BD10" s="513">
        <f>1%+0.18%+0.25%</f>
        <v>0.0143</v>
      </c>
      <c r="BE10" s="359"/>
      <c r="BF10" s="359"/>
      <c r="BG10" s="359"/>
      <c r="BH10" s="359"/>
      <c r="BI10" s="359"/>
      <c r="BJ10" s="359"/>
      <c r="BK10" s="359"/>
      <c r="BL10" s="359"/>
      <c r="BM10" s="359"/>
      <c r="BN10" s="359">
        <v>1570952</v>
      </c>
      <c r="BO10" s="359"/>
      <c r="BP10" s="359"/>
      <c r="BQ10" s="359"/>
      <c r="BR10" s="359"/>
      <c r="BS10" s="359"/>
      <c r="BT10" s="359"/>
      <c r="BU10" s="359"/>
      <c r="BV10" s="359"/>
      <c r="BW10" s="359"/>
      <c r="BX10" s="359"/>
      <c r="BY10" s="359"/>
      <c r="BZ10" s="359"/>
      <c r="CA10" s="359"/>
      <c r="CB10" s="359"/>
      <c r="CC10" s="359"/>
      <c r="CD10" s="359"/>
      <c r="CE10" s="359"/>
      <c r="CF10" s="359"/>
      <c r="CG10" s="359"/>
      <c r="CH10" s="359"/>
      <c r="CK10" s="134" t="s">
        <v>376</v>
      </c>
      <c r="CL10" s="134" t="s">
        <v>387</v>
      </c>
      <c r="CN10" s="134" t="s">
        <v>377</v>
      </c>
    </row>
    <row r="11" s="134" customFormat="1" ht="60" customHeight="1" spans="1:94">
      <c r="A11" s="134">
        <v>8</v>
      </c>
      <c r="C11" s="443">
        <v>45236</v>
      </c>
      <c r="D11" s="134">
        <v>20230009415</v>
      </c>
      <c r="E11" s="1006" t="s">
        <v>432</v>
      </c>
      <c r="F11" s="429" t="s">
        <v>433</v>
      </c>
      <c r="G11" s="143" t="s">
        <v>434</v>
      </c>
      <c r="I11" s="429" t="s">
        <v>370</v>
      </c>
      <c r="J11" s="429" t="s">
        <v>435</v>
      </c>
      <c r="K11" s="134">
        <v>68.42</v>
      </c>
      <c r="L11" s="134">
        <v>68.42</v>
      </c>
      <c r="M11" s="134">
        <v>23165.74</v>
      </c>
      <c r="N11" s="441">
        <v>1585000</v>
      </c>
      <c r="O11" s="359">
        <v>22953.6</v>
      </c>
      <c r="Q11" s="145">
        <v>1454128.44</v>
      </c>
      <c r="R11" s="1006" t="s">
        <v>436</v>
      </c>
      <c r="S11" s="443">
        <v>45716</v>
      </c>
      <c r="T11" s="359"/>
      <c r="U11" s="143"/>
      <c r="V11" s="143"/>
      <c r="W11" s="143" t="s">
        <v>437</v>
      </c>
      <c r="X11" s="359">
        <v>40000</v>
      </c>
      <c r="Y11" s="143" t="s">
        <v>438</v>
      </c>
      <c r="Z11" s="359">
        <v>765000</v>
      </c>
      <c r="AA11" s="143" t="s">
        <v>439</v>
      </c>
      <c r="AB11" s="134">
        <v>780000</v>
      </c>
      <c r="AC11" s="134" t="s">
        <v>440</v>
      </c>
      <c r="AL11" s="359">
        <f t="shared" si="3"/>
        <v>1585000</v>
      </c>
      <c r="AO11" s="418">
        <f t="shared" si="4"/>
        <v>0</v>
      </c>
      <c r="AP11" s="134">
        <v>15001560586</v>
      </c>
      <c r="AT11" s="419">
        <f t="shared" si="1"/>
        <v>700</v>
      </c>
      <c r="AU11" s="419"/>
      <c r="AV11" s="359">
        <f>200+200</f>
        <v>400</v>
      </c>
      <c r="AW11" s="359"/>
      <c r="AX11" s="359"/>
      <c r="AY11" s="359"/>
      <c r="AZ11" s="359"/>
      <c r="BA11" s="359">
        <v>300</v>
      </c>
      <c r="BB11" s="359"/>
      <c r="BC11" s="359">
        <f t="shared" si="2"/>
        <v>1585000</v>
      </c>
      <c r="BD11" s="513">
        <f>1%+0.2%</f>
        <v>0.012</v>
      </c>
      <c r="BE11" s="359"/>
      <c r="BF11" s="359"/>
      <c r="BG11" s="359"/>
      <c r="BH11" s="359"/>
      <c r="BI11" s="359">
        <v>805000</v>
      </c>
      <c r="BJ11" s="359"/>
      <c r="BK11" s="359"/>
      <c r="BL11" s="359"/>
      <c r="BM11" s="359">
        <v>780000</v>
      </c>
      <c r="BN11" s="359"/>
      <c r="BO11" s="359"/>
      <c r="BP11" s="359"/>
      <c r="BQ11" s="359"/>
      <c r="BR11" s="359"/>
      <c r="BS11" s="359"/>
      <c r="BT11" s="359"/>
      <c r="BU11" s="359"/>
      <c r="BV11" s="359"/>
      <c r="BW11" s="359"/>
      <c r="BX11" s="359"/>
      <c r="BY11" s="359"/>
      <c r="BZ11" s="359"/>
      <c r="CA11" s="359"/>
      <c r="CB11" s="359"/>
      <c r="CC11" s="359"/>
      <c r="CD11" s="359"/>
      <c r="CE11" s="359"/>
      <c r="CF11" s="359"/>
      <c r="CG11" s="359"/>
      <c r="CH11" s="359"/>
      <c r="CI11" s="134"/>
      <c r="CK11" s="134" t="s">
        <v>376</v>
      </c>
      <c r="CL11" s="134" t="s">
        <v>387</v>
      </c>
      <c r="CN11" s="134" t="s">
        <v>377</v>
      </c>
    </row>
    <row r="12" s="134" customFormat="1" ht="35" customHeight="1" spans="1:94">
      <c r="A12" s="134">
        <v>9</v>
      </c>
      <c r="C12" s="443">
        <v>45280</v>
      </c>
      <c r="D12" s="134">
        <v>20230010496</v>
      </c>
      <c r="E12" s="1006" t="s">
        <v>441</v>
      </c>
      <c r="F12" s="429" t="s">
        <v>442</v>
      </c>
      <c r="G12" s="143" t="s">
        <v>443</v>
      </c>
      <c r="I12" s="429" t="s">
        <v>370</v>
      </c>
      <c r="J12" s="420">
        <v>9</v>
      </c>
      <c r="K12" s="134">
        <v>68.42</v>
      </c>
      <c r="L12" s="134">
        <v>68.42</v>
      </c>
      <c r="M12" s="134">
        <v>23346.77</v>
      </c>
      <c r="N12" s="441">
        <v>1597386</v>
      </c>
      <c r="O12" s="359">
        <v>23146.77</v>
      </c>
      <c r="Q12" s="145">
        <v>1465491.74</v>
      </c>
      <c r="R12" s="1006" t="s">
        <v>444</v>
      </c>
      <c r="S12" s="443">
        <v>45716</v>
      </c>
      <c r="T12" s="359"/>
      <c r="V12" s="143" t="s">
        <v>445</v>
      </c>
      <c r="W12" s="143" t="s">
        <v>446</v>
      </c>
      <c r="X12" s="359">
        <v>20000</v>
      </c>
      <c r="Y12" s="143" t="s">
        <v>447</v>
      </c>
      <c r="Z12" s="359">
        <v>80000</v>
      </c>
      <c r="AA12" s="417" t="s">
        <v>448</v>
      </c>
      <c r="AB12" s="359">
        <f>1386+976000</f>
        <v>977386</v>
      </c>
      <c r="AC12" s="134" t="s">
        <v>449</v>
      </c>
      <c r="AD12" s="359">
        <v>520000</v>
      </c>
      <c r="AE12" s="134" t="s">
        <v>450</v>
      </c>
      <c r="AL12" s="359">
        <f t="shared" si="3"/>
        <v>1597386</v>
      </c>
      <c r="AO12" s="418">
        <f t="shared" si="4"/>
        <v>0</v>
      </c>
      <c r="AP12" s="134">
        <v>15276275398</v>
      </c>
      <c r="AT12" s="419">
        <f t="shared" si="1"/>
        <v>700</v>
      </c>
      <c r="AU12" s="419"/>
      <c r="AV12" s="359">
        <f>200+200</f>
        <v>400</v>
      </c>
      <c r="AW12" s="359"/>
      <c r="AX12" s="359"/>
      <c r="AY12" s="359"/>
      <c r="AZ12" s="359"/>
      <c r="BA12" s="359"/>
      <c r="BB12" s="359">
        <v>300</v>
      </c>
      <c r="BC12" s="359">
        <f t="shared" si="2"/>
        <v>1597386</v>
      </c>
      <c r="BD12" s="513">
        <f t="shared" ref="BD12:BD17" si="5">1%+0.18%+0.25%</f>
        <v>0.0143</v>
      </c>
      <c r="BE12" s="359"/>
      <c r="BF12" s="359"/>
      <c r="BG12" s="359"/>
      <c r="BH12" s="359"/>
      <c r="BI12" s="359"/>
      <c r="BJ12" s="359"/>
      <c r="BK12" s="359">
        <v>1597386</v>
      </c>
      <c r="BL12" s="359"/>
      <c r="BM12" s="359"/>
      <c r="BN12" s="359"/>
      <c r="BO12" s="359"/>
      <c r="BP12" s="359"/>
      <c r="BQ12" s="359"/>
      <c r="BR12" s="359"/>
      <c r="BS12" s="359"/>
      <c r="BT12" s="359"/>
      <c r="BU12" s="359"/>
      <c r="BV12" s="359"/>
      <c r="BW12" s="359"/>
      <c r="BX12" s="359"/>
      <c r="BY12" s="359"/>
      <c r="BZ12" s="359"/>
      <c r="CA12" s="359"/>
      <c r="CB12" s="359"/>
      <c r="CC12" s="359"/>
      <c r="CD12" s="359"/>
      <c r="CE12" s="359"/>
      <c r="CF12" s="359"/>
      <c r="CG12" s="359"/>
      <c r="CH12" s="359"/>
      <c r="CI12" s="134"/>
      <c r="CK12" s="134" t="s">
        <v>376</v>
      </c>
      <c r="CL12" s="134" t="s">
        <v>387</v>
      </c>
      <c r="CN12" s="134" t="s">
        <v>377</v>
      </c>
    </row>
    <row r="13" s="134" customFormat="1" customHeight="1" spans="1:94">
      <c r="A13" s="134">
        <v>10</v>
      </c>
      <c r="C13" s="443">
        <v>45201</v>
      </c>
      <c r="D13" s="134">
        <v>20230008488</v>
      </c>
      <c r="E13" s="1006" t="s">
        <v>451</v>
      </c>
      <c r="F13" s="429" t="s">
        <v>452</v>
      </c>
      <c r="G13" s="143" t="s">
        <v>453</v>
      </c>
      <c r="I13" s="429" t="s">
        <v>370</v>
      </c>
      <c r="J13" s="429">
        <v>10</v>
      </c>
      <c r="K13" s="134">
        <v>68.42</v>
      </c>
      <c r="L13" s="134">
        <v>68.42</v>
      </c>
      <c r="M13" s="134">
        <v>23830.765</v>
      </c>
      <c r="N13" s="441">
        <v>1630501</v>
      </c>
      <c r="O13" s="359">
        <v>23533.12</v>
      </c>
      <c r="Q13" s="145">
        <v>1495872.48</v>
      </c>
      <c r="R13" s="1006" t="s">
        <v>454</v>
      </c>
      <c r="S13" s="443">
        <v>45716</v>
      </c>
      <c r="T13" s="359"/>
      <c r="U13" s="138"/>
      <c r="V13" s="134" t="s">
        <v>455</v>
      </c>
      <c r="W13" s="134" t="s">
        <v>456</v>
      </c>
      <c r="X13" s="359">
        <v>10000</v>
      </c>
      <c r="Y13" s="138" t="s">
        <v>457</v>
      </c>
      <c r="Z13" s="359">
        <v>90000</v>
      </c>
      <c r="AA13" s="417" t="s">
        <v>458</v>
      </c>
      <c r="AB13" s="359">
        <v>930501</v>
      </c>
      <c r="AC13" s="138" t="s">
        <v>430</v>
      </c>
      <c r="AD13" s="359">
        <v>600000</v>
      </c>
      <c r="AE13" s="138" t="s">
        <v>459</v>
      </c>
      <c r="AL13" s="359">
        <f t="shared" si="3"/>
        <v>1630501</v>
      </c>
      <c r="AO13" s="418">
        <f t="shared" si="4"/>
        <v>0</v>
      </c>
      <c r="AP13" s="134">
        <v>18299772946</v>
      </c>
      <c r="AT13" s="419">
        <f t="shared" si="1"/>
        <v>500</v>
      </c>
      <c r="AU13" s="419"/>
      <c r="AV13" s="359"/>
      <c r="AW13" s="359"/>
      <c r="AX13" s="359"/>
      <c r="AY13" s="359"/>
      <c r="AZ13" s="359">
        <v>200</v>
      </c>
      <c r="BA13" s="359"/>
      <c r="BB13" s="359">
        <v>300</v>
      </c>
      <c r="BC13" s="359">
        <f t="shared" si="2"/>
        <v>1630501</v>
      </c>
      <c r="BD13" s="140">
        <f t="shared" ref="BD13:BD15" si="6">1%+0.18%+0.25%</f>
        <v>0.0143</v>
      </c>
      <c r="BE13" s="359"/>
      <c r="BF13" s="359"/>
      <c r="BG13" s="359"/>
      <c r="BH13" s="359">
        <v>1030501</v>
      </c>
      <c r="BI13" s="359"/>
      <c r="BJ13" s="359">
        <v>600000</v>
      </c>
      <c r="BK13" s="359"/>
      <c r="BL13" s="359"/>
      <c r="BM13" s="359"/>
      <c r="BN13" s="359"/>
      <c r="BO13" s="359"/>
      <c r="BP13" s="359"/>
      <c r="BQ13" s="359"/>
      <c r="BR13" s="359"/>
      <c r="BS13" s="359"/>
      <c r="BT13" s="359"/>
      <c r="BU13" s="359"/>
      <c r="BV13" s="359"/>
      <c r="BW13" s="359"/>
      <c r="BX13" s="359"/>
      <c r="BY13" s="359"/>
      <c r="BZ13" s="359"/>
      <c r="CA13" s="359"/>
      <c r="CB13" s="359"/>
      <c r="CC13" s="359"/>
      <c r="CD13" s="359"/>
      <c r="CE13" s="359"/>
      <c r="CF13" s="359"/>
      <c r="CG13" s="359"/>
      <c r="CH13" s="359"/>
      <c r="CI13" s="134"/>
      <c r="CK13" s="134" t="s">
        <v>376</v>
      </c>
      <c r="CL13" s="134" t="s">
        <v>387</v>
      </c>
      <c r="CN13" s="134" t="s">
        <v>377</v>
      </c>
    </row>
    <row r="14" s="134" customFormat="1" customHeight="1" spans="1:94">
      <c r="A14" s="134">
        <v>11</v>
      </c>
      <c r="C14" s="443">
        <v>45201</v>
      </c>
      <c r="D14" s="134">
        <v>20230008484</v>
      </c>
      <c r="E14" s="1006" t="s">
        <v>460</v>
      </c>
      <c r="F14" s="474" t="s">
        <v>461</v>
      </c>
      <c r="G14" s="143" t="s">
        <v>462</v>
      </c>
      <c r="I14" s="429" t="s">
        <v>370</v>
      </c>
      <c r="J14" s="429">
        <v>11</v>
      </c>
      <c r="K14" s="134">
        <v>98.74</v>
      </c>
      <c r="L14" s="134">
        <v>98.74</v>
      </c>
      <c r="M14" s="134">
        <v>23801.69</v>
      </c>
      <c r="N14" s="441">
        <v>2350179</v>
      </c>
      <c r="O14" s="359">
        <v>23500</v>
      </c>
      <c r="Q14" s="145">
        <v>2156127.52</v>
      </c>
      <c r="R14" s="1006" t="s">
        <v>463</v>
      </c>
      <c r="S14" s="443">
        <v>45716</v>
      </c>
      <c r="T14" s="359"/>
      <c r="U14" s="138"/>
      <c r="V14" s="413" t="s">
        <v>464</v>
      </c>
      <c r="W14" s="413" t="s">
        <v>465</v>
      </c>
      <c r="X14" s="359">
        <f>10000</f>
        <v>10000</v>
      </c>
      <c r="Y14" s="413" t="s">
        <v>457</v>
      </c>
      <c r="Z14" s="359">
        <v>90000</v>
      </c>
      <c r="AA14" s="417" t="s">
        <v>458</v>
      </c>
      <c r="AB14" s="359">
        <v>1100179</v>
      </c>
      <c r="AC14" s="138" t="s">
        <v>430</v>
      </c>
      <c r="AD14" s="359">
        <v>1150000</v>
      </c>
      <c r="AE14" s="138" t="s">
        <v>459</v>
      </c>
      <c r="AL14" s="359">
        <f t="shared" si="3"/>
        <v>2350179</v>
      </c>
      <c r="AO14" s="418">
        <f t="shared" si="4"/>
        <v>0</v>
      </c>
      <c r="AP14" s="134">
        <v>15235158196</v>
      </c>
      <c r="AT14" s="419">
        <f t="shared" si="1"/>
        <v>1000</v>
      </c>
      <c r="AU14" s="419">
        <v>200</v>
      </c>
      <c r="AV14" s="359"/>
      <c r="AW14" s="359"/>
      <c r="AX14" s="359"/>
      <c r="AY14" s="359"/>
      <c r="AZ14" s="359">
        <v>200</v>
      </c>
      <c r="BA14" s="359">
        <v>300</v>
      </c>
      <c r="BB14" s="359">
        <v>300</v>
      </c>
      <c r="BC14" s="359">
        <f t="shared" si="2"/>
        <v>2350179</v>
      </c>
      <c r="BD14" s="140">
        <f t="shared" si="6"/>
        <v>0.0143</v>
      </c>
      <c r="BE14" s="359"/>
      <c r="BF14" s="359"/>
      <c r="BG14" s="359"/>
      <c r="BH14" s="359">
        <v>1200179</v>
      </c>
      <c r="BI14" s="359"/>
      <c r="BJ14" s="359">
        <v>1150000</v>
      </c>
      <c r="BK14" s="359"/>
      <c r="BL14" s="359"/>
      <c r="BM14" s="359"/>
      <c r="BN14" s="359"/>
      <c r="BO14" s="359"/>
      <c r="BP14" s="359"/>
      <c r="BQ14" s="359"/>
      <c r="BR14" s="359"/>
      <c r="BS14" s="359"/>
      <c r="BT14" s="359"/>
      <c r="BU14" s="359"/>
      <c r="BV14" s="359"/>
      <c r="BW14" s="359"/>
      <c r="BX14" s="359"/>
      <c r="BY14" s="359"/>
      <c r="BZ14" s="359"/>
      <c r="CA14" s="359"/>
      <c r="CB14" s="359"/>
      <c r="CC14" s="359"/>
      <c r="CD14" s="359"/>
      <c r="CE14" s="359"/>
      <c r="CF14" s="359"/>
      <c r="CG14" s="359"/>
      <c r="CH14" s="359"/>
      <c r="CI14" s="134"/>
      <c r="CK14" s="134" t="s">
        <v>376</v>
      </c>
      <c r="CL14" s="134" t="s">
        <v>387</v>
      </c>
      <c r="CN14" s="134" t="s">
        <v>377</v>
      </c>
    </row>
    <row r="15" s="134" customFormat="1" ht="40" customHeight="1" spans="1:94">
      <c r="A15" s="134">
        <v>12</v>
      </c>
      <c r="C15" s="443">
        <v>45201</v>
      </c>
      <c r="D15" s="134">
        <v>20230008510</v>
      </c>
      <c r="F15" s="429" t="s">
        <v>466</v>
      </c>
      <c r="G15" s="143" t="s">
        <v>467</v>
      </c>
      <c r="I15" s="429" t="s">
        <v>370</v>
      </c>
      <c r="J15" s="429">
        <v>12</v>
      </c>
      <c r="K15" s="134">
        <v>146.3</v>
      </c>
      <c r="L15" s="134">
        <v>146.3</v>
      </c>
      <c r="M15" s="134">
        <v>26000</v>
      </c>
      <c r="N15" s="441">
        <v>3803800</v>
      </c>
      <c r="O15" s="359">
        <v>25800</v>
      </c>
      <c r="Q15" s="145">
        <v>3489724.77</v>
      </c>
      <c r="R15" s="1006" t="s">
        <v>468</v>
      </c>
      <c r="S15" s="443">
        <v>45674</v>
      </c>
      <c r="T15" s="359"/>
      <c r="U15" s="413"/>
      <c r="V15" s="413" t="s">
        <v>469</v>
      </c>
      <c r="W15" s="413" t="s">
        <v>470</v>
      </c>
      <c r="X15" s="359">
        <v>100000</v>
      </c>
      <c r="Y15" s="417" t="s">
        <v>458</v>
      </c>
      <c r="Z15" s="359">
        <f>5000+5000+5000+5000</f>
        <v>20000</v>
      </c>
      <c r="AA15" s="413">
        <v>44751</v>
      </c>
      <c r="AB15" s="359">
        <v>633800</v>
      </c>
      <c r="AC15" s="413" t="s">
        <v>430</v>
      </c>
      <c r="AD15" s="359">
        <v>1150000</v>
      </c>
      <c r="AE15" s="413" t="s">
        <v>471</v>
      </c>
      <c r="AF15" s="359">
        <v>500000</v>
      </c>
      <c r="AG15" s="413" t="s">
        <v>472</v>
      </c>
      <c r="AH15" s="359">
        <v>200000</v>
      </c>
      <c r="AI15" s="413" t="s">
        <v>473</v>
      </c>
      <c r="AJ15" s="359">
        <v>1200000</v>
      </c>
      <c r="AK15" s="413" t="s">
        <v>474</v>
      </c>
      <c r="AL15" s="359">
        <f t="shared" si="3"/>
        <v>3803800</v>
      </c>
      <c r="AO15" s="418">
        <f t="shared" si="4"/>
        <v>0</v>
      </c>
      <c r="AP15" s="134">
        <v>17609961888</v>
      </c>
      <c r="AT15" s="419">
        <f t="shared" si="1"/>
        <v>1100</v>
      </c>
      <c r="AU15" s="419">
        <f>200</f>
        <v>200</v>
      </c>
      <c r="AV15" s="359">
        <f>200+200</f>
        <v>400</v>
      </c>
      <c r="AW15" s="359">
        <v>200</v>
      </c>
      <c r="AX15" s="359"/>
      <c r="AY15" s="359"/>
      <c r="AZ15" s="359"/>
      <c r="BA15" s="359"/>
      <c r="BB15" s="359">
        <v>300</v>
      </c>
      <c r="BC15" s="359">
        <f t="shared" si="2"/>
        <v>3803800</v>
      </c>
      <c r="BD15" s="140">
        <f t="shared" si="6"/>
        <v>0.0143</v>
      </c>
      <c r="BE15" s="359"/>
      <c r="BF15" s="359"/>
      <c r="BG15" s="359"/>
      <c r="BH15" s="359"/>
      <c r="BI15" s="359"/>
      <c r="BJ15" s="359"/>
      <c r="BK15" s="359"/>
      <c r="BL15" s="359"/>
      <c r="BM15" s="359"/>
      <c r="BN15" s="359"/>
      <c r="BO15" s="359"/>
      <c r="BP15" s="359"/>
      <c r="BQ15" s="359"/>
      <c r="BR15" s="359"/>
      <c r="BS15" s="359"/>
      <c r="BT15" s="359"/>
      <c r="BU15" s="359">
        <v>3803800</v>
      </c>
      <c r="BV15" s="359"/>
      <c r="BW15" s="359"/>
      <c r="BX15" s="359"/>
      <c r="BY15" s="359"/>
      <c r="BZ15" s="359"/>
      <c r="CA15" s="359"/>
      <c r="CB15" s="359"/>
      <c r="CC15" s="359"/>
      <c r="CD15" s="359"/>
      <c r="CE15" s="359"/>
      <c r="CF15" s="359"/>
      <c r="CG15" s="359"/>
      <c r="CH15" s="359"/>
      <c r="CI15" s="134"/>
      <c r="CK15" s="134" t="s">
        <v>376</v>
      </c>
      <c r="CL15" s="134" t="s">
        <v>387</v>
      </c>
      <c r="CN15" s="134" t="s">
        <v>377</v>
      </c>
    </row>
    <row r="16" s="134" customFormat="1" customHeight="1" spans="1:94">
      <c r="A16" s="134">
        <v>13</v>
      </c>
      <c r="C16" s="443">
        <v>45354</v>
      </c>
      <c r="D16" s="134">
        <v>2024000115</v>
      </c>
      <c r="F16" s="429" t="s">
        <v>475</v>
      </c>
      <c r="G16" s="143" t="s">
        <v>476</v>
      </c>
      <c r="I16" s="429" t="s">
        <v>477</v>
      </c>
      <c r="J16" s="429" t="s">
        <v>371</v>
      </c>
      <c r="K16" s="134">
        <v>85.66</v>
      </c>
      <c r="L16" s="134">
        <v>85.66</v>
      </c>
      <c r="M16" s="134">
        <v>9777</v>
      </c>
      <c r="N16" s="441">
        <v>837500</v>
      </c>
      <c r="O16" s="359">
        <v>9538.71</v>
      </c>
      <c r="Q16" s="145">
        <v>768348.62</v>
      </c>
      <c r="R16" s="1006" t="s">
        <v>478</v>
      </c>
      <c r="S16" s="443">
        <v>45716</v>
      </c>
      <c r="T16" s="359"/>
      <c r="V16" s="143"/>
      <c r="W16" s="143" t="s">
        <v>400</v>
      </c>
      <c r="X16" s="359">
        <v>35000</v>
      </c>
      <c r="Y16" s="134" t="s">
        <v>479</v>
      </c>
      <c r="Z16" s="134">
        <v>802500</v>
      </c>
      <c r="AA16" s="417" t="s">
        <v>479</v>
      </c>
      <c r="AC16" s="417"/>
      <c r="AL16" s="359">
        <f t="shared" si="3"/>
        <v>837500</v>
      </c>
      <c r="AO16" s="418">
        <f t="shared" si="4"/>
        <v>0</v>
      </c>
      <c r="AP16" s="134">
        <v>13031235925</v>
      </c>
      <c r="AT16" s="419">
        <f t="shared" si="1"/>
        <v>200</v>
      </c>
      <c r="AU16" s="419"/>
      <c r="AV16" s="359"/>
      <c r="AW16" s="359"/>
      <c r="AX16" s="359"/>
      <c r="AY16" s="359">
        <v>200</v>
      </c>
      <c r="AZ16" s="359"/>
      <c r="BA16" s="359"/>
      <c r="BB16" s="359"/>
      <c r="BC16" s="359">
        <f t="shared" si="2"/>
        <v>837500</v>
      </c>
      <c r="BD16" s="513">
        <f t="shared" si="5"/>
        <v>0.0143</v>
      </c>
      <c r="BE16" s="359"/>
      <c r="BF16" s="359"/>
      <c r="BG16" s="359"/>
      <c r="BH16" s="359"/>
      <c r="BI16" s="359"/>
      <c r="BJ16" s="359"/>
      <c r="BK16" s="359"/>
      <c r="BL16" s="359"/>
      <c r="BM16" s="359">
        <v>837500</v>
      </c>
      <c r="BN16" s="359"/>
      <c r="BO16" s="359"/>
      <c r="BP16" s="359"/>
      <c r="BQ16" s="359"/>
      <c r="BR16" s="359"/>
      <c r="BS16" s="359"/>
      <c r="BT16" s="359"/>
      <c r="BU16" s="359"/>
      <c r="BV16" s="359"/>
      <c r="BW16" s="359"/>
      <c r="BX16" s="359"/>
      <c r="BY16" s="359"/>
      <c r="BZ16" s="359"/>
      <c r="CA16" s="359"/>
      <c r="CB16" s="359"/>
      <c r="CC16" s="359"/>
      <c r="CD16" s="359"/>
      <c r="CE16" s="359"/>
      <c r="CF16" s="359"/>
      <c r="CG16" s="359"/>
      <c r="CH16" s="359"/>
      <c r="CI16" s="134"/>
      <c r="CK16" s="134" t="s">
        <v>376</v>
      </c>
      <c r="CL16" s="134" t="s">
        <v>387</v>
      </c>
      <c r="CN16" s="134" t="s">
        <v>377</v>
      </c>
    </row>
    <row r="17" s="134" customFormat="1" customHeight="1" spans="1:100">
      <c r="A17" s="134">
        <v>14</v>
      </c>
      <c r="C17" s="443">
        <v>45354</v>
      </c>
      <c r="D17" s="134">
        <v>2024000116</v>
      </c>
      <c r="F17" s="429" t="s">
        <v>475</v>
      </c>
      <c r="G17" s="143" t="s">
        <v>476</v>
      </c>
      <c r="I17" s="429" t="s">
        <v>477</v>
      </c>
      <c r="J17" s="429" t="s">
        <v>381</v>
      </c>
      <c r="K17" s="134">
        <v>85.66</v>
      </c>
      <c r="L17" s="134">
        <v>85.66</v>
      </c>
      <c r="M17" s="134">
        <v>9777</v>
      </c>
      <c r="N17" s="441">
        <v>837500</v>
      </c>
      <c r="O17" s="359">
        <v>9612.99</v>
      </c>
      <c r="Q17" s="145">
        <v>768348.62</v>
      </c>
      <c r="R17" s="1006" t="s">
        <v>480</v>
      </c>
      <c r="S17" s="443">
        <v>45716</v>
      </c>
      <c r="T17" s="359"/>
      <c r="V17" s="143"/>
      <c r="W17" s="143" t="s">
        <v>400</v>
      </c>
      <c r="X17" s="359">
        <v>40000</v>
      </c>
      <c r="Y17" s="134" t="s">
        <v>479</v>
      </c>
      <c r="Z17" s="134">
        <v>797500</v>
      </c>
      <c r="AA17" s="417" t="s">
        <v>481</v>
      </c>
      <c r="AC17" s="417"/>
      <c r="AL17" s="359">
        <f t="shared" si="3"/>
        <v>837500</v>
      </c>
      <c r="AO17" s="418">
        <f t="shared" si="4"/>
        <v>0</v>
      </c>
      <c r="AP17" s="134">
        <v>13031235925</v>
      </c>
      <c r="AT17" s="419">
        <f t="shared" si="1"/>
        <v>200</v>
      </c>
      <c r="AU17" s="419"/>
      <c r="AV17" s="359"/>
      <c r="AW17" s="359"/>
      <c r="AX17" s="359"/>
      <c r="AY17" s="359">
        <v>200</v>
      </c>
      <c r="AZ17" s="359"/>
      <c r="BA17" s="359"/>
      <c r="BB17" s="359"/>
      <c r="BC17" s="359">
        <f t="shared" si="2"/>
        <v>837500</v>
      </c>
      <c r="BD17" s="513">
        <f t="shared" si="5"/>
        <v>0.0143</v>
      </c>
      <c r="BE17" s="359"/>
      <c r="BF17" s="359"/>
      <c r="BG17" s="359"/>
      <c r="BH17" s="359"/>
      <c r="BI17" s="359"/>
      <c r="BJ17" s="359"/>
      <c r="BK17" s="359"/>
      <c r="BL17" s="359"/>
      <c r="BM17" s="359">
        <v>837500</v>
      </c>
      <c r="BN17" s="359"/>
      <c r="BO17" s="359"/>
      <c r="BP17" s="359"/>
      <c r="BQ17" s="359"/>
      <c r="BR17" s="359"/>
      <c r="BS17" s="359"/>
      <c r="BT17" s="359"/>
      <c r="BU17" s="359"/>
      <c r="BV17" s="359"/>
      <c r="BW17" s="359"/>
      <c r="BX17" s="359"/>
      <c r="BY17" s="359"/>
      <c r="BZ17" s="359"/>
      <c r="CA17" s="359"/>
      <c r="CB17" s="359"/>
      <c r="CC17" s="359"/>
      <c r="CD17" s="359"/>
      <c r="CE17" s="359"/>
      <c r="CF17" s="359"/>
      <c r="CG17" s="359"/>
      <c r="CH17" s="359"/>
      <c r="CI17" s="134"/>
      <c r="CK17" s="134" t="s">
        <v>376</v>
      </c>
      <c r="CL17" s="134" t="s">
        <v>387</v>
      </c>
      <c r="CN17" s="134" t="s">
        <v>377</v>
      </c>
    </row>
    <row r="18" s="134" customFormat="1" customHeight="1" spans="1:100">
      <c r="A18" s="134">
        <v>15</v>
      </c>
      <c r="B18" s="134"/>
      <c r="C18" s="443">
        <v>45670</v>
      </c>
      <c r="D18" s="134">
        <v>20250000214</v>
      </c>
      <c r="E18" s="1006" t="s">
        <v>482</v>
      </c>
      <c r="F18" s="429" t="s">
        <v>483</v>
      </c>
      <c r="G18" s="134" t="s">
        <v>484</v>
      </c>
      <c r="I18" s="429" t="s">
        <v>477</v>
      </c>
      <c r="J18" s="429" t="s">
        <v>391</v>
      </c>
      <c r="K18" s="134">
        <v>140.95</v>
      </c>
      <c r="L18" s="134">
        <v>140.95</v>
      </c>
      <c r="M18" s="134">
        <v>9252.7</v>
      </c>
      <c r="N18" s="441">
        <v>1260000</v>
      </c>
      <c r="O18" s="359">
        <v>8790.78</v>
      </c>
      <c r="Q18" s="145">
        <v>1155963.3</v>
      </c>
      <c r="R18" s="1006" t="s">
        <v>485</v>
      </c>
      <c r="S18" s="443">
        <v>45671</v>
      </c>
      <c r="T18" s="359"/>
      <c r="U18" s="134"/>
      <c r="W18" s="134" t="s">
        <v>486</v>
      </c>
      <c r="X18" s="359">
        <v>50000</v>
      </c>
      <c r="Y18" s="134" t="s">
        <v>487</v>
      </c>
      <c r="Z18" s="359">
        <v>610000</v>
      </c>
      <c r="AA18" s="134" t="s">
        <v>488</v>
      </c>
      <c r="AB18" s="359">
        <v>600000</v>
      </c>
      <c r="AC18" s="134" t="s">
        <v>489</v>
      </c>
      <c r="AL18" s="359">
        <f t="shared" si="3"/>
        <v>1260000</v>
      </c>
      <c r="AO18" s="418">
        <f t="shared" si="4"/>
        <v>0</v>
      </c>
      <c r="AP18" s="134">
        <v>18083992128</v>
      </c>
      <c r="AT18" s="419">
        <f t="shared" si="1"/>
        <v>0</v>
      </c>
      <c r="AU18" s="143"/>
      <c r="BC18" s="359">
        <f t="shared" si="2"/>
        <v>1260000</v>
      </c>
      <c r="BD18" s="140">
        <f>1%+0.18%+0.2%+0.03%</f>
        <v>0.0141</v>
      </c>
      <c r="BW18" s="134">
        <v>660000</v>
      </c>
      <c r="BX18" s="134">
        <v>600000</v>
      </c>
      <c r="CK18" s="134" t="s">
        <v>376</v>
      </c>
      <c r="CN18" s="134" t="s">
        <v>377</v>
      </c>
    </row>
    <row r="19" s="134" customFormat="1" customHeight="1" spans="1:100">
      <c r="A19" s="134">
        <v>16</v>
      </c>
      <c r="B19" s="134"/>
      <c r="C19" s="443">
        <v>45670</v>
      </c>
      <c r="D19" s="134">
        <v>20250000211</v>
      </c>
      <c r="E19" s="1006" t="s">
        <v>490</v>
      </c>
      <c r="F19" s="429" t="s">
        <v>483</v>
      </c>
      <c r="G19" s="134" t="s">
        <v>484</v>
      </c>
      <c r="I19" s="429" t="s">
        <v>477</v>
      </c>
      <c r="J19" s="429" t="s">
        <v>398</v>
      </c>
      <c r="K19" s="134">
        <v>85.66</v>
      </c>
      <c r="L19" s="134">
        <v>85.66</v>
      </c>
      <c r="M19" s="134">
        <v>10224.52</v>
      </c>
      <c r="N19" s="441">
        <v>850000</v>
      </c>
      <c r="O19" s="359">
        <v>9762.52</v>
      </c>
      <c r="Q19" s="145">
        <v>779816.51</v>
      </c>
      <c r="R19" s="1006" t="s">
        <v>491</v>
      </c>
      <c r="S19" s="443">
        <v>45671</v>
      </c>
      <c r="T19" s="359"/>
      <c r="U19" s="134"/>
      <c r="W19" s="134" t="s">
        <v>486</v>
      </c>
      <c r="X19" s="359">
        <v>50000</v>
      </c>
      <c r="Y19" s="134" t="s">
        <v>487</v>
      </c>
      <c r="Z19" s="359">
        <v>410000</v>
      </c>
      <c r="AA19" s="134" t="s">
        <v>488</v>
      </c>
      <c r="AB19" s="359">
        <v>390000</v>
      </c>
      <c r="AC19" s="134" t="s">
        <v>489</v>
      </c>
      <c r="AL19" s="359">
        <f t="shared" si="3"/>
        <v>850000</v>
      </c>
      <c r="AO19" s="418">
        <f t="shared" si="4"/>
        <v>0</v>
      </c>
      <c r="AP19" s="134">
        <v>18083992128</v>
      </c>
      <c r="AT19" s="419">
        <f t="shared" si="1"/>
        <v>0</v>
      </c>
      <c r="AU19" s="143"/>
      <c r="BC19" s="359">
        <f t="shared" si="2"/>
        <v>850000</v>
      </c>
      <c r="BD19" s="140">
        <f>1%+0.18%+0.2%+0.03%</f>
        <v>0.0141</v>
      </c>
      <c r="BW19" s="134">
        <v>460000</v>
      </c>
      <c r="BX19" s="134">
        <v>390000</v>
      </c>
      <c r="CK19" s="134" t="s">
        <v>376</v>
      </c>
      <c r="CN19" s="134" t="s">
        <v>377</v>
      </c>
    </row>
    <row r="20" s="134" customFormat="1" customHeight="1" spans="1:100">
      <c r="A20" s="134">
        <v>17</v>
      </c>
      <c r="B20" s="134"/>
      <c r="C20" s="443">
        <v>45600</v>
      </c>
      <c r="D20" s="134">
        <v>20240006442</v>
      </c>
      <c r="E20" s="1006" t="s">
        <v>492</v>
      </c>
      <c r="F20" s="1006" t="s">
        <v>493</v>
      </c>
      <c r="G20" s="134" t="s">
        <v>494</v>
      </c>
      <c r="I20" s="429" t="s">
        <v>477</v>
      </c>
      <c r="J20" s="429" t="s">
        <v>408</v>
      </c>
      <c r="K20" s="134">
        <v>85.66</v>
      </c>
      <c r="L20" s="134">
        <v>85.66</v>
      </c>
      <c r="M20" s="134">
        <v>9600</v>
      </c>
      <c r="N20" s="441">
        <v>822336</v>
      </c>
      <c r="O20" s="359">
        <v>9600</v>
      </c>
      <c r="P20" s="134"/>
      <c r="Q20" s="145">
        <v>754436.7</v>
      </c>
      <c r="R20" s="1006" t="s">
        <v>495</v>
      </c>
      <c r="S20" s="443">
        <v>45716</v>
      </c>
      <c r="T20" s="359"/>
      <c r="U20" s="134"/>
      <c r="W20" s="134" t="s">
        <v>496</v>
      </c>
      <c r="X20" s="359">
        <v>10000</v>
      </c>
      <c r="Y20" s="134" t="s">
        <v>497</v>
      </c>
      <c r="Z20" s="359">
        <v>402336</v>
      </c>
      <c r="AA20" s="134" t="s">
        <v>375</v>
      </c>
      <c r="AB20" s="134">
        <v>410000</v>
      </c>
      <c r="AC20" s="417" t="s">
        <v>498</v>
      </c>
      <c r="AL20" s="359">
        <f t="shared" si="3"/>
        <v>822336</v>
      </c>
      <c r="AO20" s="418">
        <f t="shared" si="4"/>
        <v>0</v>
      </c>
      <c r="AP20" s="134">
        <v>18799857500</v>
      </c>
      <c r="AT20" s="419">
        <f t="shared" si="1"/>
        <v>0</v>
      </c>
      <c r="AU20" s="143"/>
      <c r="BC20" s="359">
        <f t="shared" si="2"/>
        <v>822336</v>
      </c>
      <c r="BD20" s="140">
        <f>1%+0.15%+0.2%+0.03%</f>
        <v>0.0138</v>
      </c>
      <c r="BU20" s="134">
        <v>822336</v>
      </c>
      <c r="CK20" s="134" t="s">
        <v>376</v>
      </c>
      <c r="CN20" s="134" t="s">
        <v>377</v>
      </c>
    </row>
    <row r="21" s="134" customFormat="1" customHeight="1" spans="1:100">
      <c r="A21" s="134">
        <v>18</v>
      </c>
      <c r="B21" s="134"/>
      <c r="C21" s="443">
        <v>45601</v>
      </c>
      <c r="D21" s="134">
        <v>20240006451</v>
      </c>
      <c r="E21" s="1006" t="s">
        <v>499</v>
      </c>
      <c r="F21" s="1006" t="s">
        <v>493</v>
      </c>
      <c r="G21" s="134" t="s">
        <v>494</v>
      </c>
      <c r="I21" s="429" t="s">
        <v>477</v>
      </c>
      <c r="J21" s="429" t="s">
        <v>417</v>
      </c>
      <c r="K21" s="134">
        <v>85.66</v>
      </c>
      <c r="L21" s="134">
        <v>85.66</v>
      </c>
      <c r="M21" s="134">
        <v>9600</v>
      </c>
      <c r="N21" s="441">
        <v>822336</v>
      </c>
      <c r="O21" s="359">
        <v>9600</v>
      </c>
      <c r="P21" s="134"/>
      <c r="Q21" s="145">
        <v>754436.7</v>
      </c>
      <c r="R21" s="1006" t="s">
        <v>500</v>
      </c>
      <c r="S21" s="443">
        <v>45716</v>
      </c>
      <c r="T21" s="359"/>
      <c r="U21" s="134"/>
      <c r="W21" s="134" t="s">
        <v>496</v>
      </c>
      <c r="X21" s="359">
        <v>10000</v>
      </c>
      <c r="Y21" s="134" t="s">
        <v>497</v>
      </c>
      <c r="Z21" s="359">
        <v>402336</v>
      </c>
      <c r="AA21" s="134" t="s">
        <v>501</v>
      </c>
      <c r="AB21" s="134">
        <v>410000</v>
      </c>
      <c r="AC21" s="417" t="s">
        <v>498</v>
      </c>
      <c r="AL21" s="359">
        <f t="shared" si="3"/>
        <v>822336</v>
      </c>
      <c r="AO21" s="418">
        <f t="shared" si="4"/>
        <v>0</v>
      </c>
      <c r="AP21" s="134">
        <v>18799857500</v>
      </c>
      <c r="AQ21" s="134" t="s">
        <v>502</v>
      </c>
      <c r="AT21" s="419">
        <f t="shared" si="1"/>
        <v>0</v>
      </c>
      <c r="AU21" s="143"/>
      <c r="BC21" s="359">
        <f t="shared" si="2"/>
        <v>822336</v>
      </c>
      <c r="BD21" s="140">
        <f>1%+0.15%+0.2%+0.03%</f>
        <v>0.0138</v>
      </c>
      <c r="BU21" s="134">
        <v>822336</v>
      </c>
      <c r="CK21" s="134" t="s">
        <v>376</v>
      </c>
      <c r="CN21" s="134" t="s">
        <v>377</v>
      </c>
    </row>
    <row r="22" s="134" customFormat="1" customHeight="1" spans="1:100">
      <c r="A22" s="134">
        <v>19</v>
      </c>
      <c r="B22" s="134"/>
      <c r="C22" s="443">
        <v>45644</v>
      </c>
      <c r="D22" s="134">
        <v>20240007311</v>
      </c>
      <c r="E22" s="1006" t="s">
        <v>503</v>
      </c>
      <c r="F22" s="429" t="s">
        <v>504</v>
      </c>
      <c r="G22" s="134" t="s">
        <v>505</v>
      </c>
      <c r="I22" s="429" t="s">
        <v>477</v>
      </c>
      <c r="J22" s="429" t="s">
        <v>426</v>
      </c>
      <c r="K22" s="134">
        <v>85.66</v>
      </c>
      <c r="L22" s="134">
        <v>85.66</v>
      </c>
      <c r="M22" s="134">
        <v>10273.17</v>
      </c>
      <c r="N22" s="441">
        <v>880000</v>
      </c>
      <c r="O22" s="359">
        <v>9986.8</v>
      </c>
      <c r="Q22" s="145">
        <v>807339.45</v>
      </c>
      <c r="R22" s="1006" t="s">
        <v>506</v>
      </c>
      <c r="S22" s="443">
        <v>45726</v>
      </c>
      <c r="T22" s="359"/>
      <c r="U22" s="134"/>
      <c r="W22" s="134" t="s">
        <v>486</v>
      </c>
      <c r="X22" s="359">
        <v>50000</v>
      </c>
      <c r="Y22" s="134" t="s">
        <v>507</v>
      </c>
      <c r="Z22" s="134">
        <v>700000</v>
      </c>
      <c r="AA22" s="417" t="s">
        <v>508</v>
      </c>
      <c r="AB22" s="134">
        <v>70000</v>
      </c>
      <c r="AC22" s="417" t="s">
        <v>509</v>
      </c>
      <c r="AD22" s="134">
        <v>60000</v>
      </c>
      <c r="AE22" s="134" t="s">
        <v>510</v>
      </c>
      <c r="AL22" s="359">
        <f t="shared" si="3"/>
        <v>880000</v>
      </c>
      <c r="AO22" s="418">
        <f t="shared" si="4"/>
        <v>0</v>
      </c>
      <c r="AP22" s="134">
        <v>13699339119</v>
      </c>
      <c r="AQ22" s="134" t="s">
        <v>502</v>
      </c>
      <c r="AT22" s="419">
        <f t="shared" si="1"/>
        <v>0</v>
      </c>
      <c r="AU22" s="143"/>
      <c r="BC22" s="359">
        <f t="shared" si="2"/>
        <v>880000</v>
      </c>
      <c r="BD22" s="140">
        <f>1%+0.13%+0.25%+0.03%</f>
        <v>0.0141</v>
      </c>
      <c r="BW22" s="134">
        <v>880000</v>
      </c>
      <c r="CK22" s="134" t="s">
        <v>376</v>
      </c>
      <c r="CN22" s="134" t="s">
        <v>377</v>
      </c>
    </row>
    <row r="23" s="134" customFormat="1" customHeight="1" spans="1:100">
      <c r="A23" s="134">
        <v>20</v>
      </c>
      <c r="B23" s="134"/>
      <c r="C23" s="443">
        <v>45575</v>
      </c>
      <c r="D23" s="134">
        <v>20240006011</v>
      </c>
      <c r="E23" s="1006" t="s">
        <v>511</v>
      </c>
      <c r="F23" s="429" t="s">
        <v>512</v>
      </c>
      <c r="G23" s="134" t="s">
        <v>513</v>
      </c>
      <c r="I23" s="429" t="s">
        <v>477</v>
      </c>
      <c r="J23" s="429" t="s">
        <v>435</v>
      </c>
      <c r="K23" s="134">
        <v>85.66</v>
      </c>
      <c r="L23" s="134">
        <v>85.66</v>
      </c>
      <c r="M23" s="134">
        <v>9922.95</v>
      </c>
      <c r="N23" s="441">
        <v>850000</v>
      </c>
      <c r="O23" s="359">
        <v>10061.56</v>
      </c>
      <c r="P23" s="134"/>
      <c r="Q23" s="145">
        <v>779816.51</v>
      </c>
      <c r="R23" s="1006" t="s">
        <v>514</v>
      </c>
      <c r="S23" s="443">
        <v>45716</v>
      </c>
      <c r="T23" s="359"/>
      <c r="U23" s="134"/>
      <c r="W23" s="134" t="s">
        <v>410</v>
      </c>
      <c r="X23" s="359">
        <f>25000</f>
        <v>25000</v>
      </c>
      <c r="Y23" s="134" t="s">
        <v>515</v>
      </c>
      <c r="Z23" s="359">
        <v>45000</v>
      </c>
      <c r="AA23" s="134" t="s">
        <v>516</v>
      </c>
      <c r="AB23" s="134">
        <v>435000</v>
      </c>
      <c r="AC23" s="417" t="s">
        <v>487</v>
      </c>
      <c r="AD23" s="134">
        <v>345000</v>
      </c>
      <c r="AE23" s="134" t="s">
        <v>517</v>
      </c>
      <c r="AL23" s="359">
        <f t="shared" si="3"/>
        <v>850000</v>
      </c>
      <c r="AO23" s="418">
        <f t="shared" si="4"/>
        <v>0</v>
      </c>
      <c r="AP23" s="134">
        <v>18106415251</v>
      </c>
      <c r="AT23" s="419">
        <f t="shared" si="1"/>
        <v>0</v>
      </c>
      <c r="AU23" s="143"/>
      <c r="BC23" s="359">
        <f t="shared" si="2"/>
        <v>850000</v>
      </c>
      <c r="BD23" s="140">
        <f>1%+0.2%</f>
        <v>0.012</v>
      </c>
      <c r="BU23" s="134">
        <v>850000</v>
      </c>
      <c r="CK23" s="134" t="s">
        <v>376</v>
      </c>
      <c r="CN23" s="134" t="s">
        <v>377</v>
      </c>
    </row>
    <row r="24" s="134" customFormat="1" customHeight="1" spans="1:100">
      <c r="A24" s="134">
        <v>21</v>
      </c>
      <c r="B24" s="134"/>
      <c r="C24" s="443">
        <v>45570</v>
      </c>
      <c r="D24" s="134">
        <v>20240005853</v>
      </c>
      <c r="E24" s="1006" t="s">
        <v>518</v>
      </c>
      <c r="F24" s="429" t="s">
        <v>512</v>
      </c>
      <c r="G24" s="134" t="s">
        <v>513</v>
      </c>
      <c r="I24" s="429" t="s">
        <v>477</v>
      </c>
      <c r="J24" s="429" t="s">
        <v>519</v>
      </c>
      <c r="K24" s="134">
        <v>85.66</v>
      </c>
      <c r="L24" s="134">
        <v>85.66</v>
      </c>
      <c r="M24" s="134">
        <v>9922.95</v>
      </c>
      <c r="N24" s="441">
        <v>850000</v>
      </c>
      <c r="O24" s="359">
        <v>10086</v>
      </c>
      <c r="P24" s="134"/>
      <c r="Q24" s="145">
        <v>779816.51</v>
      </c>
      <c r="R24" s="1006" t="s">
        <v>520</v>
      </c>
      <c r="S24" s="443">
        <v>45582</v>
      </c>
      <c r="T24" s="359"/>
      <c r="U24" s="134"/>
      <c r="W24" s="134" t="s">
        <v>410</v>
      </c>
      <c r="X24" s="359">
        <f>25000+50000</f>
        <v>75000</v>
      </c>
      <c r="Y24" s="134" t="s">
        <v>515</v>
      </c>
      <c r="Z24" s="359">
        <v>225000</v>
      </c>
      <c r="AA24" s="134" t="s">
        <v>374</v>
      </c>
      <c r="AB24" s="134">
        <v>125000</v>
      </c>
      <c r="AC24" s="417" t="s">
        <v>516</v>
      </c>
      <c r="AD24" s="134">
        <v>425000</v>
      </c>
      <c r="AE24" s="134" t="s">
        <v>517</v>
      </c>
      <c r="AL24" s="359">
        <f t="shared" si="3"/>
        <v>850000</v>
      </c>
      <c r="AO24" s="418">
        <f t="shared" si="4"/>
        <v>0</v>
      </c>
      <c r="AP24" s="134">
        <v>18106415251</v>
      </c>
      <c r="AT24" s="419">
        <f t="shared" si="1"/>
        <v>0</v>
      </c>
      <c r="AU24" s="143"/>
      <c r="BC24" s="359">
        <f t="shared" si="2"/>
        <v>850000</v>
      </c>
      <c r="BD24" s="140">
        <f>1%+0.2%</f>
        <v>0.012</v>
      </c>
      <c r="BU24" s="134">
        <v>850000</v>
      </c>
      <c r="CK24" s="134" t="s">
        <v>376</v>
      </c>
      <c r="CN24" s="134" t="s">
        <v>377</v>
      </c>
    </row>
    <row r="25" s="134" customFormat="1" customHeight="1" spans="1:100">
      <c r="A25" s="134">
        <v>22</v>
      </c>
      <c r="B25" s="134"/>
      <c r="C25" s="443">
        <v>45710</v>
      </c>
      <c r="D25" s="134">
        <v>20250000784</v>
      </c>
      <c r="F25" s="429" t="s">
        <v>521</v>
      </c>
      <c r="G25" s="143" t="s">
        <v>522</v>
      </c>
      <c r="I25" s="429" t="s">
        <v>477</v>
      </c>
      <c r="J25" s="429">
        <v>10</v>
      </c>
      <c r="K25" s="134">
        <v>85.66</v>
      </c>
      <c r="L25" s="134">
        <v>85.66</v>
      </c>
      <c r="M25" s="134">
        <v>9800</v>
      </c>
      <c r="N25" s="441">
        <v>839468</v>
      </c>
      <c r="O25" s="359">
        <v>10116</v>
      </c>
      <c r="P25" s="134"/>
      <c r="Q25" s="145">
        <v>770154.13</v>
      </c>
      <c r="R25" s="1006" t="s">
        <v>523</v>
      </c>
      <c r="S25" s="443">
        <v>45726</v>
      </c>
      <c r="T25" s="359"/>
      <c r="U25" s="134"/>
      <c r="W25" s="143" t="s">
        <v>524</v>
      </c>
      <c r="X25" s="359"/>
      <c r="Y25" s="134"/>
      <c r="Z25" s="359">
        <v>10000</v>
      </c>
      <c r="AA25" s="417" t="s">
        <v>525</v>
      </c>
      <c r="AB25" s="359">
        <f>114468+715000</f>
        <v>829468</v>
      </c>
      <c r="AC25" s="134" t="s">
        <v>526</v>
      </c>
      <c r="AL25" s="359">
        <f t="shared" si="3"/>
        <v>839468</v>
      </c>
      <c r="AO25" s="418">
        <f t="shared" si="4"/>
        <v>0</v>
      </c>
      <c r="AP25" s="134">
        <v>18699663603</v>
      </c>
      <c r="AQ25" s="134" t="s">
        <v>502</v>
      </c>
      <c r="AT25" s="419">
        <f t="shared" si="1"/>
        <v>0</v>
      </c>
      <c r="AU25" s="143"/>
      <c r="BC25" s="359">
        <f t="shared" si="2"/>
        <v>839468</v>
      </c>
      <c r="BD25" s="140">
        <f>0.8%+0.18%+0.25%+0.03%</f>
        <v>0.0126</v>
      </c>
      <c r="BX25" s="134">
        <v>839468</v>
      </c>
      <c r="CK25" s="134" t="s">
        <v>376</v>
      </c>
      <c r="CN25" s="134" t="s">
        <v>377</v>
      </c>
    </row>
    <row r="26" s="149" customFormat="1" customHeight="1" spans="1:100">
      <c r="A26" s="149">
        <v>23</v>
      </c>
      <c r="C26" s="407"/>
      <c r="F26" s="451"/>
      <c r="I26" s="451" t="s">
        <v>477</v>
      </c>
      <c r="J26" s="451">
        <v>11</v>
      </c>
      <c r="K26" s="149">
        <v>306.78</v>
      </c>
      <c r="N26" s="491"/>
      <c r="O26" s="403">
        <v>9957</v>
      </c>
      <c r="Q26" s="404"/>
      <c r="T26" s="403"/>
      <c r="X26" s="403"/>
      <c r="Z26" s="403"/>
      <c r="AA26" s="408"/>
      <c r="AC26" s="408"/>
      <c r="AL26" s="403">
        <f t="shared" si="3"/>
        <v>0</v>
      </c>
      <c r="AO26" s="547"/>
      <c r="AT26" s="411">
        <f t="shared" si="1"/>
        <v>0</v>
      </c>
      <c r="AU26" s="401"/>
      <c r="BC26" s="403">
        <f t="shared" si="2"/>
        <v>0</v>
      </c>
      <c r="CS26" s="134"/>
      <c r="CV26" s="134"/>
    </row>
    <row r="27" s="149" customFormat="1" customHeight="1" spans="1:100">
      <c r="A27" s="149">
        <v>24</v>
      </c>
      <c r="C27" s="407"/>
      <c r="F27" s="451"/>
      <c r="H27" s="128" t="s">
        <v>527</v>
      </c>
      <c r="I27" s="451" t="s">
        <v>528</v>
      </c>
      <c r="J27" s="451" t="s">
        <v>529</v>
      </c>
      <c r="K27" s="560">
        <v>976.47</v>
      </c>
      <c r="N27" s="491"/>
      <c r="O27" s="403">
        <v>4550</v>
      </c>
      <c r="Q27" s="404"/>
      <c r="T27" s="403"/>
      <c r="X27" s="403"/>
      <c r="Z27" s="403"/>
      <c r="AA27" s="408"/>
      <c r="AC27" s="408"/>
      <c r="AL27" s="403"/>
      <c r="AO27" s="547"/>
      <c r="AT27" s="411"/>
      <c r="AU27" s="401"/>
      <c r="BC27" s="403"/>
      <c r="CS27" s="134"/>
      <c r="CV27" s="134"/>
    </row>
    <row r="28" s="149" customFormat="1" customHeight="1" spans="1:100">
      <c r="C28" s="407"/>
      <c r="F28" s="451"/>
      <c r="G28" s="149" t="s">
        <v>530</v>
      </c>
      <c r="H28" s="128"/>
      <c r="I28" s="451" t="s">
        <v>528</v>
      </c>
      <c r="J28" s="451" t="s">
        <v>531</v>
      </c>
      <c r="K28" s="560">
        <v>524.4</v>
      </c>
      <c r="M28" s="200" t="s">
        <v>532</v>
      </c>
      <c r="N28" s="491"/>
      <c r="O28" s="403"/>
      <c r="Q28" s="404"/>
      <c r="T28" s="403"/>
      <c r="X28" s="403"/>
      <c r="Z28" s="403"/>
      <c r="AA28" s="408"/>
      <c r="AC28" s="408"/>
      <c r="AL28" s="403"/>
      <c r="AO28" s="547"/>
      <c r="AT28" s="411"/>
      <c r="AU28" s="401"/>
      <c r="BC28" s="403"/>
      <c r="CS28" s="134"/>
      <c r="CV28" s="134"/>
    </row>
    <row r="29" s="149" customFormat="1" customHeight="1" spans="1:100">
      <c r="C29" s="407"/>
      <c r="F29" s="451"/>
      <c r="G29" s="149" t="s">
        <v>533</v>
      </c>
      <c r="H29" s="128"/>
      <c r="I29" s="451" t="s">
        <v>528</v>
      </c>
      <c r="J29" s="451" t="s">
        <v>534</v>
      </c>
      <c r="K29" s="560">
        <v>152.79</v>
      </c>
      <c r="M29" s="200"/>
      <c r="N29" s="491"/>
      <c r="O29" s="403"/>
      <c r="Q29" s="404"/>
      <c r="T29" s="403"/>
      <c r="X29" s="403"/>
      <c r="Z29" s="403"/>
      <c r="AA29" s="408"/>
      <c r="AC29" s="408"/>
      <c r="AL29" s="403"/>
      <c r="AO29" s="547"/>
      <c r="AT29" s="411"/>
      <c r="AU29" s="401"/>
      <c r="BC29" s="403"/>
      <c r="CS29" s="134"/>
      <c r="CV29" s="134"/>
    </row>
    <row r="30" s="149" customFormat="1" customHeight="1" spans="1:100">
      <c r="C30" s="407"/>
      <c r="F30" s="451"/>
      <c r="G30" s="149" t="s">
        <v>535</v>
      </c>
      <c r="H30" s="128"/>
      <c r="I30" s="451" t="s">
        <v>528</v>
      </c>
      <c r="J30" s="451" t="s">
        <v>536</v>
      </c>
      <c r="K30" s="560">
        <v>15.25</v>
      </c>
      <c r="M30" s="200"/>
      <c r="N30" s="491"/>
      <c r="O30" s="403"/>
      <c r="Q30" s="404"/>
      <c r="T30" s="403"/>
      <c r="X30" s="403"/>
      <c r="Z30" s="403"/>
      <c r="AA30" s="408"/>
      <c r="AC30" s="408"/>
      <c r="AL30" s="403"/>
      <c r="AO30" s="547"/>
      <c r="AT30" s="411"/>
      <c r="AU30" s="401"/>
      <c r="BC30" s="403"/>
      <c r="CS30" s="134"/>
      <c r="CV30" s="134"/>
    </row>
    <row r="31" s="149" customFormat="1" customHeight="1" spans="1:100">
      <c r="C31" s="407"/>
      <c r="F31" s="451"/>
      <c r="G31" s="149" t="s">
        <v>537</v>
      </c>
      <c r="H31" s="128"/>
      <c r="I31" s="451" t="s">
        <v>528</v>
      </c>
      <c r="J31" s="451" t="s">
        <v>538</v>
      </c>
      <c r="K31" s="560">
        <v>16.01</v>
      </c>
      <c r="M31" s="200"/>
      <c r="N31" s="491"/>
      <c r="O31" s="403"/>
      <c r="Q31" s="404"/>
      <c r="T31" s="403"/>
      <c r="X31" s="403"/>
      <c r="Z31" s="403"/>
      <c r="AA31" s="408"/>
      <c r="AC31" s="408"/>
      <c r="AL31" s="403"/>
      <c r="AO31" s="547"/>
      <c r="AT31" s="411"/>
      <c r="AU31" s="401"/>
      <c r="BC31" s="403"/>
      <c r="CS31" s="134"/>
      <c r="CV31" s="134"/>
    </row>
    <row r="32" s="134" customFormat="1" ht="42" customHeight="1" spans="1:100">
      <c r="A32" s="134">
        <v>25</v>
      </c>
      <c r="C32" s="443">
        <v>45524</v>
      </c>
      <c r="D32" s="134">
        <v>20240004769</v>
      </c>
      <c r="E32" s="1006" t="s">
        <v>539</v>
      </c>
      <c r="F32" s="474" t="s">
        <v>540</v>
      </c>
      <c r="G32" s="143" t="s">
        <v>541</v>
      </c>
      <c r="H32" s="128"/>
      <c r="I32" s="134" t="s">
        <v>370</v>
      </c>
      <c r="J32" s="134">
        <v>1</v>
      </c>
      <c r="K32" s="134">
        <v>106.72</v>
      </c>
      <c r="L32" s="134">
        <v>106.72</v>
      </c>
      <c r="M32" s="134">
        <v>26000</v>
      </c>
      <c r="N32" s="441">
        <v>2774720</v>
      </c>
      <c r="O32" s="359">
        <v>26000</v>
      </c>
      <c r="Q32" s="145">
        <v>2545614.68</v>
      </c>
      <c r="R32" s="134" t="s">
        <v>542</v>
      </c>
      <c r="S32" s="443">
        <v>45722</v>
      </c>
      <c r="T32" s="359"/>
      <c r="U32" s="413"/>
      <c r="V32" s="413"/>
      <c r="W32" s="413" t="s">
        <v>393</v>
      </c>
      <c r="X32" s="359">
        <v>50000</v>
      </c>
      <c r="Y32" s="413" t="s">
        <v>543</v>
      </c>
      <c r="Z32" s="359">
        <v>1785300</v>
      </c>
      <c r="AA32" s="413" t="s">
        <v>544</v>
      </c>
      <c r="AB32" s="359">
        <v>100000</v>
      </c>
      <c r="AC32" s="413" t="s">
        <v>545</v>
      </c>
      <c r="AD32" s="359">
        <v>200000</v>
      </c>
      <c r="AE32" s="413" t="s">
        <v>546</v>
      </c>
      <c r="AF32" s="359">
        <v>100000</v>
      </c>
      <c r="AG32" s="413" t="s">
        <v>547</v>
      </c>
      <c r="AH32" s="359">
        <v>600000</v>
      </c>
      <c r="AI32" s="413">
        <v>45995</v>
      </c>
      <c r="AJ32" s="134">
        <v>-60580</v>
      </c>
      <c r="AK32" s="138">
        <v>46062</v>
      </c>
      <c r="AL32" s="359">
        <f>X32+Z32+AB32+AD32+AF32+AH32+AJ32</f>
        <v>2774720</v>
      </c>
      <c r="AO32" s="418">
        <f t="shared" ref="AO32:AO37" si="7">N32-AL32</f>
        <v>0</v>
      </c>
      <c r="AP32" s="143">
        <v>15099260585</v>
      </c>
      <c r="AT32" s="419">
        <f t="shared" ref="AT32:AT41" si="8">AU32+AV32+AW32+AX32+AY32+AZ32+BA32+BB32</f>
        <v>800</v>
      </c>
      <c r="AU32" s="419">
        <f>200+200+200</f>
        <v>600</v>
      </c>
      <c r="AV32" s="359">
        <v>200</v>
      </c>
      <c r="AW32" s="359"/>
      <c r="AX32" s="359"/>
      <c r="AY32" s="359"/>
      <c r="AZ32" s="359"/>
      <c r="BA32" s="359"/>
      <c r="BB32" s="359"/>
      <c r="BC32" s="359">
        <f t="shared" ref="BC32:BC41" si="9">SUM(BE32:CH32)</f>
        <v>2774720</v>
      </c>
      <c r="BD32" s="513">
        <f>1%+0.18%+0.25%</f>
        <v>0.0143</v>
      </c>
      <c r="BE32" s="359"/>
      <c r="BF32" s="359"/>
      <c r="BG32" s="359"/>
      <c r="BH32" s="359"/>
      <c r="BI32" s="359"/>
      <c r="BJ32" s="359"/>
      <c r="BK32" s="359"/>
      <c r="BL32" s="359"/>
      <c r="BM32" s="359"/>
      <c r="BN32" s="359"/>
      <c r="BO32" s="359"/>
      <c r="BP32" s="359"/>
      <c r="BQ32" s="359"/>
      <c r="BR32" s="359"/>
      <c r="BS32" s="359"/>
      <c r="BT32" s="359"/>
      <c r="BU32" s="359"/>
      <c r="BV32" s="359"/>
      <c r="BW32" s="359"/>
      <c r="BX32" s="359"/>
      <c r="BY32" s="359"/>
      <c r="BZ32" s="359"/>
      <c r="CA32" s="359"/>
      <c r="CB32" s="359"/>
      <c r="CC32" s="359"/>
      <c r="CD32" s="359"/>
      <c r="CE32" s="359">
        <v>2774720</v>
      </c>
      <c r="CF32" s="359"/>
      <c r="CG32" s="359"/>
      <c r="CH32" s="359"/>
      <c r="CI32" s="134"/>
      <c r="CK32" s="134" t="s">
        <v>376</v>
      </c>
      <c r="CN32" s="134" t="s">
        <v>377</v>
      </c>
    </row>
    <row r="33" s="134" customFormat="1" ht="44" customHeight="1" spans="1:92">
      <c r="A33" s="134">
        <v>26</v>
      </c>
      <c r="C33" s="443">
        <v>45398</v>
      </c>
      <c r="D33" s="134">
        <v>20240002095</v>
      </c>
      <c r="E33" s="1006" t="s">
        <v>548</v>
      </c>
      <c r="F33" s="429" t="s">
        <v>549</v>
      </c>
      <c r="G33" s="143" t="s">
        <v>550</v>
      </c>
      <c r="H33" s="128"/>
      <c r="I33" s="134" t="s">
        <v>370</v>
      </c>
      <c r="J33" s="134">
        <v>2</v>
      </c>
      <c r="K33" s="134">
        <v>103.64</v>
      </c>
      <c r="L33" s="134">
        <v>103.64</v>
      </c>
      <c r="M33" s="134">
        <v>23806.27</v>
      </c>
      <c r="N33" s="441">
        <v>2467281</v>
      </c>
      <c r="O33" s="359">
        <v>23806.26</v>
      </c>
      <c r="P33" s="134"/>
      <c r="Q33" s="145">
        <v>2263560.55</v>
      </c>
      <c r="R33" s="1006" t="s">
        <v>551</v>
      </c>
      <c r="S33" s="443">
        <v>45722</v>
      </c>
      <c r="T33" s="359"/>
      <c r="U33" s="138"/>
      <c r="V33" s="138"/>
      <c r="W33" s="138" t="s">
        <v>486</v>
      </c>
      <c r="X33" s="359">
        <v>100000</v>
      </c>
      <c r="Y33" s="138" t="s">
        <v>552</v>
      </c>
      <c r="Z33" s="359">
        <v>400000</v>
      </c>
      <c r="AA33" s="138" t="s">
        <v>553</v>
      </c>
      <c r="AB33" s="359">
        <v>743470</v>
      </c>
      <c r="AC33" s="138" t="s">
        <v>554</v>
      </c>
      <c r="AD33" s="359">
        <v>1240000</v>
      </c>
      <c r="AE33" s="138" t="s">
        <v>555</v>
      </c>
      <c r="AF33" s="134">
        <v>-16188</v>
      </c>
      <c r="AJ33" s="134">
        <v>-1</v>
      </c>
      <c r="AK33" s="561"/>
      <c r="AL33" s="359">
        <f t="shared" ref="AL32:AL53" si="10">X33+Z33+AB33+AD33+AF33+AH33+AJ33</f>
        <v>2467281</v>
      </c>
      <c r="AO33" s="418">
        <f t="shared" si="7"/>
        <v>0</v>
      </c>
      <c r="AP33" s="134">
        <v>18160288656</v>
      </c>
      <c r="AT33" s="419">
        <f t="shared" si="8"/>
        <v>200</v>
      </c>
      <c r="AU33" s="419">
        <f>200</f>
        <v>200</v>
      </c>
      <c r="AV33" s="359"/>
      <c r="AW33" s="359"/>
      <c r="AX33" s="359"/>
      <c r="AY33" s="359"/>
      <c r="AZ33" s="359"/>
      <c r="BA33" s="359"/>
      <c r="BB33" s="359"/>
      <c r="BC33" s="359">
        <f t="shared" si="9"/>
        <v>2467282</v>
      </c>
      <c r="BD33" s="513">
        <f>1%+0.13%+0.14%</f>
        <v>0.0127</v>
      </c>
      <c r="BE33" s="359"/>
      <c r="BF33" s="359"/>
      <c r="BG33" s="359"/>
      <c r="BH33" s="359"/>
      <c r="BI33" s="359"/>
      <c r="BJ33" s="359"/>
      <c r="BK33" s="359"/>
      <c r="BL33" s="359"/>
      <c r="BM33" s="359"/>
      <c r="BN33" s="359">
        <v>1243470</v>
      </c>
      <c r="BO33" s="359">
        <v>1240000</v>
      </c>
      <c r="BP33" s="359"/>
      <c r="BQ33" s="359"/>
      <c r="BR33" s="359"/>
      <c r="BS33" s="359"/>
      <c r="BT33" s="359"/>
      <c r="BU33" s="359"/>
      <c r="BV33" s="359"/>
      <c r="BW33" s="359"/>
      <c r="BX33" s="359"/>
      <c r="BY33" s="359"/>
      <c r="BZ33" s="359"/>
      <c r="CA33" s="359"/>
      <c r="CB33" s="359">
        <v>-16188</v>
      </c>
      <c r="CC33" s="359"/>
      <c r="CD33" s="359"/>
      <c r="CE33" s="359"/>
      <c r="CF33" s="359"/>
      <c r="CG33" s="359"/>
      <c r="CH33" s="359"/>
      <c r="CK33" s="134" t="s">
        <v>376</v>
      </c>
      <c r="CL33" s="134" t="s">
        <v>387</v>
      </c>
      <c r="CN33" s="134" t="s">
        <v>377</v>
      </c>
    </row>
    <row r="34" s="134" customFormat="1" customHeight="1" spans="1:92">
      <c r="A34" s="134">
        <v>27</v>
      </c>
      <c r="C34" s="443">
        <v>45202</v>
      </c>
      <c r="D34" s="1006" t="s">
        <v>556</v>
      </c>
      <c r="E34" s="1006" t="s">
        <v>557</v>
      </c>
      <c r="F34" s="1007" t="s">
        <v>558</v>
      </c>
      <c r="G34" s="143" t="s">
        <v>559</v>
      </c>
      <c r="H34" s="128"/>
      <c r="I34" s="134" t="s">
        <v>370</v>
      </c>
      <c r="J34" s="134">
        <v>3</v>
      </c>
      <c r="K34" s="134">
        <v>68.28</v>
      </c>
      <c r="L34" s="134">
        <v>68.28</v>
      </c>
      <c r="M34" s="134">
        <v>23776.41</v>
      </c>
      <c r="N34" s="441">
        <v>1623453</v>
      </c>
      <c r="O34" s="359">
        <v>23422.22</v>
      </c>
      <c r="P34" s="134"/>
      <c r="Q34" s="145">
        <v>1489406.42</v>
      </c>
      <c r="R34" s="1006" t="s">
        <v>560</v>
      </c>
      <c r="S34" s="443">
        <v>45722</v>
      </c>
      <c r="T34" s="359"/>
      <c r="U34" s="413"/>
      <c r="V34" s="413"/>
      <c r="W34" s="413" t="s">
        <v>561</v>
      </c>
      <c r="X34" s="359">
        <v>100000</v>
      </c>
      <c r="Y34" s="413" t="s">
        <v>562</v>
      </c>
      <c r="Z34" s="359">
        <f>270000+453915</f>
        <v>723915</v>
      </c>
      <c r="AA34" s="413" t="s">
        <v>563</v>
      </c>
      <c r="AB34" s="359">
        <v>810000</v>
      </c>
      <c r="AC34" s="413" t="s">
        <v>564</v>
      </c>
      <c r="AD34" s="359">
        <v>-10461</v>
      </c>
      <c r="AE34" s="413"/>
      <c r="AJ34" s="134">
        <v>-1</v>
      </c>
      <c r="AK34" s="561"/>
      <c r="AL34" s="359">
        <f t="shared" si="10"/>
        <v>1623453</v>
      </c>
      <c r="AO34" s="418">
        <f t="shared" si="7"/>
        <v>0</v>
      </c>
      <c r="AP34" s="134">
        <v>13565767398</v>
      </c>
      <c r="AT34" s="419">
        <f t="shared" si="8"/>
        <v>800</v>
      </c>
      <c r="AU34" s="419">
        <v>200</v>
      </c>
      <c r="AV34" s="359"/>
      <c r="AW34" s="359">
        <v>200</v>
      </c>
      <c r="AX34" s="359"/>
      <c r="AY34" s="359">
        <f>200+200</f>
        <v>400</v>
      </c>
      <c r="AZ34" s="359"/>
      <c r="BA34" s="359"/>
      <c r="BB34" s="359"/>
      <c r="BC34" s="359">
        <f t="shared" si="9"/>
        <v>1623453</v>
      </c>
      <c r="BD34" s="513">
        <f>1%+0.18%+0.25%</f>
        <v>0.0143</v>
      </c>
      <c r="BE34" s="359"/>
      <c r="BF34" s="359"/>
      <c r="BG34" s="359"/>
      <c r="BH34" s="359"/>
      <c r="BI34" s="359"/>
      <c r="BJ34" s="359"/>
      <c r="BK34" s="359">
        <v>1633915</v>
      </c>
      <c r="BL34" s="359"/>
      <c r="BM34" s="359"/>
      <c r="BN34" s="359"/>
      <c r="BO34" s="359"/>
      <c r="BP34" s="359"/>
      <c r="BQ34" s="359"/>
      <c r="BR34" s="359"/>
      <c r="BS34" s="359"/>
      <c r="BT34" s="359"/>
      <c r="BU34" s="359"/>
      <c r="BV34" s="359"/>
      <c r="BW34" s="359"/>
      <c r="BX34" s="359"/>
      <c r="BY34" s="359"/>
      <c r="BZ34" s="359"/>
      <c r="CA34" s="359"/>
      <c r="CB34" s="359">
        <v>-10462</v>
      </c>
      <c r="CC34" s="359"/>
      <c r="CD34" s="359"/>
      <c r="CE34" s="359"/>
      <c r="CF34" s="359"/>
      <c r="CG34" s="359"/>
      <c r="CH34" s="359"/>
      <c r="CI34" s="134"/>
      <c r="CK34" s="134" t="s">
        <v>376</v>
      </c>
      <c r="CL34" s="134" t="s">
        <v>387</v>
      </c>
      <c r="CN34" s="134" t="s">
        <v>377</v>
      </c>
    </row>
    <row r="35" s="134" customFormat="1" ht="43" customHeight="1" spans="1:92">
      <c r="A35" s="134">
        <v>28</v>
      </c>
      <c r="C35" s="443">
        <v>45198</v>
      </c>
      <c r="D35" s="134">
        <v>20230008210</v>
      </c>
      <c r="E35" s="1006" t="s">
        <v>565</v>
      </c>
      <c r="F35" s="429" t="s">
        <v>566</v>
      </c>
      <c r="G35" s="143" t="s">
        <v>567</v>
      </c>
      <c r="H35" s="128"/>
      <c r="I35" s="134" t="s">
        <v>370</v>
      </c>
      <c r="J35" s="134">
        <v>4</v>
      </c>
      <c r="K35" s="134">
        <v>68.28</v>
      </c>
      <c r="L35" s="134">
        <v>68.28</v>
      </c>
      <c r="M35" s="134">
        <v>23428.405</v>
      </c>
      <c r="N35" s="441">
        <v>1599691</v>
      </c>
      <c r="O35" s="359">
        <v>23229.92</v>
      </c>
      <c r="P35" s="134"/>
      <c r="Q35" s="145">
        <v>1467606.42</v>
      </c>
      <c r="R35" s="1006" t="s">
        <v>568</v>
      </c>
      <c r="S35" s="443">
        <v>45722</v>
      </c>
      <c r="T35" s="359"/>
      <c r="U35" s="138"/>
      <c r="V35" s="1008" t="s">
        <v>569</v>
      </c>
      <c r="W35" s="413" t="s">
        <v>410</v>
      </c>
      <c r="X35" s="359">
        <v>300000</v>
      </c>
      <c r="Y35" s="417" t="s">
        <v>570</v>
      </c>
      <c r="Z35" s="359">
        <f>115000+75000</f>
        <v>190000</v>
      </c>
      <c r="AA35" s="138" t="s">
        <v>571</v>
      </c>
      <c r="AB35" s="359">
        <v>210000</v>
      </c>
      <c r="AC35" s="138" t="s">
        <v>572</v>
      </c>
      <c r="AD35" s="359">
        <v>630000</v>
      </c>
      <c r="AE35" s="138" t="s">
        <v>573</v>
      </c>
      <c r="AF35" s="359">
        <v>280000</v>
      </c>
      <c r="AG35" s="138" t="s">
        <v>574</v>
      </c>
      <c r="AH35" s="134">
        <v>-10308</v>
      </c>
      <c r="AJ35" s="134">
        <v>-1</v>
      </c>
      <c r="AK35" s="561"/>
      <c r="AL35" s="359">
        <f t="shared" si="10"/>
        <v>1599691</v>
      </c>
      <c r="AO35" s="418">
        <f t="shared" si="7"/>
        <v>0</v>
      </c>
      <c r="AP35" s="134">
        <v>18999626053</v>
      </c>
      <c r="AT35" s="419">
        <f t="shared" si="8"/>
        <v>400</v>
      </c>
      <c r="AU35" s="419"/>
      <c r="AV35" s="359">
        <v>200</v>
      </c>
      <c r="AW35" s="359"/>
      <c r="AX35" s="359"/>
      <c r="AY35" s="359"/>
      <c r="AZ35" s="359">
        <v>200</v>
      </c>
      <c r="BA35" s="359"/>
      <c r="BB35" s="359"/>
      <c r="BC35" s="359">
        <f t="shared" si="9"/>
        <v>1599692</v>
      </c>
      <c r="BD35" s="140">
        <f t="shared" ref="BD35:BD39" si="11">1%+0.18%+0.25%</f>
        <v>0.0143</v>
      </c>
      <c r="BE35" s="359"/>
      <c r="BF35" s="359"/>
      <c r="BG35" s="359"/>
      <c r="BH35" s="359"/>
      <c r="BI35" s="359"/>
      <c r="BJ35" s="359"/>
      <c r="BK35" s="359"/>
      <c r="BL35" s="359"/>
      <c r="BM35" s="359"/>
      <c r="BN35" s="359"/>
      <c r="BO35" s="359"/>
      <c r="BP35" s="359">
        <v>1610000</v>
      </c>
      <c r="BQ35" s="359"/>
      <c r="BR35" s="359"/>
      <c r="BS35" s="359"/>
      <c r="BT35" s="359"/>
      <c r="BU35" s="359"/>
      <c r="BV35" s="359"/>
      <c r="BW35" s="359"/>
      <c r="BX35" s="359"/>
      <c r="BY35" s="359"/>
      <c r="BZ35" s="359"/>
      <c r="CA35" s="359"/>
      <c r="CB35" s="359">
        <v>-10308</v>
      </c>
      <c r="CC35" s="359"/>
      <c r="CD35" s="359"/>
      <c r="CE35" s="359"/>
      <c r="CF35" s="359"/>
      <c r="CG35" s="359"/>
      <c r="CH35" s="359"/>
      <c r="CK35" s="134" t="s">
        <v>376</v>
      </c>
      <c r="CL35" s="134" t="s">
        <v>387</v>
      </c>
      <c r="CN35" s="134" t="s">
        <v>377</v>
      </c>
    </row>
    <row r="36" s="134" customFormat="1" ht="44" customHeight="1" spans="1:92">
      <c r="A36" s="134">
        <v>29</v>
      </c>
      <c r="C36" s="443">
        <v>45204</v>
      </c>
      <c r="D36" s="134">
        <v>20230008684</v>
      </c>
      <c r="E36" s="1006" t="s">
        <v>575</v>
      </c>
      <c r="F36" s="429" t="s">
        <v>576</v>
      </c>
      <c r="G36" s="143" t="s">
        <v>577</v>
      </c>
      <c r="H36" s="128"/>
      <c r="I36" s="134" t="s">
        <v>370</v>
      </c>
      <c r="J36" s="134">
        <v>5</v>
      </c>
      <c r="K36" s="134">
        <v>68.28</v>
      </c>
      <c r="L36" s="134">
        <v>68.28</v>
      </c>
      <c r="M36" s="134">
        <v>23333.77</v>
      </c>
      <c r="N36" s="441">
        <v>1593230</v>
      </c>
      <c r="O36" s="359">
        <v>23133.77</v>
      </c>
      <c r="P36" s="134"/>
      <c r="Q36" s="145">
        <v>1461678.9</v>
      </c>
      <c r="R36" s="1006" t="s">
        <v>578</v>
      </c>
      <c r="S36" s="443">
        <v>45722</v>
      </c>
      <c r="T36" s="359"/>
      <c r="V36" s="134" t="s">
        <v>579</v>
      </c>
      <c r="W36" s="134" t="s">
        <v>580</v>
      </c>
      <c r="X36" s="359">
        <v>10000</v>
      </c>
      <c r="Y36" s="413" t="s">
        <v>581</v>
      </c>
      <c r="Z36" s="359">
        <v>90000</v>
      </c>
      <c r="AA36" s="417" t="s">
        <v>458</v>
      </c>
      <c r="AB36" s="359">
        <v>1503497</v>
      </c>
      <c r="AC36" s="134" t="s">
        <v>563</v>
      </c>
      <c r="AD36" s="134">
        <v>-10266</v>
      </c>
      <c r="AJ36" s="134">
        <v>-1</v>
      </c>
      <c r="AK36" s="561"/>
      <c r="AL36" s="359">
        <f t="shared" si="10"/>
        <v>1593230</v>
      </c>
      <c r="AO36" s="418">
        <f t="shared" si="7"/>
        <v>0</v>
      </c>
      <c r="AP36" s="134">
        <v>19990631707</v>
      </c>
      <c r="AT36" s="419">
        <f t="shared" si="8"/>
        <v>500</v>
      </c>
      <c r="AU36" s="143"/>
      <c r="AW36" s="134">
        <v>200</v>
      </c>
      <c r="BB36" s="134">
        <v>300</v>
      </c>
      <c r="BC36" s="359">
        <f t="shared" si="9"/>
        <v>1593231</v>
      </c>
      <c r="BD36" s="513">
        <f t="shared" si="11"/>
        <v>0.0143</v>
      </c>
      <c r="BH36" s="134">
        <v>1603497</v>
      </c>
      <c r="CB36" s="134">
        <v>-10266</v>
      </c>
      <c r="CK36" s="134" t="s">
        <v>376</v>
      </c>
      <c r="CL36" s="134" t="s">
        <v>387</v>
      </c>
      <c r="CN36" s="134" t="s">
        <v>377</v>
      </c>
    </row>
    <row r="37" s="134" customFormat="1" ht="34" customHeight="1" spans="1:92">
      <c r="A37" s="134">
        <v>30</v>
      </c>
      <c r="C37" s="443">
        <v>45204</v>
      </c>
      <c r="D37" s="134">
        <v>20230008648</v>
      </c>
      <c r="E37" s="1006" t="s">
        <v>582</v>
      </c>
      <c r="F37" s="429" t="s">
        <v>583</v>
      </c>
      <c r="G37" s="143" t="s">
        <v>584</v>
      </c>
      <c r="H37" s="128"/>
      <c r="I37" s="134" t="s">
        <v>370</v>
      </c>
      <c r="J37" s="134">
        <v>6</v>
      </c>
      <c r="K37" s="134">
        <v>60.15</v>
      </c>
      <c r="L37" s="134">
        <v>60.15</v>
      </c>
      <c r="M37" s="134">
        <v>23000</v>
      </c>
      <c r="N37" s="441">
        <v>1383450</v>
      </c>
      <c r="O37" s="359">
        <v>22747.48</v>
      </c>
      <c r="Q37" s="145">
        <v>1269220.18</v>
      </c>
      <c r="R37" s="1006" t="s">
        <v>585</v>
      </c>
      <c r="S37" s="443">
        <v>45722</v>
      </c>
      <c r="T37" s="359"/>
      <c r="U37" s="138"/>
      <c r="V37" s="143"/>
      <c r="W37" s="143" t="s">
        <v>586</v>
      </c>
      <c r="X37" s="359">
        <v>100000</v>
      </c>
      <c r="Y37" s="138" t="s">
        <v>587</v>
      </c>
      <c r="Z37" s="134">
        <v>612420</v>
      </c>
      <c r="AA37" s="134" t="s">
        <v>587</v>
      </c>
      <c r="AB37" s="134">
        <v>500000</v>
      </c>
      <c r="AC37" s="134" t="s">
        <v>588</v>
      </c>
      <c r="AD37" s="359">
        <v>180000</v>
      </c>
      <c r="AE37" s="138" t="s">
        <v>589</v>
      </c>
      <c r="AF37" s="134">
        <v>-8970</v>
      </c>
      <c r="AH37" s="359"/>
      <c r="AI37" s="138"/>
      <c r="AL37" s="359">
        <f t="shared" si="10"/>
        <v>1383450</v>
      </c>
      <c r="AO37" s="418">
        <f t="shared" si="7"/>
        <v>0</v>
      </c>
      <c r="AP37" s="134">
        <v>18799850653</v>
      </c>
      <c r="AT37" s="419">
        <f t="shared" si="8"/>
        <v>400</v>
      </c>
      <c r="AU37" s="419"/>
      <c r="AV37" s="359">
        <v>200</v>
      </c>
      <c r="AW37" s="359"/>
      <c r="AX37" s="359">
        <v>200</v>
      </c>
      <c r="AY37" s="359"/>
      <c r="AZ37" s="359"/>
      <c r="BA37" s="359"/>
      <c r="BB37" s="359"/>
      <c r="BC37" s="359">
        <f t="shared" si="9"/>
        <v>1383450</v>
      </c>
      <c r="BD37" s="513">
        <f>1%+0.18%+0.2%</f>
        <v>0.0138</v>
      </c>
      <c r="BE37" s="359"/>
      <c r="BF37" s="359"/>
      <c r="BG37" s="359"/>
      <c r="BH37" s="359"/>
      <c r="BI37" s="359">
        <v>1392420</v>
      </c>
      <c r="BJ37" s="359"/>
      <c r="BK37" s="359"/>
      <c r="BL37" s="359"/>
      <c r="BM37" s="359"/>
      <c r="BN37" s="359"/>
      <c r="BO37" s="359"/>
      <c r="BP37" s="359"/>
      <c r="BQ37" s="359"/>
      <c r="BR37" s="359"/>
      <c r="BS37" s="359"/>
      <c r="BT37" s="359"/>
      <c r="BU37" s="359"/>
      <c r="BV37" s="359"/>
      <c r="BW37" s="359"/>
      <c r="BX37" s="359"/>
      <c r="BY37" s="359"/>
      <c r="BZ37" s="359"/>
      <c r="CA37" s="359"/>
      <c r="CB37" s="359">
        <v>-8970</v>
      </c>
      <c r="CC37" s="359"/>
      <c r="CD37" s="359"/>
      <c r="CE37" s="359"/>
      <c r="CF37" s="359"/>
      <c r="CG37" s="359"/>
      <c r="CH37" s="359"/>
      <c r="CI37" s="134"/>
      <c r="CK37" s="134" t="s">
        <v>376</v>
      </c>
      <c r="CL37" s="134" t="s">
        <v>387</v>
      </c>
      <c r="CN37" s="134" t="s">
        <v>377</v>
      </c>
    </row>
    <row r="38" s="134" customFormat="1" customHeight="1" spans="1:92">
      <c r="A38" s="134">
        <v>31</v>
      </c>
      <c r="C38" s="443">
        <v>45370</v>
      </c>
      <c r="D38" s="134">
        <v>20240001485</v>
      </c>
      <c r="E38" s="1006" t="s">
        <v>590</v>
      </c>
      <c r="F38" s="429" t="s">
        <v>591</v>
      </c>
      <c r="G38" s="143" t="s">
        <v>592</v>
      </c>
      <c r="H38" s="128"/>
      <c r="I38" s="134" t="s">
        <v>370</v>
      </c>
      <c r="J38" s="134">
        <v>7</v>
      </c>
      <c r="K38" s="134">
        <v>71.53</v>
      </c>
      <c r="L38" s="134">
        <v>71.53</v>
      </c>
      <c r="M38" s="134">
        <v>23600.01</v>
      </c>
      <c r="N38" s="441">
        <v>1688109</v>
      </c>
      <c r="O38" s="359">
        <v>23516.91</v>
      </c>
      <c r="Q38" s="145">
        <v>1548723.85</v>
      </c>
      <c r="R38" s="1006" t="s">
        <v>593</v>
      </c>
      <c r="S38" s="443">
        <v>45722</v>
      </c>
      <c r="T38" s="359"/>
      <c r="V38" s="1006" t="s">
        <v>594</v>
      </c>
      <c r="W38" s="134" t="s">
        <v>393</v>
      </c>
      <c r="X38" s="359">
        <v>60000</v>
      </c>
      <c r="Y38" s="134" t="s">
        <v>595</v>
      </c>
      <c r="Z38" s="359">
        <v>40000</v>
      </c>
      <c r="AA38" s="134" t="s">
        <v>571</v>
      </c>
      <c r="AB38" s="359">
        <v>1000000</v>
      </c>
      <c r="AC38" s="134" t="s">
        <v>596</v>
      </c>
      <c r="AD38" s="359">
        <v>500000</v>
      </c>
      <c r="AE38" s="134" t="s">
        <v>597</v>
      </c>
      <c r="AF38" s="359">
        <v>20000</v>
      </c>
      <c r="AG38" s="134" t="s">
        <v>598</v>
      </c>
      <c r="AH38" s="359">
        <v>78965</v>
      </c>
      <c r="AI38" s="134" t="s">
        <v>599</v>
      </c>
      <c r="AJ38" s="134">
        <v>-10856</v>
      </c>
      <c r="AL38" s="359">
        <f t="shared" si="10"/>
        <v>1688109</v>
      </c>
      <c r="AO38" s="418">
        <f t="shared" ref="AO38:AO43" si="12">N38-AL38</f>
        <v>0</v>
      </c>
      <c r="AP38" s="134">
        <v>18109967333</v>
      </c>
      <c r="AT38" s="419">
        <f t="shared" si="8"/>
        <v>500</v>
      </c>
      <c r="AU38" s="419"/>
      <c r="AV38" s="359"/>
      <c r="AW38" s="359">
        <v>200</v>
      </c>
      <c r="AX38" s="359"/>
      <c r="AY38" s="359"/>
      <c r="AZ38" s="359"/>
      <c r="BA38" s="359">
        <v>300</v>
      </c>
      <c r="BB38" s="359"/>
      <c r="BC38" s="359">
        <f t="shared" si="9"/>
        <v>1688109</v>
      </c>
      <c r="BD38" s="140">
        <f t="shared" si="11"/>
        <v>0.0143</v>
      </c>
      <c r="BE38" s="359"/>
      <c r="BF38" s="359"/>
      <c r="BG38" s="359"/>
      <c r="BH38" s="359"/>
      <c r="BI38" s="359"/>
      <c r="BJ38" s="359"/>
      <c r="BK38" s="359"/>
      <c r="BL38" s="359"/>
      <c r="BM38" s="359"/>
      <c r="BN38" s="359"/>
      <c r="BO38" s="359"/>
      <c r="BP38" s="359"/>
      <c r="BQ38" s="359">
        <v>1698965</v>
      </c>
      <c r="BR38" s="359"/>
      <c r="BS38" s="359"/>
      <c r="BT38" s="359"/>
      <c r="BU38" s="359"/>
      <c r="BV38" s="359"/>
      <c r="BW38" s="359"/>
      <c r="BX38" s="359"/>
      <c r="BY38" s="359"/>
      <c r="BZ38" s="359"/>
      <c r="CA38" s="359"/>
      <c r="CB38" s="359">
        <v>-10856</v>
      </c>
      <c r="CC38" s="359"/>
      <c r="CD38" s="359"/>
      <c r="CE38" s="359"/>
      <c r="CF38" s="359"/>
      <c r="CG38" s="359"/>
      <c r="CH38" s="359"/>
      <c r="CK38" s="134" t="s">
        <v>376</v>
      </c>
      <c r="CL38" s="134" t="s">
        <v>387</v>
      </c>
      <c r="CN38" s="134" t="s">
        <v>377</v>
      </c>
    </row>
    <row r="39" s="134" customFormat="1" customHeight="1" spans="1:92">
      <c r="A39" s="134">
        <v>32</v>
      </c>
      <c r="C39" s="443">
        <v>45204</v>
      </c>
      <c r="D39" s="134">
        <v>20230008670</v>
      </c>
      <c r="E39" s="1006" t="s">
        <v>600</v>
      </c>
      <c r="F39" s="429" t="s">
        <v>601</v>
      </c>
      <c r="G39" s="143" t="s">
        <v>602</v>
      </c>
      <c r="H39" s="128"/>
      <c r="I39" s="134" t="s">
        <v>370</v>
      </c>
      <c r="J39" s="134">
        <v>8</v>
      </c>
      <c r="K39" s="134">
        <v>68.28</v>
      </c>
      <c r="L39" s="134">
        <v>68.28</v>
      </c>
      <c r="M39" s="134">
        <v>24000</v>
      </c>
      <c r="N39" s="441">
        <v>1638720</v>
      </c>
      <c r="O39" s="359">
        <v>23710.67</v>
      </c>
      <c r="Q39" s="145">
        <v>1503412.84</v>
      </c>
      <c r="R39" s="1006" t="s">
        <v>603</v>
      </c>
      <c r="S39" s="443">
        <v>45722</v>
      </c>
      <c r="T39" s="359"/>
      <c r="U39" s="138"/>
      <c r="V39" s="413" t="s">
        <v>604</v>
      </c>
      <c r="W39" s="413" t="s">
        <v>605</v>
      </c>
      <c r="X39" s="359">
        <f>10000+10000</f>
        <v>20000</v>
      </c>
      <c r="Y39" s="413" t="s">
        <v>606</v>
      </c>
      <c r="Z39" s="359">
        <v>80000</v>
      </c>
      <c r="AA39" s="417" t="s">
        <v>607</v>
      </c>
      <c r="AB39" s="359">
        <f>947000+2280</f>
        <v>949280</v>
      </c>
      <c r="AC39" s="138" t="s">
        <v>587</v>
      </c>
      <c r="AD39" s="359">
        <v>600000</v>
      </c>
      <c r="AE39" s="138" t="s">
        <v>608</v>
      </c>
      <c r="AF39" s="134">
        <v>-10560</v>
      </c>
      <c r="AL39" s="359">
        <f t="shared" si="10"/>
        <v>1638720</v>
      </c>
      <c r="AO39" s="418">
        <f t="shared" si="12"/>
        <v>0</v>
      </c>
      <c r="AP39" s="134">
        <v>15899027167</v>
      </c>
      <c r="AT39" s="419">
        <f t="shared" si="8"/>
        <v>500</v>
      </c>
      <c r="AU39" s="419"/>
      <c r="AV39" s="359">
        <v>200</v>
      </c>
      <c r="AW39" s="359"/>
      <c r="AX39" s="359"/>
      <c r="AY39" s="359"/>
      <c r="AZ39" s="359"/>
      <c r="BA39" s="359"/>
      <c r="BB39" s="359">
        <v>300</v>
      </c>
      <c r="BC39" s="359">
        <f t="shared" si="9"/>
        <v>1638720</v>
      </c>
      <c r="BD39" s="140">
        <f t="shared" si="11"/>
        <v>0.0143</v>
      </c>
      <c r="BE39" s="359"/>
      <c r="BF39" s="359"/>
      <c r="BG39" s="359"/>
      <c r="BH39" s="359"/>
      <c r="BI39" s="359"/>
      <c r="BJ39" s="359">
        <v>1649280</v>
      </c>
      <c r="BK39" s="359"/>
      <c r="BL39" s="359"/>
      <c r="BM39" s="359"/>
      <c r="BN39" s="359"/>
      <c r="BO39" s="359"/>
      <c r="BP39" s="359"/>
      <c r="BQ39" s="359"/>
      <c r="BR39" s="359"/>
      <c r="BS39" s="359"/>
      <c r="BT39" s="359"/>
      <c r="BU39" s="359"/>
      <c r="BV39" s="359"/>
      <c r="BW39" s="359"/>
      <c r="BX39" s="359"/>
      <c r="BY39" s="359"/>
      <c r="BZ39" s="359"/>
      <c r="CA39" s="359"/>
      <c r="CB39" s="359">
        <v>-10560</v>
      </c>
      <c r="CC39" s="359"/>
      <c r="CD39" s="359"/>
      <c r="CE39" s="359"/>
      <c r="CF39" s="359"/>
      <c r="CG39" s="359"/>
      <c r="CH39" s="359"/>
      <c r="CI39" s="134"/>
      <c r="CK39" s="134" t="s">
        <v>376</v>
      </c>
      <c r="CL39" s="134" t="s">
        <v>387</v>
      </c>
      <c r="CN39" s="134" t="s">
        <v>377</v>
      </c>
    </row>
    <row r="40" s="134" customFormat="1" customHeight="1" spans="1:92">
      <c r="A40" s="134">
        <v>33</v>
      </c>
      <c r="B40" s="134"/>
      <c r="C40" s="443">
        <v>45566</v>
      </c>
      <c r="D40" s="134">
        <v>20240005488</v>
      </c>
      <c r="E40" s="134" t="s">
        <v>609</v>
      </c>
      <c r="F40" s="429" t="s">
        <v>610</v>
      </c>
      <c r="G40" s="134" t="s">
        <v>611</v>
      </c>
      <c r="H40" s="128"/>
      <c r="I40" s="134" t="s">
        <v>370</v>
      </c>
      <c r="J40" s="134">
        <v>9</v>
      </c>
      <c r="K40" s="134">
        <v>121.98</v>
      </c>
      <c r="L40" s="134">
        <v>121.98</v>
      </c>
      <c r="M40" s="134">
        <v>24300</v>
      </c>
      <c r="N40" s="441">
        <v>2964114</v>
      </c>
      <c r="O40" s="359">
        <v>22881</v>
      </c>
      <c r="P40" s="134"/>
      <c r="Q40" s="145">
        <v>2719370.64</v>
      </c>
      <c r="R40" s="1006" t="s">
        <v>612</v>
      </c>
      <c r="S40" s="443">
        <v>45576</v>
      </c>
      <c r="T40" s="359"/>
      <c r="U40" s="138"/>
      <c r="V40" s="138"/>
      <c r="W40" s="138"/>
      <c r="X40" s="359">
        <f>1500000</f>
        <v>1500000</v>
      </c>
      <c r="Y40" s="138" t="s">
        <v>374</v>
      </c>
      <c r="Z40" s="359">
        <v>1488900</v>
      </c>
      <c r="AA40" s="417" t="s">
        <v>613</v>
      </c>
      <c r="AB40" s="134">
        <v>-24786</v>
      </c>
      <c r="AC40" s="417"/>
      <c r="AL40" s="359">
        <f t="shared" si="10"/>
        <v>2964114</v>
      </c>
      <c r="AO40" s="418">
        <f t="shared" si="12"/>
        <v>0</v>
      </c>
      <c r="AP40" s="134">
        <v>18999606611</v>
      </c>
      <c r="AT40" s="419">
        <f t="shared" si="8"/>
        <v>200</v>
      </c>
      <c r="AU40" s="419"/>
      <c r="AV40" s="359">
        <v>200</v>
      </c>
      <c r="AW40" s="359"/>
      <c r="AX40" s="359"/>
      <c r="AY40" s="359"/>
      <c r="AZ40" s="359"/>
      <c r="BA40" s="359"/>
      <c r="BB40" s="359"/>
      <c r="BC40" s="359">
        <f t="shared" si="9"/>
        <v>0</v>
      </c>
      <c r="BD40" s="513"/>
      <c r="BE40" s="359"/>
      <c r="BF40" s="359"/>
      <c r="BG40" s="359"/>
      <c r="BH40" s="359"/>
      <c r="BI40" s="359"/>
      <c r="BJ40" s="359"/>
      <c r="BK40" s="359"/>
      <c r="BL40" s="359"/>
      <c r="BM40" s="359"/>
      <c r="BN40" s="359"/>
      <c r="BO40" s="359"/>
      <c r="BP40" s="359"/>
      <c r="BQ40" s="359"/>
      <c r="BR40" s="359"/>
      <c r="BS40" s="359"/>
      <c r="BT40" s="359"/>
      <c r="BU40" s="359"/>
      <c r="BV40" s="359"/>
      <c r="BW40" s="359"/>
      <c r="BX40" s="359"/>
      <c r="BY40" s="359"/>
      <c r="BZ40" s="359"/>
      <c r="CA40" s="359"/>
      <c r="CB40" s="359"/>
      <c r="CC40" s="359"/>
      <c r="CD40" s="359"/>
      <c r="CE40" s="359"/>
      <c r="CF40" s="359"/>
      <c r="CG40" s="359"/>
      <c r="CH40" s="359"/>
      <c r="CK40" s="134" t="s">
        <v>376</v>
      </c>
      <c r="CN40" s="134" t="s">
        <v>377</v>
      </c>
    </row>
    <row r="41" s="134" customFormat="1" ht="60" customHeight="1" spans="1:92">
      <c r="A41" s="134">
        <v>34</v>
      </c>
      <c r="C41" s="443">
        <v>45651</v>
      </c>
      <c r="D41" s="134">
        <v>20240007440</v>
      </c>
      <c r="E41" s="1006" t="s">
        <v>614</v>
      </c>
      <c r="F41" s="429" t="s">
        <v>615</v>
      </c>
      <c r="G41" s="143" t="s">
        <v>616</v>
      </c>
      <c r="H41" s="128"/>
      <c r="I41" s="134" t="s">
        <v>370</v>
      </c>
      <c r="J41" s="134">
        <v>10</v>
      </c>
      <c r="K41" s="134">
        <v>206.2</v>
      </c>
      <c r="L41" s="134">
        <v>206.2</v>
      </c>
      <c r="M41" s="134">
        <v>25537.24</v>
      </c>
      <c r="N41" s="441">
        <v>5265780</v>
      </c>
      <c r="O41" s="359">
        <v>25537.24</v>
      </c>
      <c r="P41" s="134"/>
      <c r="Q41" s="145">
        <v>4830990.83</v>
      </c>
      <c r="R41" s="1006" t="s">
        <v>617</v>
      </c>
      <c r="S41" s="443">
        <v>45672</v>
      </c>
      <c r="T41" s="359"/>
      <c r="U41" s="138"/>
      <c r="V41" s="413"/>
      <c r="W41" s="138" t="s">
        <v>410</v>
      </c>
      <c r="X41" s="359">
        <v>50000</v>
      </c>
      <c r="Y41" s="413" t="s">
        <v>618</v>
      </c>
      <c r="Z41" s="359">
        <v>300000</v>
      </c>
      <c r="AA41" s="138" t="s">
        <v>619</v>
      </c>
      <c r="AB41" s="359">
        <v>650000</v>
      </c>
      <c r="AC41" s="138" t="s">
        <v>620</v>
      </c>
      <c r="AD41" s="359">
        <v>5780</v>
      </c>
      <c r="AE41" s="138" t="s">
        <v>621</v>
      </c>
      <c r="AF41" s="134">
        <v>2630000</v>
      </c>
      <c r="AG41" s="134" t="s">
        <v>622</v>
      </c>
      <c r="AH41" s="359">
        <v>200000</v>
      </c>
      <c r="AI41" s="138" t="s">
        <v>623</v>
      </c>
      <c r="AJ41" s="359">
        <f>200000+200000+50000+150000+200000+200000+210000+220000</f>
        <v>1430000</v>
      </c>
      <c r="AK41" s="413" t="s">
        <v>624</v>
      </c>
      <c r="AL41" s="359">
        <f t="shared" si="10"/>
        <v>5265780</v>
      </c>
      <c r="AO41" s="418">
        <f t="shared" si="12"/>
        <v>0</v>
      </c>
      <c r="AP41" s="134">
        <v>18196458777</v>
      </c>
      <c r="AT41" s="419">
        <f t="shared" si="8"/>
        <v>500</v>
      </c>
      <c r="AU41" s="419"/>
      <c r="AV41" s="359">
        <v>200</v>
      </c>
      <c r="AW41" s="359"/>
      <c r="AX41" s="359"/>
      <c r="AY41" s="359"/>
      <c r="AZ41" s="359"/>
      <c r="BA41" s="359">
        <v>300</v>
      </c>
      <c r="BB41" s="359"/>
      <c r="BC41" s="359">
        <f t="shared" si="9"/>
        <v>5265780</v>
      </c>
      <c r="BD41" s="513">
        <f>1%+0.25%</f>
        <v>0.0125</v>
      </c>
      <c r="BE41" s="359"/>
      <c r="BF41" s="359"/>
      <c r="BG41" s="359"/>
      <c r="BH41" s="359"/>
      <c r="BI41" s="359"/>
      <c r="BJ41" s="359"/>
      <c r="BK41" s="359"/>
      <c r="BL41" s="359"/>
      <c r="BM41" s="359"/>
      <c r="BN41" s="359"/>
      <c r="BO41" s="359"/>
      <c r="BP41" s="359"/>
      <c r="BQ41" s="359"/>
      <c r="BR41" s="359"/>
      <c r="BS41" s="359"/>
      <c r="BT41" s="359"/>
      <c r="BU41" s="359"/>
      <c r="BV41" s="359"/>
      <c r="BW41" s="359"/>
      <c r="BX41" s="359"/>
      <c r="BY41" s="359"/>
      <c r="BZ41" s="359"/>
      <c r="CA41" s="359"/>
      <c r="CB41" s="359"/>
      <c r="CC41" s="359">
        <v>5265780</v>
      </c>
      <c r="CD41" s="359"/>
      <c r="CE41" s="359"/>
      <c r="CF41" s="359"/>
      <c r="CG41" s="359"/>
      <c r="CH41" s="359"/>
      <c r="CI41" s="134"/>
      <c r="CK41" s="134" t="s">
        <v>376</v>
      </c>
      <c r="CN41" s="134" t="s">
        <v>377</v>
      </c>
    </row>
    <row r="42" s="134" customFormat="1" customHeight="1" spans="1:92">
      <c r="A42" s="134">
        <v>35</v>
      </c>
      <c r="C42" s="443">
        <v>45527</v>
      </c>
      <c r="D42" s="134">
        <v>20240004826</v>
      </c>
      <c r="F42" s="429" t="s">
        <v>625</v>
      </c>
      <c r="G42" s="134" t="s">
        <v>626</v>
      </c>
      <c r="H42" s="128"/>
      <c r="I42" s="134" t="s">
        <v>370</v>
      </c>
      <c r="J42" s="134">
        <v>11</v>
      </c>
      <c r="K42" s="134">
        <v>178.05</v>
      </c>
      <c r="L42" s="134">
        <v>178.05</v>
      </c>
      <c r="M42" s="134">
        <v>25669.65</v>
      </c>
      <c r="N42" s="441">
        <v>4570480</v>
      </c>
      <c r="O42" s="358">
        <v>25669.645</v>
      </c>
      <c r="Q42" s="145">
        <v>4193100.92</v>
      </c>
      <c r="R42" s="1006" t="s">
        <v>627</v>
      </c>
      <c r="S42" s="443">
        <v>45722</v>
      </c>
      <c r="T42" s="359"/>
      <c r="U42" s="138"/>
      <c r="V42" s="143"/>
      <c r="W42" s="138" t="s">
        <v>496</v>
      </c>
      <c r="X42" s="359">
        <f>100000+100000</f>
        <v>200000</v>
      </c>
      <c r="Y42" s="413" t="s">
        <v>628</v>
      </c>
      <c r="Z42" s="359">
        <v>500000</v>
      </c>
      <c r="AA42" s="138" t="s">
        <v>629</v>
      </c>
      <c r="AB42" s="359">
        <v>300000</v>
      </c>
      <c r="AC42" s="138" t="s">
        <v>588</v>
      </c>
      <c r="AD42" s="359">
        <v>200000</v>
      </c>
      <c r="AE42" s="138" t="s">
        <v>589</v>
      </c>
      <c r="AF42" s="359">
        <v>300000</v>
      </c>
      <c r="AG42" s="138" t="s">
        <v>630</v>
      </c>
      <c r="AH42" s="359">
        <v>100000</v>
      </c>
      <c r="AI42" s="138" t="s">
        <v>631</v>
      </c>
      <c r="AJ42" s="359">
        <f>300000+400000+300000+2000000-29520</f>
        <v>2970480</v>
      </c>
      <c r="AK42" s="143" t="s">
        <v>632</v>
      </c>
      <c r="AL42" s="359">
        <f t="shared" si="10"/>
        <v>4570480</v>
      </c>
      <c r="AO42" s="418">
        <f t="shared" si="12"/>
        <v>0</v>
      </c>
      <c r="AP42" s="134">
        <v>18099969889</v>
      </c>
      <c r="AT42" s="419">
        <f t="shared" ref="AT42:AT73" si="13">AU42+AV42+AW42+AX42+AY42+AZ42+BA42+BB42</f>
        <v>0</v>
      </c>
      <c r="AU42" s="419"/>
      <c r="AV42" s="359"/>
      <c r="AW42" s="359"/>
      <c r="AX42" s="359"/>
      <c r="AY42" s="359"/>
      <c r="AZ42" s="359"/>
      <c r="BA42" s="359"/>
      <c r="BB42" s="359"/>
      <c r="BC42" s="359">
        <f t="shared" ref="BC42:BC73" si="14">SUM(BE42:CH42)</f>
        <v>4570480</v>
      </c>
      <c r="BD42" s="513">
        <v>0.0138</v>
      </c>
      <c r="BE42" s="359"/>
      <c r="BF42" s="359"/>
      <c r="BG42" s="359"/>
      <c r="BH42" s="359"/>
      <c r="BI42" s="359"/>
      <c r="BJ42" s="359"/>
      <c r="BK42" s="359"/>
      <c r="BL42" s="359"/>
      <c r="BM42" s="359"/>
      <c r="BN42" s="359"/>
      <c r="BO42" s="359"/>
      <c r="BP42" s="359"/>
      <c r="BQ42" s="359"/>
      <c r="BR42" s="359">
        <v>2300000</v>
      </c>
      <c r="BS42" s="359">
        <v>2300000</v>
      </c>
      <c r="BT42" s="359"/>
      <c r="BU42" s="359"/>
      <c r="BV42" s="359"/>
      <c r="BW42" s="359"/>
      <c r="BX42" s="359"/>
      <c r="BY42" s="359"/>
      <c r="BZ42" s="359"/>
      <c r="CA42" s="359"/>
      <c r="CB42" s="359">
        <v>-29520</v>
      </c>
      <c r="CC42" s="359"/>
      <c r="CD42" s="359"/>
      <c r="CE42" s="359"/>
      <c r="CF42" s="359"/>
      <c r="CG42" s="359"/>
      <c r="CH42" s="359"/>
      <c r="CI42" s="134"/>
      <c r="CK42" s="134" t="s">
        <v>376</v>
      </c>
      <c r="CN42" s="134" t="s">
        <v>377</v>
      </c>
    </row>
    <row r="43" s="134" customFormat="1" ht="53" customHeight="1" spans="1:92">
      <c r="A43" s="134">
        <v>36</v>
      </c>
      <c r="C43" s="443">
        <v>45203</v>
      </c>
      <c r="D43" s="134">
        <v>20230008587</v>
      </c>
      <c r="E43" s="1006" t="s">
        <v>633</v>
      </c>
      <c r="F43" s="429" t="s">
        <v>634</v>
      </c>
      <c r="G43" s="143" t="s">
        <v>635</v>
      </c>
      <c r="H43" s="128"/>
      <c r="I43" s="134" t="s">
        <v>370</v>
      </c>
      <c r="J43" s="134">
        <v>12</v>
      </c>
      <c r="K43" s="134">
        <v>63.93</v>
      </c>
      <c r="L43" s="134">
        <v>63.93</v>
      </c>
      <c r="M43" s="134">
        <v>20000</v>
      </c>
      <c r="N43" s="441">
        <v>1278600</v>
      </c>
      <c r="O43" s="359">
        <v>19919.88</v>
      </c>
      <c r="Q43" s="145">
        <v>1173027.52</v>
      </c>
      <c r="R43" s="1006" t="s">
        <v>636</v>
      </c>
      <c r="S43" s="443">
        <v>45722</v>
      </c>
      <c r="T43" s="359"/>
      <c r="V43" s="143" t="s">
        <v>637</v>
      </c>
      <c r="W43" s="143" t="s">
        <v>638</v>
      </c>
      <c r="X43" s="359">
        <f>10000</f>
        <v>10000</v>
      </c>
      <c r="Y43" s="413" t="s">
        <v>639</v>
      </c>
      <c r="Z43" s="359">
        <v>90000</v>
      </c>
      <c r="AA43" s="417" t="s">
        <v>458</v>
      </c>
      <c r="AB43" s="359">
        <v>550000</v>
      </c>
      <c r="AC43" s="134" t="s">
        <v>640</v>
      </c>
      <c r="AD43" s="359">
        <v>200000</v>
      </c>
      <c r="AE43" s="134" t="s">
        <v>641</v>
      </c>
      <c r="AF43" s="359">
        <v>390000</v>
      </c>
      <c r="AG43" s="134" t="s">
        <v>642</v>
      </c>
      <c r="AH43" s="134">
        <v>46800</v>
      </c>
      <c r="AI43" s="134" t="s">
        <v>643</v>
      </c>
      <c r="AJ43" s="134">
        <v>-8200</v>
      </c>
      <c r="AL43" s="359">
        <f t="shared" si="10"/>
        <v>1278600</v>
      </c>
      <c r="AO43" s="418">
        <f t="shared" si="12"/>
        <v>0</v>
      </c>
      <c r="AP43" s="134">
        <v>18999613918</v>
      </c>
      <c r="AT43" s="419">
        <f t="shared" si="13"/>
        <v>900</v>
      </c>
      <c r="AU43" s="419"/>
      <c r="AV43" s="359"/>
      <c r="AW43" s="359">
        <v>200</v>
      </c>
      <c r="AX43" s="359"/>
      <c r="AY43" s="359">
        <v>200</v>
      </c>
      <c r="AZ43" s="359">
        <v>200</v>
      </c>
      <c r="BA43" s="359"/>
      <c r="BB43" s="359">
        <v>300</v>
      </c>
      <c r="BC43" s="359">
        <f t="shared" si="14"/>
        <v>1278600</v>
      </c>
      <c r="BD43" s="513">
        <v>0.012</v>
      </c>
      <c r="BE43" s="359"/>
      <c r="BF43" s="359"/>
      <c r="BG43" s="359"/>
      <c r="BH43" s="359"/>
      <c r="BI43" s="359"/>
      <c r="BJ43" s="359"/>
      <c r="BK43" s="359"/>
      <c r="BL43" s="359"/>
      <c r="BM43" s="359">
        <v>1286800</v>
      </c>
      <c r="BN43" s="359"/>
      <c r="BO43" s="359"/>
      <c r="BP43" s="359"/>
      <c r="BQ43" s="359"/>
      <c r="BR43" s="359"/>
      <c r="BS43" s="359"/>
      <c r="BT43" s="359"/>
      <c r="BU43" s="359"/>
      <c r="BV43" s="359"/>
      <c r="BW43" s="359"/>
      <c r="BX43" s="359"/>
      <c r="BY43" s="359"/>
      <c r="BZ43" s="359"/>
      <c r="CA43" s="359"/>
      <c r="CB43" s="359">
        <v>-8200</v>
      </c>
      <c r="CC43" s="359"/>
      <c r="CD43" s="359"/>
      <c r="CE43" s="359"/>
      <c r="CF43" s="359"/>
      <c r="CG43" s="359"/>
      <c r="CH43" s="359"/>
      <c r="CI43" s="134"/>
      <c r="CK43" s="134" t="s">
        <v>376</v>
      </c>
      <c r="CL43" s="134" t="s">
        <v>387</v>
      </c>
      <c r="CN43" s="134" t="s">
        <v>377</v>
      </c>
    </row>
    <row r="44" s="134" customFormat="1" ht="57" customHeight="1" spans="1:92">
      <c r="A44" s="134">
        <v>37</v>
      </c>
      <c r="C44" s="443">
        <v>45201</v>
      </c>
      <c r="D44" s="134">
        <v>20230008471</v>
      </c>
      <c r="E44" s="1006" t="s">
        <v>644</v>
      </c>
      <c r="F44" s="429" t="s">
        <v>645</v>
      </c>
      <c r="G44" s="143" t="s">
        <v>646</v>
      </c>
      <c r="H44" s="128"/>
      <c r="I44" s="134" t="s">
        <v>370</v>
      </c>
      <c r="J44" s="134">
        <v>13</v>
      </c>
      <c r="K44" s="134">
        <v>63.93</v>
      </c>
      <c r="L44" s="134">
        <v>63.93</v>
      </c>
      <c r="M44" s="134">
        <v>20027.58</v>
      </c>
      <c r="N44" s="441">
        <v>1280364</v>
      </c>
      <c r="O44" s="359">
        <v>19827.58</v>
      </c>
      <c r="P44" s="134"/>
      <c r="Q44" s="145">
        <v>1174645.87</v>
      </c>
      <c r="R44" s="1006" t="s">
        <v>647</v>
      </c>
      <c r="S44" s="443">
        <v>45722</v>
      </c>
      <c r="T44" s="359"/>
      <c r="V44" s="143" t="s">
        <v>648</v>
      </c>
      <c r="W44" s="143" t="s">
        <v>649</v>
      </c>
      <c r="X44" s="359">
        <v>5000</v>
      </c>
      <c r="Y44" s="413">
        <v>44780</v>
      </c>
      <c r="Z44" s="359">
        <v>95000</v>
      </c>
      <c r="AA44" s="417" t="s">
        <v>458</v>
      </c>
      <c r="AB44" s="359">
        <v>548575</v>
      </c>
      <c r="AC44" s="134" t="s">
        <v>430</v>
      </c>
      <c r="AD44" s="359">
        <v>640000</v>
      </c>
      <c r="AE44" s="134" t="s">
        <v>650</v>
      </c>
      <c r="AF44" s="134">
        <v>-8211</v>
      </c>
      <c r="AL44" s="359">
        <f t="shared" si="10"/>
        <v>1280364</v>
      </c>
      <c r="AO44" s="418">
        <f t="shared" ref="AO44:AO50" si="15">N44-AL44</f>
        <v>0</v>
      </c>
      <c r="AP44" s="134">
        <v>15299373632</v>
      </c>
      <c r="AT44" s="419">
        <f t="shared" si="13"/>
        <v>500</v>
      </c>
      <c r="AU44" s="419"/>
      <c r="AV44" s="359"/>
      <c r="AW44" s="359">
        <v>200</v>
      </c>
      <c r="AX44" s="359"/>
      <c r="AY44" s="359"/>
      <c r="AZ44" s="359"/>
      <c r="BA44" s="359"/>
      <c r="BB44" s="359">
        <v>300</v>
      </c>
      <c r="BC44" s="359">
        <f t="shared" si="14"/>
        <v>1280364</v>
      </c>
      <c r="BD44" s="513">
        <v>0.0143</v>
      </c>
      <c r="BE44" s="359"/>
      <c r="BF44" s="359"/>
      <c r="BG44" s="359"/>
      <c r="BH44" s="359"/>
      <c r="BI44" s="359"/>
      <c r="BJ44" s="359">
        <v>1288575</v>
      </c>
      <c r="BK44" s="359"/>
      <c r="BL44" s="359"/>
      <c r="BM44" s="359"/>
      <c r="BN44" s="359"/>
      <c r="BO44" s="359"/>
      <c r="BP44" s="359"/>
      <c r="BQ44" s="359"/>
      <c r="BR44" s="359"/>
      <c r="BS44" s="359"/>
      <c r="BT44" s="359"/>
      <c r="BU44" s="359"/>
      <c r="BV44" s="359"/>
      <c r="BW44" s="359"/>
      <c r="BX44" s="359"/>
      <c r="BY44" s="359"/>
      <c r="BZ44" s="359"/>
      <c r="CA44" s="359"/>
      <c r="CB44" s="359">
        <v>-8211</v>
      </c>
      <c r="CC44" s="359"/>
      <c r="CD44" s="359"/>
      <c r="CE44" s="359"/>
      <c r="CF44" s="359"/>
      <c r="CG44" s="359"/>
      <c r="CH44" s="359"/>
      <c r="CI44" s="134"/>
      <c r="CK44" s="134" t="s">
        <v>376</v>
      </c>
      <c r="CL44" s="134" t="s">
        <v>387</v>
      </c>
      <c r="CN44" s="134" t="s">
        <v>377</v>
      </c>
    </row>
    <row r="45" s="134" customFormat="1" customHeight="1" spans="1:92">
      <c r="A45" s="134">
        <v>38</v>
      </c>
      <c r="B45" s="134"/>
      <c r="C45" s="443">
        <v>45618</v>
      </c>
      <c r="D45" s="134">
        <v>20240007405</v>
      </c>
      <c r="E45" s="1006" t="s">
        <v>651</v>
      </c>
      <c r="F45" s="429" t="s">
        <v>652</v>
      </c>
      <c r="G45" s="143" t="s">
        <v>653</v>
      </c>
      <c r="H45" s="128"/>
      <c r="I45" s="134" t="s">
        <v>370</v>
      </c>
      <c r="J45" s="134">
        <v>14</v>
      </c>
      <c r="K45" s="134">
        <v>112.41</v>
      </c>
      <c r="L45" s="134">
        <v>112.41</v>
      </c>
      <c r="M45" s="134">
        <v>17347.21</v>
      </c>
      <c r="N45" s="441">
        <v>1950000</v>
      </c>
      <c r="O45" s="359">
        <v>16848</v>
      </c>
      <c r="Q45" s="145">
        <v>1788990.83</v>
      </c>
      <c r="R45" s="1006" t="s">
        <v>654</v>
      </c>
      <c r="S45" s="443">
        <v>45722</v>
      </c>
      <c r="T45" s="359"/>
      <c r="U45" s="138"/>
      <c r="W45" s="143" t="s">
        <v>655</v>
      </c>
      <c r="X45" s="359">
        <f>30000-30000</f>
        <v>0</v>
      </c>
      <c r="Y45" s="413">
        <v>45561</v>
      </c>
      <c r="Z45" s="359">
        <v>20000</v>
      </c>
      <c r="AA45" s="138" t="s">
        <v>656</v>
      </c>
      <c r="AB45" s="359">
        <v>1090000</v>
      </c>
      <c r="AC45" s="138" t="s">
        <v>620</v>
      </c>
      <c r="AD45" s="359">
        <v>840000</v>
      </c>
      <c r="AE45" s="138" t="s">
        <v>657</v>
      </c>
      <c r="AL45" s="359">
        <f t="shared" si="10"/>
        <v>1950000</v>
      </c>
      <c r="AO45" s="418">
        <f t="shared" si="15"/>
        <v>0</v>
      </c>
      <c r="AP45" s="134">
        <v>13920917173</v>
      </c>
      <c r="AT45" s="419">
        <f t="shared" si="13"/>
        <v>0</v>
      </c>
      <c r="AU45" s="143"/>
      <c r="BC45" s="359">
        <f t="shared" si="14"/>
        <v>1950000</v>
      </c>
      <c r="BD45" s="140">
        <f>1%+0.18%+0.25%+0.03%</f>
        <v>0.0146</v>
      </c>
      <c r="BV45" s="134">
        <v>1110000</v>
      </c>
      <c r="BW45" s="134">
        <v>840000</v>
      </c>
      <c r="CK45" s="134" t="s">
        <v>376</v>
      </c>
      <c r="CN45" s="134" t="s">
        <v>377</v>
      </c>
    </row>
    <row r="46" s="134" customFormat="1" ht="38" customHeight="1" spans="1:92">
      <c r="A46" s="134">
        <v>39</v>
      </c>
      <c r="C46" s="443">
        <v>45566</v>
      </c>
      <c r="D46" s="134">
        <v>20240005606</v>
      </c>
      <c r="E46" s="1006" t="s">
        <v>658</v>
      </c>
      <c r="F46" s="429" t="s">
        <v>659</v>
      </c>
      <c r="G46" s="143" t="s">
        <v>660</v>
      </c>
      <c r="H46" s="128"/>
      <c r="I46" s="134" t="s">
        <v>370</v>
      </c>
      <c r="J46" s="134">
        <v>15</v>
      </c>
      <c r="K46" s="134">
        <v>67.42</v>
      </c>
      <c r="L46" s="134">
        <v>67.42</v>
      </c>
      <c r="M46" s="134">
        <v>17479.73</v>
      </c>
      <c r="N46" s="441">
        <v>1178483</v>
      </c>
      <c r="O46" s="359">
        <v>17470.41</v>
      </c>
      <c r="Q46" s="145">
        <v>1081177.06</v>
      </c>
      <c r="R46" s="1006" t="s">
        <v>661</v>
      </c>
      <c r="S46" s="443">
        <v>45590</v>
      </c>
      <c r="T46" s="359"/>
      <c r="U46" s="138"/>
      <c r="V46" s="134"/>
      <c r="W46" s="143" t="s">
        <v>662</v>
      </c>
      <c r="X46" s="134">
        <v>20000</v>
      </c>
      <c r="Y46" s="413" t="s">
        <v>663</v>
      </c>
      <c r="Z46" s="359">
        <v>376000</v>
      </c>
      <c r="AA46" s="138">
        <v>45553</v>
      </c>
      <c r="AB46" s="359">
        <v>590000</v>
      </c>
      <c r="AC46" s="138" t="s">
        <v>664</v>
      </c>
      <c r="AD46" s="359">
        <v>200000</v>
      </c>
      <c r="AE46" s="138" t="s">
        <v>665</v>
      </c>
      <c r="AF46" s="359">
        <v>-7517</v>
      </c>
      <c r="AG46" s="138"/>
      <c r="AL46" s="359">
        <f t="shared" si="10"/>
        <v>1178483</v>
      </c>
      <c r="AO46" s="418">
        <f t="shared" si="15"/>
        <v>0</v>
      </c>
      <c r="AP46" s="134">
        <v>15739818996</v>
      </c>
      <c r="AT46" s="419">
        <f t="shared" si="13"/>
        <v>200</v>
      </c>
      <c r="AU46" s="419"/>
      <c r="AV46" s="359">
        <v>200</v>
      </c>
      <c r="AW46" s="359"/>
      <c r="AX46" s="359"/>
      <c r="AY46" s="359"/>
      <c r="AZ46" s="359"/>
      <c r="BA46" s="359"/>
      <c r="BB46" s="359"/>
      <c r="BC46" s="359">
        <f t="shared" si="14"/>
        <v>1178483</v>
      </c>
      <c r="BD46" s="513">
        <v>0.0125</v>
      </c>
      <c r="BE46" s="359"/>
      <c r="BF46" s="359"/>
      <c r="BG46" s="359"/>
      <c r="BH46" s="359"/>
      <c r="BI46" s="359"/>
      <c r="BJ46" s="359"/>
      <c r="BK46" s="359"/>
      <c r="BL46" s="359"/>
      <c r="BM46" s="359"/>
      <c r="BN46" s="359"/>
      <c r="BO46" s="359"/>
      <c r="BP46" s="359"/>
      <c r="BQ46" s="359"/>
      <c r="BR46" s="359"/>
      <c r="BS46" s="359"/>
      <c r="BT46" s="359"/>
      <c r="BU46" s="359"/>
      <c r="BV46" s="359"/>
      <c r="BW46" s="359">
        <v>1178483</v>
      </c>
      <c r="BX46" s="359"/>
      <c r="BY46" s="359"/>
      <c r="BZ46" s="359"/>
      <c r="CA46" s="359"/>
      <c r="CB46" s="359"/>
      <c r="CC46" s="359"/>
      <c r="CD46" s="359"/>
      <c r="CE46" s="359"/>
      <c r="CF46" s="359"/>
      <c r="CG46" s="359"/>
      <c r="CH46" s="359"/>
      <c r="CI46" s="134"/>
      <c r="CK46" s="134" t="s">
        <v>376</v>
      </c>
      <c r="CN46" s="134" t="s">
        <v>377</v>
      </c>
    </row>
    <row r="47" s="134" customFormat="1" customHeight="1" spans="1:92">
      <c r="A47" s="134">
        <v>40</v>
      </c>
      <c r="C47" s="443">
        <v>45386</v>
      </c>
      <c r="D47" s="134">
        <v>20240001898</v>
      </c>
      <c r="E47" s="1006" t="s">
        <v>666</v>
      </c>
      <c r="F47" s="429" t="s">
        <v>667</v>
      </c>
      <c r="G47" s="134" t="s">
        <v>668</v>
      </c>
      <c r="H47" s="128"/>
      <c r="I47" s="134" t="s">
        <v>370</v>
      </c>
      <c r="J47" s="134">
        <v>16</v>
      </c>
      <c r="K47" s="134">
        <v>110.21</v>
      </c>
      <c r="L47" s="134">
        <v>110.21</v>
      </c>
      <c r="M47" s="134">
        <v>17100</v>
      </c>
      <c r="N47" s="441">
        <v>1884591</v>
      </c>
      <c r="O47" s="359">
        <v>17100</v>
      </c>
      <c r="P47" s="134"/>
      <c r="Q47" s="145">
        <v>1728982.57</v>
      </c>
      <c r="R47" s="1006" t="s">
        <v>669</v>
      </c>
      <c r="S47" s="443">
        <v>45730</v>
      </c>
      <c r="T47" s="359"/>
      <c r="W47" s="134" t="s">
        <v>662</v>
      </c>
      <c r="X47" s="359">
        <v>100000</v>
      </c>
      <c r="Y47" s="413" t="s">
        <v>642</v>
      </c>
      <c r="Z47" s="359">
        <v>290000</v>
      </c>
      <c r="AA47" s="134" t="s">
        <v>670</v>
      </c>
      <c r="AB47" s="134">
        <v>810000</v>
      </c>
      <c r="AC47" s="417" t="s">
        <v>670</v>
      </c>
      <c r="AD47" s="134">
        <v>6732</v>
      </c>
      <c r="AE47" s="134" t="s">
        <v>671</v>
      </c>
      <c r="AF47" s="359">
        <v>690000</v>
      </c>
      <c r="AG47" s="134" t="s">
        <v>672</v>
      </c>
      <c r="AH47" s="134">
        <v>-12141</v>
      </c>
      <c r="AL47" s="359">
        <f t="shared" si="10"/>
        <v>1884591</v>
      </c>
      <c r="AO47" s="418">
        <f t="shared" ref="AO46:AO53" si="16">N47-AL47</f>
        <v>0</v>
      </c>
      <c r="AP47" s="134">
        <v>15199929062</v>
      </c>
      <c r="AT47" s="419">
        <f t="shared" si="13"/>
        <v>0</v>
      </c>
      <c r="AU47" s="143"/>
      <c r="BC47" s="359">
        <f t="shared" si="14"/>
        <v>1884591</v>
      </c>
      <c r="BD47" s="140">
        <f>1%+0.2%</f>
        <v>0.012</v>
      </c>
      <c r="BO47" s="134">
        <v>1896732</v>
      </c>
      <c r="CB47" s="134">
        <v>-12141</v>
      </c>
      <c r="CK47" s="134" t="s">
        <v>376</v>
      </c>
      <c r="CL47" s="134" t="s">
        <v>387</v>
      </c>
      <c r="CN47" s="134" t="s">
        <v>377</v>
      </c>
    </row>
    <row r="48" s="134" customFormat="1" customHeight="1" spans="1:92">
      <c r="A48" s="134">
        <v>41</v>
      </c>
      <c r="C48" s="443">
        <v>45203</v>
      </c>
      <c r="D48" s="134">
        <v>20230008599</v>
      </c>
      <c r="E48" s="1006" t="s">
        <v>673</v>
      </c>
      <c r="F48" s="429" t="s">
        <v>674</v>
      </c>
      <c r="G48" s="134" t="s">
        <v>675</v>
      </c>
      <c r="H48" s="128"/>
      <c r="I48" s="134" t="s">
        <v>370</v>
      </c>
      <c r="J48" s="134">
        <v>17</v>
      </c>
      <c r="K48" s="134">
        <v>50.88</v>
      </c>
      <c r="L48" s="134">
        <v>50.88</v>
      </c>
      <c r="M48" s="134">
        <v>17965.24</v>
      </c>
      <c r="N48" s="441">
        <v>914071</v>
      </c>
      <c r="O48" s="359">
        <v>17813.85</v>
      </c>
      <c r="P48" s="134"/>
      <c r="Q48" s="145">
        <v>838597.25</v>
      </c>
      <c r="R48" s="1006" t="s">
        <v>676</v>
      </c>
      <c r="S48" s="443">
        <v>45730</v>
      </c>
      <c r="T48" s="359"/>
      <c r="W48" s="134" t="s">
        <v>677</v>
      </c>
      <c r="X48" s="359">
        <v>50000</v>
      </c>
      <c r="Y48" s="413" t="s">
        <v>629</v>
      </c>
      <c r="Z48" s="359">
        <f>860000+10000</f>
        <v>870000</v>
      </c>
      <c r="AA48" s="134" t="s">
        <v>563</v>
      </c>
      <c r="AB48" s="134">
        <v>-5928</v>
      </c>
      <c r="AC48" s="417"/>
      <c r="AJ48" s="134">
        <v>-1</v>
      </c>
      <c r="AK48" s="561"/>
      <c r="AL48" s="359">
        <f t="shared" si="10"/>
        <v>914071</v>
      </c>
      <c r="AO48" s="418">
        <f t="shared" si="15"/>
        <v>0</v>
      </c>
      <c r="AP48" s="134">
        <v>18299830920</v>
      </c>
      <c r="AT48" s="419">
        <f t="shared" si="13"/>
        <v>0</v>
      </c>
      <c r="AU48" s="143"/>
      <c r="BC48" s="359">
        <f t="shared" si="14"/>
        <v>914072</v>
      </c>
      <c r="BD48" s="140">
        <f>1%+0.18%+0.25%</f>
        <v>0.0143</v>
      </c>
      <c r="BH48" s="134">
        <v>920000</v>
      </c>
      <c r="CB48" s="134">
        <v>-5928</v>
      </c>
      <c r="CK48" s="134" t="s">
        <v>376</v>
      </c>
      <c r="CL48" s="134" t="s">
        <v>387</v>
      </c>
      <c r="CN48" s="134" t="s">
        <v>377</v>
      </c>
    </row>
    <row r="49" s="134" customFormat="1" customHeight="1" spans="1:92">
      <c r="A49" s="134">
        <v>42</v>
      </c>
      <c r="C49" s="443">
        <v>45203</v>
      </c>
      <c r="D49" s="134">
        <v>20230008608</v>
      </c>
      <c r="E49" s="1006" t="s">
        <v>678</v>
      </c>
      <c r="F49" s="429" t="s">
        <v>679</v>
      </c>
      <c r="G49" s="134" t="s">
        <v>680</v>
      </c>
      <c r="H49" s="128"/>
      <c r="I49" s="134" t="s">
        <v>370</v>
      </c>
      <c r="J49" s="134">
        <v>18</v>
      </c>
      <c r="K49" s="134">
        <v>50.88</v>
      </c>
      <c r="L49" s="134">
        <v>50.88</v>
      </c>
      <c r="M49" s="134">
        <v>18121.46</v>
      </c>
      <c r="N49" s="441">
        <v>922020</v>
      </c>
      <c r="O49" s="359">
        <v>17998.45</v>
      </c>
      <c r="Q49" s="145">
        <v>845889.91</v>
      </c>
      <c r="R49" s="1006" t="s">
        <v>681</v>
      </c>
      <c r="S49" s="443">
        <v>45730</v>
      </c>
      <c r="T49" s="359"/>
      <c r="W49" s="134" t="s">
        <v>677</v>
      </c>
      <c r="X49" s="359">
        <v>50000</v>
      </c>
      <c r="Y49" s="413" t="s">
        <v>629</v>
      </c>
      <c r="Z49" s="359">
        <v>418000</v>
      </c>
      <c r="AA49" s="134" t="s">
        <v>563</v>
      </c>
      <c r="AB49" s="359">
        <v>460000</v>
      </c>
      <c r="AC49" s="134" t="s">
        <v>682</v>
      </c>
      <c r="AD49" s="134">
        <v>-5980</v>
      </c>
      <c r="AL49" s="359">
        <f t="shared" si="10"/>
        <v>922020</v>
      </c>
      <c r="AO49" s="418">
        <f t="shared" si="15"/>
        <v>0</v>
      </c>
      <c r="AP49" s="134">
        <v>13667531562</v>
      </c>
      <c r="AT49" s="419">
        <f t="shared" si="13"/>
        <v>0</v>
      </c>
      <c r="AU49" s="143"/>
      <c r="BC49" s="359">
        <f t="shared" si="14"/>
        <v>922020</v>
      </c>
      <c r="BD49" s="140">
        <f>1%+0.18%+0.25%</f>
        <v>0.0143</v>
      </c>
      <c r="BH49" s="134">
        <v>468000</v>
      </c>
      <c r="BK49" s="134">
        <v>460000</v>
      </c>
      <c r="CB49" s="134">
        <v>-5980</v>
      </c>
      <c r="CK49" s="134" t="s">
        <v>376</v>
      </c>
      <c r="CL49" s="134" t="s">
        <v>387</v>
      </c>
      <c r="CN49" s="134" t="s">
        <v>377</v>
      </c>
    </row>
    <row r="50" s="134" customFormat="1" customHeight="1" spans="1:92">
      <c r="A50" s="134">
        <v>43</v>
      </c>
      <c r="B50" s="134"/>
      <c r="C50" s="443">
        <v>45935</v>
      </c>
      <c r="D50" s="134">
        <v>20250005100</v>
      </c>
      <c r="E50" s="1006" t="s">
        <v>683</v>
      </c>
      <c r="F50" s="429" t="s">
        <v>684</v>
      </c>
      <c r="G50" s="134" t="s">
        <v>685</v>
      </c>
      <c r="H50" s="128"/>
      <c r="I50" s="134" t="s">
        <v>370</v>
      </c>
      <c r="J50" s="134">
        <v>19</v>
      </c>
      <c r="K50" s="134">
        <v>102.97</v>
      </c>
      <c r="L50" s="134">
        <v>102.97</v>
      </c>
      <c r="M50" s="134">
        <v>16500</v>
      </c>
      <c r="N50" s="441">
        <v>1699005</v>
      </c>
      <c r="O50" s="359">
        <v>16500</v>
      </c>
      <c r="P50" s="134"/>
      <c r="Q50" s="145">
        <v>1558720.18</v>
      </c>
      <c r="R50" s="1006" t="s">
        <v>686</v>
      </c>
      <c r="S50" s="138">
        <v>45939</v>
      </c>
      <c r="T50" s="359"/>
      <c r="U50" s="138"/>
      <c r="W50" s="134" t="s">
        <v>687</v>
      </c>
      <c r="X50" s="359">
        <f>100000+96000</f>
        <v>196000</v>
      </c>
      <c r="Y50" s="138" t="s">
        <v>688</v>
      </c>
      <c r="Z50" s="359">
        <v>663005</v>
      </c>
      <c r="AA50" s="138">
        <v>45935</v>
      </c>
      <c r="AB50" s="359">
        <v>120000</v>
      </c>
      <c r="AC50" s="138">
        <v>45990</v>
      </c>
      <c r="AD50" s="359">
        <v>200000</v>
      </c>
      <c r="AE50" s="138">
        <v>45994</v>
      </c>
      <c r="AF50" s="134">
        <v>100000</v>
      </c>
      <c r="AG50" s="134" t="s">
        <v>689</v>
      </c>
      <c r="AH50" s="134">
        <v>420000</v>
      </c>
      <c r="AI50" s="138">
        <v>46006</v>
      </c>
      <c r="AL50" s="359">
        <f t="shared" si="10"/>
        <v>1699005</v>
      </c>
      <c r="AO50" s="418">
        <f t="shared" si="15"/>
        <v>0</v>
      </c>
      <c r="AQ50" s="134" t="s">
        <v>690</v>
      </c>
      <c r="AT50" s="419">
        <f t="shared" si="13"/>
        <v>0</v>
      </c>
      <c r="AU50" s="143"/>
      <c r="BC50" s="359">
        <f t="shared" si="14"/>
        <v>1699005</v>
      </c>
      <c r="BD50" s="140">
        <f>1%+0.18%+0.2%+0.03%</f>
        <v>0.0141</v>
      </c>
      <c r="CD50" s="134">
        <v>859005</v>
      </c>
      <c r="CE50" s="134">
        <v>840000</v>
      </c>
      <c r="CK50" s="134" t="s">
        <v>691</v>
      </c>
      <c r="CN50" s="134" t="s">
        <v>692</v>
      </c>
    </row>
    <row r="51" s="134" customFormat="1" customHeight="1" spans="1:92">
      <c r="A51" s="134">
        <v>44</v>
      </c>
      <c r="C51" s="443">
        <v>45533</v>
      </c>
      <c r="D51" s="134">
        <v>20240004964</v>
      </c>
      <c r="F51" s="429" t="s">
        <v>693</v>
      </c>
      <c r="G51" s="134" t="s">
        <v>694</v>
      </c>
      <c r="H51" s="128"/>
      <c r="I51" s="134" t="s">
        <v>477</v>
      </c>
      <c r="J51" s="134">
        <v>1</v>
      </c>
      <c r="K51" s="134">
        <v>124.63</v>
      </c>
      <c r="L51" s="134">
        <v>124.63</v>
      </c>
      <c r="M51" s="134">
        <v>9538.95</v>
      </c>
      <c r="N51" s="441">
        <v>1188840</v>
      </c>
      <c r="O51" s="359">
        <v>9538.95</v>
      </c>
      <c r="Q51" s="145">
        <v>1090678.9</v>
      </c>
      <c r="R51" s="1006" t="s">
        <v>695</v>
      </c>
      <c r="S51" s="443">
        <v>45730</v>
      </c>
      <c r="T51" s="359"/>
      <c r="U51" s="134"/>
      <c r="X51" s="359">
        <v>600000</v>
      </c>
      <c r="Y51" s="413" t="s">
        <v>619</v>
      </c>
      <c r="Z51" s="359">
        <v>200000</v>
      </c>
      <c r="AA51" s="417" t="s">
        <v>696</v>
      </c>
      <c r="AB51" s="359">
        <v>400000</v>
      </c>
      <c r="AC51" s="134" t="s">
        <v>697</v>
      </c>
      <c r="AD51" s="134">
        <v>-11160</v>
      </c>
      <c r="AL51" s="359">
        <f t="shared" si="10"/>
        <v>1188840</v>
      </c>
      <c r="AO51" s="418">
        <f t="shared" si="16"/>
        <v>0</v>
      </c>
      <c r="AP51" s="134">
        <v>15276156276</v>
      </c>
      <c r="AQ51" s="134" t="s">
        <v>502</v>
      </c>
      <c r="AT51" s="419">
        <f t="shared" si="13"/>
        <v>0</v>
      </c>
      <c r="AU51" s="143"/>
      <c r="BC51" s="359">
        <f t="shared" si="14"/>
        <v>1188840</v>
      </c>
      <c r="BD51" s="513">
        <v>0.012</v>
      </c>
      <c r="BR51" s="134">
        <v>800000</v>
      </c>
      <c r="BS51" s="134">
        <v>400000</v>
      </c>
      <c r="CB51" s="134">
        <v>-11160</v>
      </c>
      <c r="CK51" s="134" t="s">
        <v>376</v>
      </c>
      <c r="CN51" s="134" t="s">
        <v>377</v>
      </c>
    </row>
    <row r="52" s="134" customFormat="1" customHeight="1" spans="1:92">
      <c r="A52" s="134">
        <v>45</v>
      </c>
      <c r="C52" s="443">
        <v>45530</v>
      </c>
      <c r="D52" s="134">
        <v>20240004848</v>
      </c>
      <c r="F52" s="429" t="s">
        <v>698</v>
      </c>
      <c r="G52" s="134" t="s">
        <v>699</v>
      </c>
      <c r="H52" s="128"/>
      <c r="I52" s="134" t="s">
        <v>477</v>
      </c>
      <c r="J52" s="134">
        <v>2</v>
      </c>
      <c r="K52" s="134">
        <v>123.99</v>
      </c>
      <c r="L52" s="134">
        <v>123.99</v>
      </c>
      <c r="M52" s="134">
        <v>8950</v>
      </c>
      <c r="N52" s="441">
        <v>1109711</v>
      </c>
      <c r="O52" s="359">
        <v>8928.62</v>
      </c>
      <c r="Q52" s="145">
        <v>1018083.49</v>
      </c>
      <c r="R52" s="1006" t="s">
        <v>700</v>
      </c>
      <c r="S52" s="443">
        <v>45730</v>
      </c>
      <c r="T52" s="359"/>
      <c r="U52" s="138"/>
      <c r="W52" s="134" t="s">
        <v>383</v>
      </c>
      <c r="X52" s="359">
        <v>10000</v>
      </c>
      <c r="Y52" s="413" t="s">
        <v>402</v>
      </c>
      <c r="Z52" s="359">
        <v>40000</v>
      </c>
      <c r="AA52" s="134" t="s">
        <v>701</v>
      </c>
      <c r="AB52" s="359">
        <f>1000+50000+147000+22000</f>
        <v>220000</v>
      </c>
      <c r="AC52" s="417"/>
      <c r="AD52" s="359">
        <v>190093</v>
      </c>
      <c r="AE52" s="134" t="s">
        <v>473</v>
      </c>
      <c r="AF52" s="359">
        <v>560000</v>
      </c>
      <c r="AG52" s="138">
        <v>45562</v>
      </c>
      <c r="AH52" s="359">
        <v>100000</v>
      </c>
      <c r="AI52" s="138" t="s">
        <v>702</v>
      </c>
      <c r="AJ52" s="134">
        <v>-10382</v>
      </c>
      <c r="AL52" s="359">
        <f t="shared" si="10"/>
        <v>1109711</v>
      </c>
      <c r="AO52" s="418">
        <f t="shared" si="16"/>
        <v>0</v>
      </c>
      <c r="AP52" s="134">
        <v>15276287083</v>
      </c>
      <c r="AT52" s="419">
        <f t="shared" si="13"/>
        <v>0</v>
      </c>
      <c r="AU52" s="143"/>
      <c r="BC52" s="359">
        <f t="shared" si="14"/>
        <v>1109711</v>
      </c>
      <c r="BD52" s="140">
        <f>1%+0.14%</f>
        <v>0.0114</v>
      </c>
      <c r="BT52" s="134">
        <v>1120093</v>
      </c>
      <c r="CB52" s="134">
        <v>-10382</v>
      </c>
      <c r="CK52" s="134" t="s">
        <v>376</v>
      </c>
      <c r="CN52" s="134" t="s">
        <v>377</v>
      </c>
    </row>
    <row r="53" s="134" customFormat="1" ht="48" customHeight="1" spans="1:92">
      <c r="A53" s="134">
        <v>46</v>
      </c>
      <c r="B53" s="134"/>
      <c r="C53" s="443">
        <v>45587</v>
      </c>
      <c r="D53" s="134">
        <v>20240006221</v>
      </c>
      <c r="F53" s="429" t="s">
        <v>703</v>
      </c>
      <c r="G53" s="143" t="s">
        <v>704</v>
      </c>
      <c r="H53" s="128"/>
      <c r="I53" s="134" t="s">
        <v>477</v>
      </c>
      <c r="J53" s="134">
        <v>3</v>
      </c>
      <c r="K53" s="134">
        <v>119.5</v>
      </c>
      <c r="L53" s="134">
        <v>119.5</v>
      </c>
      <c r="M53" s="134">
        <v>9119.55</v>
      </c>
      <c r="N53" s="441">
        <v>1089787</v>
      </c>
      <c r="O53" s="359">
        <v>9000</v>
      </c>
      <c r="P53" s="134"/>
      <c r="Q53" s="145">
        <v>999804.59</v>
      </c>
      <c r="R53" s="1006" t="s">
        <v>705</v>
      </c>
      <c r="S53" s="443">
        <v>45705</v>
      </c>
      <c r="T53" s="359"/>
      <c r="U53" s="134"/>
      <c r="W53" s="143" t="s">
        <v>706</v>
      </c>
      <c r="X53" s="359">
        <f>20000-20000</f>
        <v>0</v>
      </c>
      <c r="Y53" s="413" t="s">
        <v>619</v>
      </c>
      <c r="Z53" s="359">
        <v>50000</v>
      </c>
      <c r="AA53" s="134" t="s">
        <v>707</v>
      </c>
      <c r="AB53" s="134">
        <v>500000</v>
      </c>
      <c r="AC53" s="417" t="s">
        <v>708</v>
      </c>
      <c r="AD53" s="359">
        <v>550000</v>
      </c>
      <c r="AE53" s="134" t="s">
        <v>501</v>
      </c>
      <c r="AF53" s="134">
        <v>-10213</v>
      </c>
      <c r="AL53" s="359">
        <f t="shared" si="10"/>
        <v>1089787</v>
      </c>
      <c r="AO53" s="418">
        <f t="shared" si="16"/>
        <v>0</v>
      </c>
      <c r="AP53" s="134">
        <v>18299789646</v>
      </c>
      <c r="AQ53" s="134" t="s">
        <v>502</v>
      </c>
      <c r="AT53" s="419">
        <f t="shared" si="13"/>
        <v>0</v>
      </c>
      <c r="AU53" s="143"/>
      <c r="BC53" s="359">
        <f t="shared" si="14"/>
        <v>1089787</v>
      </c>
      <c r="BD53" s="140">
        <f>1%+0.2%+0.03%</f>
        <v>0.0123</v>
      </c>
      <c r="BU53" s="134">
        <v>1089787</v>
      </c>
      <c r="CK53" s="134" t="s">
        <v>376</v>
      </c>
      <c r="CN53" s="134" t="s">
        <v>377</v>
      </c>
    </row>
    <row r="54" s="134" customFormat="1" customHeight="1" spans="1:92">
      <c r="A54" s="134">
        <v>47</v>
      </c>
      <c r="C54" s="443">
        <v>45291</v>
      </c>
      <c r="D54" s="134">
        <v>20230010720</v>
      </c>
      <c r="E54" s="1006" t="s">
        <v>709</v>
      </c>
      <c r="F54" s="429" t="s">
        <v>710</v>
      </c>
      <c r="G54" s="134" t="s">
        <v>711</v>
      </c>
      <c r="H54" s="128"/>
      <c r="I54" s="134" t="s">
        <v>477</v>
      </c>
      <c r="J54" s="134">
        <v>4</v>
      </c>
      <c r="K54" s="134">
        <v>78.72</v>
      </c>
      <c r="L54" s="134">
        <v>78.72</v>
      </c>
      <c r="M54" s="134">
        <v>10000</v>
      </c>
      <c r="N54" s="441">
        <v>787200</v>
      </c>
      <c r="O54" s="359">
        <v>9725.34</v>
      </c>
      <c r="Q54" s="145">
        <v>722201.83</v>
      </c>
      <c r="R54" s="1006" t="s">
        <v>712</v>
      </c>
      <c r="S54" s="443">
        <v>45730</v>
      </c>
      <c r="T54" s="359"/>
      <c r="W54" s="134" t="s">
        <v>410</v>
      </c>
      <c r="X54" s="359">
        <v>10000</v>
      </c>
      <c r="Y54" s="413" t="s">
        <v>713</v>
      </c>
      <c r="Z54" s="359">
        <v>90000</v>
      </c>
      <c r="AA54" s="417" t="s">
        <v>714</v>
      </c>
      <c r="AB54" s="359">
        <f>9200+295400</f>
        <v>304600</v>
      </c>
      <c r="AC54" s="134" t="s">
        <v>682</v>
      </c>
      <c r="AD54" s="359">
        <v>390000</v>
      </c>
      <c r="AE54" s="134" t="s">
        <v>715</v>
      </c>
      <c r="AF54" s="134">
        <v>-7400</v>
      </c>
      <c r="AL54" s="359">
        <f t="shared" ref="AL54:AL72" si="17">X54+Z54+AB54+AD54+AF54+AH54+AJ54</f>
        <v>787200</v>
      </c>
      <c r="AO54" s="418">
        <f t="shared" ref="AO54:AO61" si="18">N54-AL54</f>
        <v>0</v>
      </c>
      <c r="AP54" s="134">
        <v>18997668556</v>
      </c>
      <c r="AT54" s="419">
        <f t="shared" si="13"/>
        <v>0</v>
      </c>
      <c r="AU54" s="143"/>
      <c r="BC54" s="359">
        <f t="shared" si="14"/>
        <v>787200</v>
      </c>
      <c r="BD54" s="140">
        <f>0.8%+0.13%+0.14%</f>
        <v>0.0107</v>
      </c>
      <c r="BK54" s="134">
        <v>404600</v>
      </c>
      <c r="BL54" s="134">
        <v>390000</v>
      </c>
      <c r="CB54" s="134">
        <v>-7400</v>
      </c>
      <c r="CK54" s="134" t="s">
        <v>376</v>
      </c>
      <c r="CL54" s="134" t="s">
        <v>387</v>
      </c>
      <c r="CN54" s="134" t="s">
        <v>377</v>
      </c>
    </row>
    <row r="55" s="134" customFormat="1" customHeight="1" spans="1:92">
      <c r="A55" s="134">
        <v>48</v>
      </c>
      <c r="C55" s="443">
        <v>45291</v>
      </c>
      <c r="D55" s="134">
        <v>20230010721</v>
      </c>
      <c r="E55" s="1006" t="s">
        <v>709</v>
      </c>
      <c r="F55" s="429" t="s">
        <v>710</v>
      </c>
      <c r="G55" s="134" t="s">
        <v>711</v>
      </c>
      <c r="H55" s="128"/>
      <c r="I55" s="134" t="s">
        <v>477</v>
      </c>
      <c r="J55" s="134">
        <v>5</v>
      </c>
      <c r="K55" s="134">
        <v>78.72</v>
      </c>
      <c r="L55" s="134">
        <v>78.72</v>
      </c>
      <c r="M55" s="134">
        <v>10000</v>
      </c>
      <c r="N55" s="441">
        <v>787200</v>
      </c>
      <c r="O55" s="359">
        <v>9645.63</v>
      </c>
      <c r="Q55" s="145">
        <v>722201.83</v>
      </c>
      <c r="R55" s="1006" t="s">
        <v>716</v>
      </c>
      <c r="S55" s="443">
        <v>45730</v>
      </c>
      <c r="T55" s="359"/>
      <c r="W55" s="134" t="s">
        <v>410</v>
      </c>
      <c r="X55" s="359">
        <v>10000</v>
      </c>
      <c r="Y55" s="413" t="s">
        <v>713</v>
      </c>
      <c r="Z55" s="359">
        <v>90000</v>
      </c>
      <c r="AA55" s="417" t="s">
        <v>714</v>
      </c>
      <c r="AB55" s="359">
        <v>304600</v>
      </c>
      <c r="AC55" s="134" t="s">
        <v>682</v>
      </c>
      <c r="AD55" s="359">
        <v>390000</v>
      </c>
      <c r="AE55" s="134" t="s">
        <v>715</v>
      </c>
      <c r="AF55" s="134">
        <v>-7400</v>
      </c>
      <c r="AL55" s="359">
        <f t="shared" si="17"/>
        <v>787200</v>
      </c>
      <c r="AO55" s="418">
        <f t="shared" si="18"/>
        <v>0</v>
      </c>
      <c r="AP55" s="134">
        <v>18997668556</v>
      </c>
      <c r="AT55" s="419">
        <f t="shared" si="13"/>
        <v>0</v>
      </c>
      <c r="AU55" s="143"/>
      <c r="BC55" s="359">
        <f t="shared" si="14"/>
        <v>787200</v>
      </c>
      <c r="BD55" s="140">
        <f>0.8%+0.13%+0.14%</f>
        <v>0.0107</v>
      </c>
      <c r="BK55" s="134">
        <v>404600</v>
      </c>
      <c r="BL55" s="134">
        <v>390000</v>
      </c>
      <c r="CB55" s="134">
        <v>-7400</v>
      </c>
      <c r="CK55" s="134" t="s">
        <v>376</v>
      </c>
      <c r="CL55" s="134" t="s">
        <v>387</v>
      </c>
      <c r="CN55" s="134" t="s">
        <v>377</v>
      </c>
    </row>
    <row r="56" s="134" customFormat="1" customHeight="1" spans="1:92">
      <c r="A56" s="134">
        <v>49</v>
      </c>
      <c r="C56" s="443">
        <v>45202</v>
      </c>
      <c r="D56" s="134">
        <v>20230008531</v>
      </c>
      <c r="E56" s="1006" t="s">
        <v>717</v>
      </c>
      <c r="F56" s="429" t="s">
        <v>718</v>
      </c>
      <c r="G56" s="134" t="s">
        <v>719</v>
      </c>
      <c r="H56" s="128"/>
      <c r="I56" s="134" t="s">
        <v>477</v>
      </c>
      <c r="J56" s="134">
        <v>6</v>
      </c>
      <c r="K56" s="134">
        <v>78.72</v>
      </c>
      <c r="L56" s="134">
        <v>78.72</v>
      </c>
      <c r="M56" s="134">
        <v>9690.4</v>
      </c>
      <c r="N56" s="441">
        <v>762830</v>
      </c>
      <c r="O56" s="359">
        <v>9565.91</v>
      </c>
      <c r="P56" s="134"/>
      <c r="Q56" s="145">
        <v>699844.04</v>
      </c>
      <c r="R56" s="1006" t="s">
        <v>720</v>
      </c>
      <c r="S56" s="443">
        <v>45730</v>
      </c>
      <c r="T56" s="359"/>
      <c r="W56" s="134" t="s">
        <v>662</v>
      </c>
      <c r="X56" s="359">
        <v>100000</v>
      </c>
      <c r="Y56" s="413" t="s">
        <v>563</v>
      </c>
      <c r="Z56" s="359">
        <v>670000</v>
      </c>
      <c r="AA56" s="417" t="s">
        <v>563</v>
      </c>
      <c r="AB56" s="134">
        <v>-7170</v>
      </c>
      <c r="AC56" s="417"/>
      <c r="AL56" s="359">
        <f t="shared" si="17"/>
        <v>762830</v>
      </c>
      <c r="AO56" s="418">
        <f t="shared" si="18"/>
        <v>0</v>
      </c>
      <c r="AP56" s="134">
        <v>13899022962</v>
      </c>
      <c r="AT56" s="419">
        <f t="shared" si="13"/>
        <v>0</v>
      </c>
      <c r="AU56" s="143"/>
      <c r="BC56" s="359">
        <f t="shared" si="14"/>
        <v>762829</v>
      </c>
      <c r="BD56" s="140">
        <f>1%+0.25%</f>
        <v>0.0125</v>
      </c>
      <c r="BH56" s="134">
        <v>770000</v>
      </c>
      <c r="CB56" s="134">
        <v>-7171</v>
      </c>
      <c r="CK56" s="134" t="s">
        <v>376</v>
      </c>
      <c r="CL56" s="134" t="s">
        <v>387</v>
      </c>
      <c r="CN56" s="134" t="s">
        <v>377</v>
      </c>
    </row>
    <row r="57" s="134" customFormat="1" customHeight="1" spans="1:92">
      <c r="A57" s="134">
        <v>50</v>
      </c>
      <c r="C57" s="443">
        <v>45319</v>
      </c>
      <c r="D57" s="134">
        <v>20240000633</v>
      </c>
      <c r="E57" s="1006" t="s">
        <v>721</v>
      </c>
      <c r="F57" s="429" t="s">
        <v>722</v>
      </c>
      <c r="G57" s="134" t="s">
        <v>723</v>
      </c>
      <c r="H57" s="128"/>
      <c r="I57" s="134" t="s">
        <v>477</v>
      </c>
      <c r="J57" s="134">
        <v>7</v>
      </c>
      <c r="K57" s="134">
        <v>69.35</v>
      </c>
      <c r="L57" s="134">
        <v>69.35</v>
      </c>
      <c r="M57" s="134">
        <v>9740</v>
      </c>
      <c r="N57" s="441">
        <v>675469</v>
      </c>
      <c r="O57" s="359">
        <v>9646.51</v>
      </c>
      <c r="Q57" s="145">
        <v>619696.33</v>
      </c>
      <c r="R57" s="1006" t="s">
        <v>724</v>
      </c>
      <c r="S57" s="443">
        <v>45730</v>
      </c>
      <c r="T57" s="359"/>
      <c r="W57" s="134" t="s">
        <v>662</v>
      </c>
      <c r="X57" s="359">
        <v>30000</v>
      </c>
      <c r="Y57" s="413" t="s">
        <v>571</v>
      </c>
      <c r="Z57" s="359">
        <f>10000+130000</f>
        <v>140000</v>
      </c>
      <c r="AA57" s="134" t="s">
        <v>725</v>
      </c>
      <c r="AB57" s="134">
        <v>130000</v>
      </c>
      <c r="AC57" s="417" t="s">
        <v>650</v>
      </c>
      <c r="AD57" s="359">
        <v>230000</v>
      </c>
      <c r="AE57" s="134" t="s">
        <v>726</v>
      </c>
      <c r="AF57" s="359">
        <f>77000+74800</f>
        <v>151800</v>
      </c>
      <c r="AG57" s="138" t="s">
        <v>727</v>
      </c>
      <c r="AH57" s="134">
        <v>-6331</v>
      </c>
      <c r="AL57" s="359">
        <f t="shared" si="17"/>
        <v>675469</v>
      </c>
      <c r="AO57" s="418">
        <f t="shared" si="18"/>
        <v>0</v>
      </c>
      <c r="AP57" s="134">
        <v>18095858980</v>
      </c>
      <c r="AT57" s="419">
        <f t="shared" si="13"/>
        <v>0</v>
      </c>
      <c r="AU57" s="143"/>
      <c r="BC57" s="359">
        <f t="shared" si="14"/>
        <v>675469</v>
      </c>
      <c r="BD57" s="140">
        <f>1%+0.25%</f>
        <v>0.0125</v>
      </c>
      <c r="BL57" s="134">
        <v>681800</v>
      </c>
      <c r="CB57" s="134">
        <v>-6331</v>
      </c>
      <c r="CK57" s="134" t="s">
        <v>376</v>
      </c>
      <c r="CL57" s="134" t="s">
        <v>387</v>
      </c>
      <c r="CN57" s="134" t="s">
        <v>377</v>
      </c>
    </row>
    <row r="58" s="134" customFormat="1" customHeight="1" spans="1:92">
      <c r="A58" s="134">
        <v>51</v>
      </c>
      <c r="C58" s="443">
        <v>45202</v>
      </c>
      <c r="D58" s="134">
        <v>20230008528</v>
      </c>
      <c r="E58" s="1006" t="s">
        <v>728</v>
      </c>
      <c r="F58" s="429" t="s">
        <v>729</v>
      </c>
      <c r="G58" s="134" t="s">
        <v>730</v>
      </c>
      <c r="H58" s="128"/>
      <c r="I58" s="134" t="s">
        <v>477</v>
      </c>
      <c r="J58" s="134">
        <v>8</v>
      </c>
      <c r="K58" s="134">
        <v>82.47</v>
      </c>
      <c r="L58" s="134">
        <v>82.47</v>
      </c>
      <c r="M58" s="134">
        <v>9851.03</v>
      </c>
      <c r="N58" s="441">
        <v>812415</v>
      </c>
      <c r="O58" s="359">
        <v>9725.51</v>
      </c>
      <c r="P58" s="134"/>
      <c r="Q58" s="145">
        <v>745334.86</v>
      </c>
      <c r="R58" s="1006" t="s">
        <v>731</v>
      </c>
      <c r="S58" s="443">
        <v>45730</v>
      </c>
      <c r="T58" s="359"/>
      <c r="V58" s="134" t="s">
        <v>732</v>
      </c>
      <c r="W58" s="134" t="s">
        <v>733</v>
      </c>
      <c r="X58" s="359">
        <v>20000</v>
      </c>
      <c r="Y58" s="413" t="s">
        <v>734</v>
      </c>
      <c r="Z58" s="359">
        <v>80000</v>
      </c>
      <c r="AA58" s="134" t="s">
        <v>563</v>
      </c>
      <c r="AB58" s="134">
        <v>720000</v>
      </c>
      <c r="AC58" s="417" t="s">
        <v>563</v>
      </c>
      <c r="AD58" s="134">
        <v>-7585</v>
      </c>
      <c r="AL58" s="359">
        <f t="shared" si="17"/>
        <v>812415</v>
      </c>
      <c r="AO58" s="418">
        <f t="shared" si="18"/>
        <v>0</v>
      </c>
      <c r="AP58" s="134">
        <v>13899022962</v>
      </c>
      <c r="AT58" s="419">
        <f t="shared" si="13"/>
        <v>0</v>
      </c>
      <c r="AU58" s="143"/>
      <c r="BC58" s="359">
        <f t="shared" si="14"/>
        <v>812415</v>
      </c>
      <c r="BD58" s="140">
        <f>1%+0.25%</f>
        <v>0.0125</v>
      </c>
      <c r="BH58" s="134">
        <v>820000</v>
      </c>
      <c r="CB58" s="134">
        <v>-7585</v>
      </c>
      <c r="CK58" s="134" t="s">
        <v>376</v>
      </c>
      <c r="CL58" s="134" t="s">
        <v>387</v>
      </c>
      <c r="CN58" s="134" t="s">
        <v>377</v>
      </c>
    </row>
    <row r="59" s="134" customFormat="1" customHeight="1" spans="1:92">
      <c r="A59" s="134">
        <v>52</v>
      </c>
      <c r="C59" s="443">
        <v>45202</v>
      </c>
      <c r="D59" s="134">
        <v>20230008534</v>
      </c>
      <c r="E59" s="1006" t="s">
        <v>735</v>
      </c>
      <c r="F59" s="429" t="s">
        <v>736</v>
      </c>
      <c r="G59" s="134" t="s">
        <v>737</v>
      </c>
      <c r="H59" s="128"/>
      <c r="I59" s="134" t="s">
        <v>477</v>
      </c>
      <c r="J59" s="134">
        <v>9</v>
      </c>
      <c r="K59" s="134">
        <v>78.72</v>
      </c>
      <c r="L59" s="134">
        <v>78.72</v>
      </c>
      <c r="M59" s="134">
        <v>9942.11</v>
      </c>
      <c r="N59" s="441">
        <v>782643</v>
      </c>
      <c r="O59" s="359">
        <v>9805.06</v>
      </c>
      <c r="P59" s="134"/>
      <c r="Q59" s="145">
        <v>718021.1</v>
      </c>
      <c r="R59" s="1006" t="s">
        <v>738</v>
      </c>
      <c r="S59" s="443">
        <v>45730</v>
      </c>
      <c r="T59" s="359"/>
      <c r="V59" s="1006" t="s">
        <v>739</v>
      </c>
      <c r="W59" s="134" t="s">
        <v>662</v>
      </c>
      <c r="X59" s="359">
        <v>20000</v>
      </c>
      <c r="Y59" s="413" t="s">
        <v>734</v>
      </c>
      <c r="Z59" s="359">
        <v>80000</v>
      </c>
      <c r="AA59" s="134" t="s">
        <v>563</v>
      </c>
      <c r="AB59" s="134">
        <v>300000</v>
      </c>
      <c r="AC59" s="417" t="s">
        <v>563</v>
      </c>
      <c r="AD59" s="359">
        <v>230000</v>
      </c>
      <c r="AE59" s="134" t="s">
        <v>740</v>
      </c>
      <c r="AF59" s="359">
        <v>160000</v>
      </c>
      <c r="AG59" s="134" t="s">
        <v>741</v>
      </c>
      <c r="AH59" s="134">
        <v>-7357</v>
      </c>
      <c r="AL59" s="359">
        <f t="shared" si="17"/>
        <v>782643</v>
      </c>
      <c r="AO59" s="418">
        <f t="shared" si="18"/>
        <v>0</v>
      </c>
      <c r="AP59" s="134">
        <v>15199940173</v>
      </c>
      <c r="AT59" s="419">
        <f t="shared" si="13"/>
        <v>0</v>
      </c>
      <c r="AU59" s="143"/>
      <c r="BC59" s="359">
        <f t="shared" si="14"/>
        <v>782643</v>
      </c>
      <c r="BD59" s="140">
        <f>1%+0.25%</f>
        <v>0.0125</v>
      </c>
      <c r="BN59" s="134">
        <v>790000</v>
      </c>
      <c r="CB59" s="134">
        <v>-7357</v>
      </c>
      <c r="CK59" s="134" t="s">
        <v>376</v>
      </c>
      <c r="CL59" s="134" t="s">
        <v>387</v>
      </c>
      <c r="CN59" s="134" t="s">
        <v>377</v>
      </c>
    </row>
    <row r="60" s="134" customFormat="1" customHeight="1" spans="1:92">
      <c r="A60" s="134">
        <v>53</v>
      </c>
      <c r="C60" s="443">
        <v>45538</v>
      </c>
      <c r="D60" s="134">
        <v>20240005074</v>
      </c>
      <c r="F60" s="429" t="s">
        <v>742</v>
      </c>
      <c r="G60" s="134" t="s">
        <v>743</v>
      </c>
      <c r="H60" s="128"/>
      <c r="I60" s="134" t="s">
        <v>477</v>
      </c>
      <c r="J60" s="134">
        <v>10</v>
      </c>
      <c r="K60" s="134">
        <v>140.64</v>
      </c>
      <c r="L60" s="134">
        <v>140.64</v>
      </c>
      <c r="M60" s="134">
        <v>9300</v>
      </c>
      <c r="N60" s="441">
        <v>1307952</v>
      </c>
      <c r="O60" s="359">
        <v>9126.58</v>
      </c>
      <c r="P60" s="134"/>
      <c r="Q60" s="145">
        <v>1199955.96</v>
      </c>
      <c r="R60" s="1006" t="s">
        <v>744</v>
      </c>
      <c r="S60" s="443">
        <v>45730</v>
      </c>
      <c r="T60" s="359"/>
      <c r="U60" s="138"/>
      <c r="W60" s="134" t="s">
        <v>400</v>
      </c>
      <c r="X60" s="359">
        <v>10000</v>
      </c>
      <c r="Y60" s="413" t="s">
        <v>745</v>
      </c>
      <c r="Z60" s="359">
        <v>250000</v>
      </c>
      <c r="AA60" s="134" t="s">
        <v>696</v>
      </c>
      <c r="AB60" s="134">
        <v>70000</v>
      </c>
      <c r="AC60" s="417" t="s">
        <v>663</v>
      </c>
      <c r="AD60" s="359">
        <f>100000+892739</f>
        <v>992739</v>
      </c>
      <c r="AE60" s="138">
        <v>45538</v>
      </c>
      <c r="AF60" s="134">
        <v>-14787</v>
      </c>
      <c r="AL60" s="359">
        <f t="shared" si="17"/>
        <v>1307952</v>
      </c>
      <c r="AO60" s="418">
        <f t="shared" si="18"/>
        <v>0</v>
      </c>
      <c r="AT60" s="419">
        <f t="shared" si="13"/>
        <v>0</v>
      </c>
      <c r="AU60" s="143"/>
      <c r="BC60" s="359">
        <f t="shared" si="14"/>
        <v>1307952</v>
      </c>
      <c r="BD60" s="140">
        <f>1%+0.15%+0.14%</f>
        <v>0.0129</v>
      </c>
      <c r="BS60" s="134">
        <v>1322739</v>
      </c>
      <c r="CB60" s="134">
        <v>-14787</v>
      </c>
      <c r="CK60" s="134" t="s">
        <v>376</v>
      </c>
      <c r="CN60" s="134" t="s">
        <v>377</v>
      </c>
    </row>
    <row r="61" s="134" customFormat="1" customHeight="1" spans="1:92">
      <c r="A61" s="134">
        <v>54</v>
      </c>
      <c r="C61" s="443">
        <v>45298</v>
      </c>
      <c r="D61" s="134">
        <v>20240000151</v>
      </c>
      <c r="F61" s="429" t="s">
        <v>746</v>
      </c>
      <c r="G61" s="143" t="s">
        <v>747</v>
      </c>
      <c r="H61" s="128"/>
      <c r="I61" s="134" t="s">
        <v>477</v>
      </c>
      <c r="J61" s="134">
        <v>11</v>
      </c>
      <c r="K61" s="134">
        <v>237.74</v>
      </c>
      <c r="L61" s="134">
        <v>237.74</v>
      </c>
      <c r="M61" s="134">
        <v>11860</v>
      </c>
      <c r="N61" s="441">
        <v>2819597</v>
      </c>
      <c r="O61" s="359">
        <v>11520</v>
      </c>
      <c r="Q61" s="145">
        <v>2586786.24</v>
      </c>
      <c r="R61" s="1006" t="s">
        <v>748</v>
      </c>
      <c r="S61" s="443">
        <v>45730</v>
      </c>
      <c r="T61" s="359"/>
      <c r="V61" s="134" t="s">
        <v>749</v>
      </c>
      <c r="W61" s="134" t="s">
        <v>750</v>
      </c>
      <c r="X61" s="359">
        <v>100000</v>
      </c>
      <c r="Y61" s="413" t="s">
        <v>751</v>
      </c>
      <c r="Z61" s="359">
        <v>1326163</v>
      </c>
      <c r="AA61" s="134" t="s">
        <v>726</v>
      </c>
      <c r="AB61" s="359">
        <v>1420000</v>
      </c>
      <c r="AC61" s="134" t="s">
        <v>752</v>
      </c>
      <c r="AD61" s="134">
        <v>-26566</v>
      </c>
      <c r="AL61" s="359">
        <f t="shared" si="17"/>
        <v>2819597</v>
      </c>
      <c r="AO61" s="418">
        <f t="shared" si="18"/>
        <v>0</v>
      </c>
      <c r="AP61" s="134">
        <v>18809965000</v>
      </c>
      <c r="AT61" s="419">
        <f t="shared" si="13"/>
        <v>0</v>
      </c>
      <c r="AU61" s="419"/>
      <c r="AV61" s="359"/>
      <c r="AW61" s="359"/>
      <c r="AX61" s="359"/>
      <c r="AY61" s="359"/>
      <c r="AZ61" s="359"/>
      <c r="BA61" s="359"/>
      <c r="BB61" s="359"/>
      <c r="BC61" s="359">
        <f t="shared" si="14"/>
        <v>2819597</v>
      </c>
      <c r="BD61" s="140">
        <f>1%+0.18%+0.25%</f>
        <v>0.0143</v>
      </c>
      <c r="BE61" s="359"/>
      <c r="BF61" s="359"/>
      <c r="BG61" s="359"/>
      <c r="BH61" s="359"/>
      <c r="BI61" s="359"/>
      <c r="BJ61" s="359"/>
      <c r="BK61" s="359"/>
      <c r="BL61" s="359"/>
      <c r="BM61" s="359"/>
      <c r="BN61" s="359"/>
      <c r="BO61" s="359"/>
      <c r="BP61" s="359"/>
      <c r="BQ61" s="359">
        <v>2846163</v>
      </c>
      <c r="BR61" s="359"/>
      <c r="BS61" s="359"/>
      <c r="BT61" s="359"/>
      <c r="BU61" s="359"/>
      <c r="BV61" s="359"/>
      <c r="BW61" s="359"/>
      <c r="BX61" s="359"/>
      <c r="BY61" s="359"/>
      <c r="BZ61" s="359"/>
      <c r="CA61" s="359"/>
      <c r="CB61" s="359">
        <v>-26566</v>
      </c>
      <c r="CC61" s="359"/>
      <c r="CD61" s="359"/>
      <c r="CE61" s="359"/>
      <c r="CF61" s="359"/>
      <c r="CG61" s="359"/>
      <c r="CH61" s="359"/>
      <c r="CK61" s="134" t="s">
        <v>376</v>
      </c>
      <c r="CL61" s="134" t="s">
        <v>387</v>
      </c>
      <c r="CN61" s="134" t="s">
        <v>377</v>
      </c>
    </row>
    <row r="62" s="134" customFormat="1" ht="57" customHeight="1" spans="1:92">
      <c r="A62" s="134">
        <v>55</v>
      </c>
      <c r="C62" s="443">
        <v>45308</v>
      </c>
      <c r="D62" s="134">
        <v>20240000152</v>
      </c>
      <c r="F62" s="429" t="s">
        <v>753</v>
      </c>
      <c r="G62" s="143" t="s">
        <v>754</v>
      </c>
      <c r="H62" s="128"/>
      <c r="I62" s="134" t="s">
        <v>477</v>
      </c>
      <c r="J62" s="134">
        <v>12</v>
      </c>
      <c r="K62" s="134">
        <v>205.28</v>
      </c>
      <c r="L62" s="134">
        <v>205.28</v>
      </c>
      <c r="M62" s="134">
        <v>11860</v>
      </c>
      <c r="N62" s="441">
        <v>2434621</v>
      </c>
      <c r="O62" s="359">
        <v>11520</v>
      </c>
      <c r="P62" s="134"/>
      <c r="Q62" s="145">
        <v>2233597.25</v>
      </c>
      <c r="R62" s="1006" t="s">
        <v>755</v>
      </c>
      <c r="S62" s="443">
        <v>45618</v>
      </c>
      <c r="T62" s="359"/>
      <c r="U62" s="413"/>
      <c r="V62" s="143" t="s">
        <v>749</v>
      </c>
      <c r="W62" s="143" t="s">
        <v>749</v>
      </c>
      <c r="X62" s="359">
        <v>100000</v>
      </c>
      <c r="Y62" s="413" t="s">
        <v>751</v>
      </c>
      <c r="Z62" s="359">
        <v>1137511</v>
      </c>
      <c r="AA62" s="413" t="s">
        <v>726</v>
      </c>
      <c r="AB62" s="359">
        <v>580000</v>
      </c>
      <c r="AC62" s="413" t="s">
        <v>752</v>
      </c>
      <c r="AD62" s="359">
        <v>640000</v>
      </c>
      <c r="AE62" s="413" t="s">
        <v>756</v>
      </c>
      <c r="AF62" s="134">
        <v>-22890</v>
      </c>
      <c r="AL62" s="359">
        <f t="shared" si="17"/>
        <v>2434621</v>
      </c>
      <c r="AO62" s="418">
        <f t="shared" ref="AO62:AO73" si="19">N62-AL62</f>
        <v>0</v>
      </c>
      <c r="AT62" s="419">
        <f t="shared" si="13"/>
        <v>400</v>
      </c>
      <c r="AU62" s="419"/>
      <c r="AV62" s="359">
        <f>200+200</f>
        <v>400</v>
      </c>
      <c r="AW62" s="359"/>
      <c r="AX62" s="359"/>
      <c r="AY62" s="359"/>
      <c r="AZ62" s="359"/>
      <c r="BA62" s="359"/>
      <c r="BB62" s="359"/>
      <c r="BC62" s="359">
        <f t="shared" si="14"/>
        <v>2434621</v>
      </c>
      <c r="BD62" s="140">
        <f>1%+0.18%+0.25%</f>
        <v>0.0143</v>
      </c>
      <c r="BE62" s="359"/>
      <c r="BF62" s="359"/>
      <c r="BG62" s="359"/>
      <c r="BH62" s="359"/>
      <c r="BI62" s="359"/>
      <c r="BJ62" s="359"/>
      <c r="BK62" s="359"/>
      <c r="BL62" s="359"/>
      <c r="BM62" s="359"/>
      <c r="BN62" s="359"/>
      <c r="BO62" s="359"/>
      <c r="BP62" s="359"/>
      <c r="BQ62" s="359"/>
      <c r="BR62" s="359">
        <v>2457511</v>
      </c>
      <c r="BS62" s="359"/>
      <c r="BT62" s="359"/>
      <c r="BU62" s="359"/>
      <c r="BV62" s="359"/>
      <c r="BW62" s="359"/>
      <c r="BX62" s="359"/>
      <c r="BY62" s="359"/>
      <c r="BZ62" s="359"/>
      <c r="CA62" s="359"/>
      <c r="CB62" s="359">
        <v>-22890</v>
      </c>
      <c r="CC62" s="359"/>
      <c r="CD62" s="359"/>
      <c r="CE62" s="359"/>
      <c r="CF62" s="359"/>
      <c r="CG62" s="359"/>
      <c r="CH62" s="359"/>
      <c r="CK62" s="134" t="s">
        <v>376</v>
      </c>
      <c r="CL62" s="134" t="s">
        <v>387</v>
      </c>
      <c r="CN62" s="134" t="s">
        <v>377</v>
      </c>
    </row>
    <row r="63" s="134" customFormat="1" customHeight="1" spans="1:92">
      <c r="A63" s="134">
        <v>56</v>
      </c>
      <c r="C63" s="443">
        <v>45204</v>
      </c>
      <c r="D63" s="134">
        <v>20230008633</v>
      </c>
      <c r="E63" s="1006" t="s">
        <v>757</v>
      </c>
      <c r="F63" s="429" t="s">
        <v>758</v>
      </c>
      <c r="G63" s="134" t="s">
        <v>759</v>
      </c>
      <c r="H63" s="128"/>
      <c r="I63" s="134" t="s">
        <v>477</v>
      </c>
      <c r="J63" s="134">
        <v>13</v>
      </c>
      <c r="K63" s="134">
        <v>73.7</v>
      </c>
      <c r="L63" s="134">
        <v>73.7</v>
      </c>
      <c r="M63" s="134">
        <v>8510.97</v>
      </c>
      <c r="N63" s="441">
        <v>627259</v>
      </c>
      <c r="O63" s="359">
        <v>8210.97</v>
      </c>
      <c r="P63" s="134"/>
      <c r="Q63" s="145">
        <v>575466.97</v>
      </c>
      <c r="R63" s="1006" t="s">
        <v>760</v>
      </c>
      <c r="S63" s="443">
        <v>45730</v>
      </c>
      <c r="T63" s="359"/>
      <c r="U63" s="138"/>
      <c r="V63" s="134" t="s">
        <v>761</v>
      </c>
      <c r="W63" s="134" t="s">
        <v>762</v>
      </c>
      <c r="X63" s="359">
        <v>5000</v>
      </c>
      <c r="Y63" s="413" t="s">
        <v>763</v>
      </c>
      <c r="Z63" s="359">
        <v>95000</v>
      </c>
      <c r="AA63" s="417" t="s">
        <v>448</v>
      </c>
      <c r="AB63" s="359">
        <v>50000</v>
      </c>
      <c r="AC63" s="134" t="s">
        <v>629</v>
      </c>
      <c r="AD63" s="359">
        <v>173216</v>
      </c>
      <c r="AE63" s="134" t="s">
        <v>764</v>
      </c>
      <c r="AF63" s="359">
        <v>310000</v>
      </c>
      <c r="AG63" s="138">
        <v>45544</v>
      </c>
      <c r="AH63" s="134">
        <v>-5957</v>
      </c>
      <c r="AL63" s="359">
        <f t="shared" si="17"/>
        <v>627259</v>
      </c>
      <c r="AO63" s="418">
        <f t="shared" si="19"/>
        <v>0</v>
      </c>
      <c r="AP63" s="134">
        <v>18509960985</v>
      </c>
      <c r="AT63" s="419">
        <f t="shared" si="13"/>
        <v>0</v>
      </c>
      <c r="AU63" s="419"/>
      <c r="AV63" s="359"/>
      <c r="AW63" s="359"/>
      <c r="AX63" s="359"/>
      <c r="AY63" s="359"/>
      <c r="AZ63" s="359"/>
      <c r="BA63" s="359"/>
      <c r="BB63" s="359"/>
      <c r="BC63" s="359">
        <f t="shared" si="14"/>
        <v>627258</v>
      </c>
      <c r="BD63" s="513">
        <f>1%+0.18%+0.25%</f>
        <v>0.0143</v>
      </c>
      <c r="BE63" s="359"/>
      <c r="BF63" s="359"/>
      <c r="BG63" s="359"/>
      <c r="BH63" s="359">
        <v>323216</v>
      </c>
      <c r="BI63" s="359"/>
      <c r="BJ63" s="359"/>
      <c r="BK63" s="359"/>
      <c r="BL63" s="359"/>
      <c r="BM63" s="359"/>
      <c r="BN63" s="359"/>
      <c r="BO63" s="359"/>
      <c r="BP63" s="359"/>
      <c r="BQ63" s="359"/>
      <c r="BR63" s="359"/>
      <c r="BS63" s="359">
        <v>310000</v>
      </c>
      <c r="BT63" s="359"/>
      <c r="BU63" s="359"/>
      <c r="BV63" s="359"/>
      <c r="BW63" s="359"/>
      <c r="BX63" s="359"/>
      <c r="BY63" s="359"/>
      <c r="BZ63" s="359"/>
      <c r="CA63" s="359"/>
      <c r="CB63" s="359">
        <v>-5958</v>
      </c>
      <c r="CC63" s="359"/>
      <c r="CD63" s="359"/>
      <c r="CE63" s="359"/>
      <c r="CF63" s="359"/>
      <c r="CG63" s="359"/>
      <c r="CH63" s="359"/>
      <c r="CI63" s="134"/>
      <c r="CK63" s="134" t="s">
        <v>376</v>
      </c>
      <c r="CL63" s="134" t="s">
        <v>387</v>
      </c>
      <c r="CN63" s="134" t="s">
        <v>377</v>
      </c>
    </row>
    <row r="64" s="134" customFormat="1" customHeight="1" spans="1:92">
      <c r="A64" s="134">
        <v>57</v>
      </c>
      <c r="C64" s="443">
        <v>45199</v>
      </c>
      <c r="D64" s="134">
        <v>20230008344</v>
      </c>
      <c r="E64" s="1006" t="s">
        <v>765</v>
      </c>
      <c r="F64" s="429" t="s">
        <v>766</v>
      </c>
      <c r="G64" s="134" t="s">
        <v>767</v>
      </c>
      <c r="H64" s="128"/>
      <c r="I64" s="134" t="s">
        <v>477</v>
      </c>
      <c r="J64" s="134">
        <v>14</v>
      </c>
      <c r="K64" s="134">
        <v>73.7</v>
      </c>
      <c r="L64" s="134">
        <v>73.7</v>
      </c>
      <c r="M64" s="134">
        <v>8431.25</v>
      </c>
      <c r="N64" s="441">
        <v>621384</v>
      </c>
      <c r="O64" s="359">
        <v>8131.25</v>
      </c>
      <c r="P64" s="134"/>
      <c r="Q64" s="145">
        <v>570077.06</v>
      </c>
      <c r="R64" s="1006" t="s">
        <v>768</v>
      </c>
      <c r="S64" s="443">
        <v>45730</v>
      </c>
      <c r="T64" s="359"/>
      <c r="U64" s="138"/>
      <c r="W64" s="134" t="s">
        <v>762</v>
      </c>
      <c r="X64" s="359">
        <v>100000</v>
      </c>
      <c r="Y64" s="413" t="s">
        <v>448</v>
      </c>
      <c r="Z64" s="359">
        <v>217285</v>
      </c>
      <c r="AA64" s="134" t="s">
        <v>571</v>
      </c>
      <c r="AB64" s="359">
        <v>310000</v>
      </c>
      <c r="AC64" s="138">
        <v>45561</v>
      </c>
      <c r="AD64" s="134">
        <v>-5901</v>
      </c>
      <c r="AL64" s="359">
        <f t="shared" si="17"/>
        <v>621384</v>
      </c>
      <c r="AO64" s="418">
        <f t="shared" si="19"/>
        <v>0</v>
      </c>
      <c r="AP64" s="134">
        <v>18999012716</v>
      </c>
      <c r="AT64" s="419">
        <f t="shared" si="13"/>
        <v>300</v>
      </c>
      <c r="AU64" s="419"/>
      <c r="AV64" s="359"/>
      <c r="AW64" s="359"/>
      <c r="AX64" s="359"/>
      <c r="AY64" s="359"/>
      <c r="AZ64" s="359"/>
      <c r="BA64" s="359"/>
      <c r="BB64" s="359">
        <v>300</v>
      </c>
      <c r="BC64" s="359">
        <f t="shared" si="14"/>
        <v>621384</v>
      </c>
      <c r="BD64" s="513">
        <f>1%+0.18%+0.25%</f>
        <v>0.0143</v>
      </c>
      <c r="BE64" s="359"/>
      <c r="BF64" s="359"/>
      <c r="BG64" s="359">
        <v>317285</v>
      </c>
      <c r="BH64" s="359">
        <v>317285</v>
      </c>
      <c r="BI64" s="359"/>
      <c r="BJ64" s="359"/>
      <c r="BK64" s="359"/>
      <c r="BL64" s="359"/>
      <c r="BM64" s="359"/>
      <c r="BN64" s="359"/>
      <c r="BO64" s="359"/>
      <c r="BP64" s="359"/>
      <c r="BQ64" s="359"/>
      <c r="BR64" s="359"/>
      <c r="BS64" s="359">
        <v>-7285</v>
      </c>
      <c r="BT64" s="359"/>
      <c r="BU64" s="359"/>
      <c r="BV64" s="359"/>
      <c r="BW64" s="359"/>
      <c r="BX64" s="359"/>
      <c r="BY64" s="359"/>
      <c r="BZ64" s="359"/>
      <c r="CA64" s="359"/>
      <c r="CB64" s="359">
        <v>-5901</v>
      </c>
      <c r="CC64" s="359"/>
      <c r="CD64" s="359"/>
      <c r="CE64" s="359"/>
      <c r="CF64" s="359"/>
      <c r="CG64" s="359"/>
      <c r="CH64" s="359"/>
      <c r="CI64" s="134"/>
      <c r="CK64" s="134" t="s">
        <v>376</v>
      </c>
      <c r="CL64" s="134" t="s">
        <v>387</v>
      </c>
      <c r="CN64" s="134" t="s">
        <v>377</v>
      </c>
    </row>
    <row r="65" s="134" customFormat="1" customHeight="1" spans="1:96">
      <c r="A65" s="134">
        <v>58</v>
      </c>
      <c r="B65" s="134"/>
      <c r="C65" s="443">
        <v>45710</v>
      </c>
      <c r="D65" s="134">
        <v>20250000773</v>
      </c>
      <c r="F65" s="429" t="s">
        <v>769</v>
      </c>
      <c r="G65" s="134" t="s">
        <v>770</v>
      </c>
      <c r="H65" s="128"/>
      <c r="I65" s="134" t="s">
        <v>477</v>
      </c>
      <c r="J65" s="134">
        <v>15</v>
      </c>
      <c r="K65" s="134">
        <v>130.9</v>
      </c>
      <c r="L65" s="134">
        <v>130.9</v>
      </c>
      <c r="M65" s="134">
        <v>7333.84</v>
      </c>
      <c r="N65" s="441">
        <v>960000</v>
      </c>
      <c r="O65" s="359">
        <v>7333.84</v>
      </c>
      <c r="P65" s="134"/>
      <c r="Q65" s="145">
        <v>880733.94</v>
      </c>
      <c r="R65" s="1006" t="s">
        <v>771</v>
      </c>
      <c r="S65" s="443">
        <v>45713</v>
      </c>
      <c r="T65" s="359"/>
      <c r="U65" s="134"/>
      <c r="W65" s="134" t="s">
        <v>772</v>
      </c>
      <c r="X65" s="359">
        <v>100000</v>
      </c>
      <c r="Y65" s="413" t="s">
        <v>773</v>
      </c>
      <c r="Z65" s="359">
        <v>860000</v>
      </c>
      <c r="AA65" s="134" t="s">
        <v>526</v>
      </c>
      <c r="AC65" s="417"/>
      <c r="AL65" s="359">
        <f t="shared" si="17"/>
        <v>960000</v>
      </c>
      <c r="AO65" s="418">
        <f t="shared" si="19"/>
        <v>0</v>
      </c>
      <c r="AP65" s="134">
        <v>18209965961</v>
      </c>
      <c r="AQ65" s="134" t="s">
        <v>502</v>
      </c>
      <c r="AT65" s="419">
        <f t="shared" si="13"/>
        <v>0</v>
      </c>
      <c r="AU65" s="143"/>
      <c r="BC65" s="359">
        <f t="shared" si="14"/>
        <v>960000</v>
      </c>
      <c r="BD65" s="140">
        <f>0.9%+0.18%+0.2%+0.03%</f>
        <v>0.0131</v>
      </c>
      <c r="BX65" s="134">
        <v>960000</v>
      </c>
      <c r="CK65" s="134" t="s">
        <v>376</v>
      </c>
      <c r="CN65" s="134" t="s">
        <v>377</v>
      </c>
    </row>
    <row r="66" s="134" customFormat="1" customHeight="1" spans="1:96">
      <c r="A66" s="134">
        <v>59</v>
      </c>
      <c r="B66" s="134"/>
      <c r="C66" s="443">
        <v>45566</v>
      </c>
      <c r="D66" s="134">
        <v>20240005533</v>
      </c>
      <c r="F66" s="429" t="s">
        <v>774</v>
      </c>
      <c r="G66" s="134" t="s">
        <v>775</v>
      </c>
      <c r="H66" s="128"/>
      <c r="I66" s="134" t="s">
        <v>477</v>
      </c>
      <c r="J66" s="134">
        <v>16</v>
      </c>
      <c r="K66" s="134">
        <v>85.99</v>
      </c>
      <c r="L66" s="134">
        <v>85.99</v>
      </c>
      <c r="M66" s="134">
        <v>7936.497</v>
      </c>
      <c r="N66" s="441">
        <v>682460</v>
      </c>
      <c r="O66" s="359">
        <v>8189.96</v>
      </c>
      <c r="P66" s="134" t="s">
        <v>776</v>
      </c>
      <c r="Q66" s="145">
        <v>626110.09</v>
      </c>
      <c r="R66" s="1006" t="s">
        <v>777</v>
      </c>
      <c r="S66" s="443">
        <v>45603</v>
      </c>
      <c r="T66" s="359"/>
      <c r="U66" s="138"/>
      <c r="W66" s="134" t="s">
        <v>496</v>
      </c>
      <c r="X66" s="359">
        <v>10000</v>
      </c>
      <c r="Y66" s="413">
        <v>45547</v>
      </c>
      <c r="Z66" s="359">
        <v>188888</v>
      </c>
      <c r="AA66" s="420" t="s">
        <v>778</v>
      </c>
      <c r="AB66" s="134">
        <v>150000</v>
      </c>
      <c r="AC66" s="417" t="s">
        <v>779</v>
      </c>
      <c r="AD66" s="359">
        <v>340000</v>
      </c>
      <c r="AE66" s="138" t="s">
        <v>664</v>
      </c>
      <c r="AF66" s="134">
        <v>-6428</v>
      </c>
      <c r="AL66" s="359">
        <f t="shared" si="17"/>
        <v>682460</v>
      </c>
      <c r="AO66" s="418">
        <f t="shared" si="19"/>
        <v>0</v>
      </c>
      <c r="AP66" s="134">
        <v>13551810694</v>
      </c>
      <c r="AT66" s="419">
        <f t="shared" si="13"/>
        <v>0</v>
      </c>
      <c r="AU66" s="143"/>
      <c r="BC66" s="359">
        <f t="shared" si="14"/>
        <v>682460</v>
      </c>
      <c r="BD66" s="140">
        <f>0.8%+0.15%+0.2%</f>
        <v>0.0115</v>
      </c>
      <c r="BU66" s="134">
        <v>682460</v>
      </c>
      <c r="CK66" s="134" t="s">
        <v>376</v>
      </c>
      <c r="CN66" s="134" t="s">
        <v>377</v>
      </c>
    </row>
    <row r="67" s="134" customFormat="1" customHeight="1" spans="1:96">
      <c r="A67" s="134">
        <v>60</v>
      </c>
      <c r="C67" s="443">
        <v>45499</v>
      </c>
      <c r="D67" s="134">
        <v>20240004261</v>
      </c>
      <c r="E67" s="1006" t="s">
        <v>780</v>
      </c>
      <c r="F67" s="429" t="s">
        <v>781</v>
      </c>
      <c r="G67" s="143" t="s">
        <v>782</v>
      </c>
      <c r="H67" s="128"/>
      <c r="I67" s="134" t="s">
        <v>477</v>
      </c>
      <c r="J67" s="134">
        <v>17</v>
      </c>
      <c r="K67" s="134">
        <v>78.97</v>
      </c>
      <c r="L67" s="134">
        <v>78.97</v>
      </c>
      <c r="M67" s="134">
        <v>8200</v>
      </c>
      <c r="N67" s="441">
        <v>647554</v>
      </c>
      <c r="O67" s="359">
        <v>8110.16</v>
      </c>
      <c r="P67" s="134"/>
      <c r="Q67" s="145">
        <v>594086.24</v>
      </c>
      <c r="R67" s="1006" t="s">
        <v>783</v>
      </c>
      <c r="S67" s="443">
        <v>45730</v>
      </c>
      <c r="T67" s="359"/>
      <c r="U67" s="138"/>
      <c r="V67" s="138"/>
      <c r="W67" s="138" t="s">
        <v>383</v>
      </c>
      <c r="X67" s="359">
        <v>100000</v>
      </c>
      <c r="Y67" s="413" t="s">
        <v>784</v>
      </c>
      <c r="Z67" s="134">
        <v>100000</v>
      </c>
      <c r="AA67" s="417" t="s">
        <v>785</v>
      </c>
      <c r="AB67" s="359">
        <v>133622</v>
      </c>
      <c r="AC67" s="138" t="s">
        <v>786</v>
      </c>
      <c r="AD67" s="359">
        <v>320000</v>
      </c>
      <c r="AE67" s="138" t="s">
        <v>787</v>
      </c>
      <c r="AF67" s="134">
        <v>-6068</v>
      </c>
      <c r="AL67" s="359">
        <f t="shared" si="17"/>
        <v>647554</v>
      </c>
      <c r="AO67" s="418">
        <f t="shared" si="19"/>
        <v>0</v>
      </c>
      <c r="AP67" s="134">
        <v>15226213785</v>
      </c>
      <c r="AT67" s="419">
        <f t="shared" si="13"/>
        <v>0</v>
      </c>
      <c r="AU67" s="143"/>
      <c r="BC67" s="359">
        <f t="shared" si="14"/>
        <v>647554</v>
      </c>
      <c r="BD67" s="513">
        <f>1%+0.14%</f>
        <v>0.0114</v>
      </c>
      <c r="BQ67" s="134">
        <v>333622</v>
      </c>
      <c r="BV67" s="134">
        <v>313932</v>
      </c>
      <c r="CK67" s="134" t="s">
        <v>376</v>
      </c>
      <c r="CN67" s="134" t="s">
        <v>377</v>
      </c>
    </row>
    <row r="68" s="134" customFormat="1" customHeight="1" spans="1:96">
      <c r="A68" s="134">
        <v>61</v>
      </c>
      <c r="B68" s="134"/>
      <c r="C68" s="443">
        <v>45806</v>
      </c>
      <c r="D68" s="134">
        <v>20250002936</v>
      </c>
      <c r="F68" s="429" t="s">
        <v>788</v>
      </c>
      <c r="G68" s="134" t="s">
        <v>789</v>
      </c>
      <c r="H68" s="128"/>
      <c r="I68" s="134" t="s">
        <v>477</v>
      </c>
      <c r="J68" s="134">
        <v>18</v>
      </c>
      <c r="K68" s="134">
        <v>127.07</v>
      </c>
      <c r="L68" s="134">
        <v>127.07</v>
      </c>
      <c r="M68" s="134">
        <v>7796.66</v>
      </c>
      <c r="N68" s="441">
        <v>990722</v>
      </c>
      <c r="O68" s="359">
        <v>7791.2</v>
      </c>
      <c r="P68" s="134"/>
      <c r="Q68" s="145">
        <v>908919.27</v>
      </c>
      <c r="R68" s="1006" t="s">
        <v>790</v>
      </c>
      <c r="S68" s="138">
        <v>45807</v>
      </c>
      <c r="T68" s="359"/>
      <c r="U68" s="138"/>
      <c r="V68" s="138"/>
      <c r="W68" s="138" t="s">
        <v>496</v>
      </c>
      <c r="X68" s="359">
        <f>480000+410722+100000</f>
        <v>990722</v>
      </c>
      <c r="Y68" s="413" t="s">
        <v>791</v>
      </c>
      <c r="Z68" s="359"/>
      <c r="AA68" s="417"/>
      <c r="AC68" s="417"/>
      <c r="AL68" s="359">
        <f t="shared" si="17"/>
        <v>990722</v>
      </c>
      <c r="AO68" s="418">
        <f t="shared" si="19"/>
        <v>0</v>
      </c>
      <c r="AP68" s="134">
        <v>18999621088</v>
      </c>
      <c r="AQ68" s="134" t="s">
        <v>690</v>
      </c>
      <c r="AT68" s="419">
        <f t="shared" si="13"/>
        <v>0</v>
      </c>
      <c r="AU68" s="143"/>
      <c r="BC68" s="359">
        <f t="shared" si="14"/>
        <v>990722</v>
      </c>
      <c r="BD68" s="140">
        <f>1%+0.18%+0.14%+0.03%</f>
        <v>0.0135</v>
      </c>
      <c r="CA68" s="134">
        <v>990722</v>
      </c>
      <c r="CK68" s="134" t="s">
        <v>376</v>
      </c>
      <c r="CN68" s="134" t="s">
        <v>377</v>
      </c>
      <c r="CP68" s="134">
        <f>CA68*0.002</f>
        <v>1981.444</v>
      </c>
      <c r="CQ68" s="134">
        <f>CA68*0.0014</f>
        <v>1387.0108</v>
      </c>
      <c r="CR68" s="134">
        <f>CP68-CQ68</f>
        <v>594.4332</v>
      </c>
    </row>
    <row r="69" s="134" customFormat="1" customHeight="1" spans="1:96">
      <c r="A69" s="134">
        <v>62</v>
      </c>
      <c r="C69" s="443">
        <v>45211</v>
      </c>
      <c r="D69" s="134">
        <v>20230008933</v>
      </c>
      <c r="F69" s="429" t="s">
        <v>792</v>
      </c>
      <c r="G69" s="134" t="s">
        <v>793</v>
      </c>
      <c r="H69" s="128"/>
      <c r="I69" s="134" t="s">
        <v>477</v>
      </c>
      <c r="J69" s="134">
        <v>19</v>
      </c>
      <c r="K69" s="134">
        <v>58.66</v>
      </c>
      <c r="L69" s="134">
        <v>58.66</v>
      </c>
      <c r="M69" s="134">
        <v>8144.33</v>
      </c>
      <c r="N69" s="441">
        <v>477746</v>
      </c>
      <c r="O69" s="359">
        <v>7813.24</v>
      </c>
      <c r="P69" s="134"/>
      <c r="Q69" s="145">
        <v>438299.08</v>
      </c>
      <c r="R69" s="1006" t="s">
        <v>794</v>
      </c>
      <c r="S69" s="443">
        <v>45618</v>
      </c>
      <c r="T69" s="359"/>
      <c r="U69" s="138"/>
      <c r="V69" s="138"/>
      <c r="W69" s="138" t="s">
        <v>383</v>
      </c>
      <c r="X69" s="359">
        <v>400000</v>
      </c>
      <c r="Y69" s="413" t="s">
        <v>795</v>
      </c>
      <c r="Z69" s="359">
        <v>82226</v>
      </c>
      <c r="AA69" s="417" t="s">
        <v>796</v>
      </c>
      <c r="AB69" s="134">
        <v>-4480</v>
      </c>
      <c r="AC69" s="417"/>
      <c r="AL69" s="359">
        <f t="shared" si="17"/>
        <v>477746</v>
      </c>
      <c r="AO69" s="418">
        <f t="shared" si="19"/>
        <v>0</v>
      </c>
      <c r="AT69" s="419">
        <f t="shared" si="13"/>
        <v>0</v>
      </c>
      <c r="AU69" s="143"/>
      <c r="BC69" s="359">
        <f t="shared" si="14"/>
        <v>477747</v>
      </c>
      <c r="BD69" s="562">
        <f>0.9%+0.2%</f>
        <v>0.011</v>
      </c>
      <c r="BH69" s="134">
        <v>482226</v>
      </c>
      <c r="CB69" s="134">
        <v>-4479</v>
      </c>
      <c r="CK69" s="134" t="s">
        <v>376</v>
      </c>
      <c r="CL69" s="134" t="s">
        <v>387</v>
      </c>
      <c r="CN69" s="134" t="s">
        <v>377</v>
      </c>
    </row>
    <row r="70" s="134" customFormat="1" customHeight="1" spans="1:96">
      <c r="A70" s="134">
        <v>63</v>
      </c>
      <c r="C70" s="443">
        <v>45329</v>
      </c>
      <c r="D70" s="134">
        <v>20240000814</v>
      </c>
      <c r="E70" s="1006" t="s">
        <v>797</v>
      </c>
      <c r="F70" s="429" t="s">
        <v>798</v>
      </c>
      <c r="G70" s="134" t="s">
        <v>799</v>
      </c>
      <c r="H70" s="128"/>
      <c r="I70" s="134" t="s">
        <v>477</v>
      </c>
      <c r="J70" s="134">
        <v>20</v>
      </c>
      <c r="K70" s="134">
        <v>58.66</v>
      </c>
      <c r="L70" s="134">
        <v>58.66</v>
      </c>
      <c r="M70" s="134">
        <v>7768.95</v>
      </c>
      <c r="N70" s="441">
        <v>455727</v>
      </c>
      <c r="O70" s="359">
        <v>7768.95</v>
      </c>
      <c r="Q70" s="145">
        <v>418098.17</v>
      </c>
      <c r="R70" s="1006" t="s">
        <v>800</v>
      </c>
      <c r="S70" s="443">
        <v>45730</v>
      </c>
      <c r="T70" s="359"/>
      <c r="U70" s="138"/>
      <c r="V70" s="138"/>
      <c r="W70" s="138" t="s">
        <v>662</v>
      </c>
      <c r="X70" s="359">
        <v>60000</v>
      </c>
      <c r="Y70" s="413" t="s">
        <v>795</v>
      </c>
      <c r="Z70" s="359">
        <v>110000</v>
      </c>
      <c r="AA70" s="138" t="s">
        <v>801</v>
      </c>
      <c r="AB70" s="359">
        <v>140000</v>
      </c>
      <c r="AC70" s="138" t="s">
        <v>802</v>
      </c>
      <c r="AD70" s="359">
        <v>150000</v>
      </c>
      <c r="AE70" s="138" t="s">
        <v>412</v>
      </c>
      <c r="AF70" s="134">
        <v>-4273</v>
      </c>
      <c r="AL70" s="359">
        <f t="shared" si="17"/>
        <v>455727</v>
      </c>
      <c r="AO70" s="418">
        <f t="shared" si="19"/>
        <v>0</v>
      </c>
      <c r="AP70" s="134">
        <v>18196240028</v>
      </c>
      <c r="AT70" s="419">
        <f t="shared" si="13"/>
        <v>0</v>
      </c>
      <c r="AU70" s="143"/>
      <c r="BC70" s="359">
        <f t="shared" si="14"/>
        <v>455727</v>
      </c>
      <c r="BD70" s="513">
        <f>1%+0.2%</f>
        <v>0.012</v>
      </c>
      <c r="BL70" s="134">
        <v>310000</v>
      </c>
      <c r="BN70" s="134">
        <v>150000</v>
      </c>
      <c r="CB70" s="134">
        <v>-4273</v>
      </c>
      <c r="CK70" s="134" t="s">
        <v>376</v>
      </c>
      <c r="CL70" s="134" t="s">
        <v>387</v>
      </c>
      <c r="CN70" s="134" t="s">
        <v>377</v>
      </c>
    </row>
    <row r="71" s="134" customFormat="1" customHeight="1" spans="1:96">
      <c r="A71" s="134">
        <v>64</v>
      </c>
      <c r="B71" s="134"/>
      <c r="C71" s="443">
        <v>46055</v>
      </c>
      <c r="D71" s="134">
        <v>20260000634</v>
      </c>
      <c r="F71" s="429" t="s">
        <v>803</v>
      </c>
      <c r="G71" s="134" t="s">
        <v>804</v>
      </c>
      <c r="H71" s="128"/>
      <c r="I71" s="134" t="s">
        <v>477</v>
      </c>
      <c r="J71" s="134">
        <v>21</v>
      </c>
      <c r="K71" s="134">
        <v>118.54</v>
      </c>
      <c r="L71" s="134">
        <v>118.54</v>
      </c>
      <c r="M71" s="134">
        <v>7288</v>
      </c>
      <c r="N71" s="441">
        <v>863919</v>
      </c>
      <c r="O71" s="359">
        <v>7288</v>
      </c>
      <c r="P71" s="134"/>
      <c r="Q71" s="145">
        <v>792586.24</v>
      </c>
      <c r="R71" s="1006" t="s">
        <v>805</v>
      </c>
      <c r="S71" s="138">
        <v>46078</v>
      </c>
      <c r="T71" s="359">
        <v>250000</v>
      </c>
      <c r="U71" s="138" t="s">
        <v>806</v>
      </c>
      <c r="V71" s="138"/>
      <c r="W71" s="138" t="s">
        <v>807</v>
      </c>
      <c r="X71" s="359">
        <v>30000</v>
      </c>
      <c r="Y71" s="138">
        <v>46046</v>
      </c>
      <c r="Z71" s="359">
        <v>51960</v>
      </c>
      <c r="AA71" s="417" t="s">
        <v>808</v>
      </c>
      <c r="AB71" s="359">
        <v>350959</v>
      </c>
      <c r="AC71" s="138">
        <v>46055</v>
      </c>
      <c r="AD71" s="359">
        <v>250000</v>
      </c>
      <c r="AE71" s="138" t="s">
        <v>806</v>
      </c>
      <c r="AL71" s="359">
        <f t="shared" si="17"/>
        <v>682919</v>
      </c>
      <c r="AO71" s="418">
        <f t="shared" si="19"/>
        <v>181000</v>
      </c>
      <c r="AP71" s="134">
        <v>17397521555</v>
      </c>
      <c r="AT71" s="419">
        <f t="shared" si="13"/>
        <v>0</v>
      </c>
      <c r="AU71" s="143"/>
      <c r="BC71" s="359">
        <f t="shared" si="14"/>
        <v>432919</v>
      </c>
      <c r="BD71" s="140">
        <f>1%+0.25%+0.03%</f>
        <v>0.0128</v>
      </c>
      <c r="CF71" s="134">
        <v>432919</v>
      </c>
      <c r="CK71" s="134" t="s">
        <v>376</v>
      </c>
      <c r="CN71" s="134" t="s">
        <v>809</v>
      </c>
    </row>
    <row r="72" s="134" customFormat="1" customHeight="1" spans="1:96">
      <c r="A72" s="134">
        <v>65</v>
      </c>
      <c r="C72" s="443"/>
      <c r="E72" s="134" t="s">
        <v>810</v>
      </c>
      <c r="F72" s="429"/>
      <c r="G72" s="134" t="s">
        <v>811</v>
      </c>
      <c r="H72" s="128"/>
      <c r="I72" s="134" t="s">
        <v>812</v>
      </c>
      <c r="J72" s="134">
        <v>1</v>
      </c>
      <c r="K72" s="134">
        <v>898.79</v>
      </c>
      <c r="L72" s="134">
        <v>898.79</v>
      </c>
      <c r="N72" s="441">
        <v>7525569</v>
      </c>
      <c r="O72" s="359">
        <v>7898.53</v>
      </c>
      <c r="P72" s="134"/>
      <c r="Q72" s="145"/>
      <c r="T72" s="359"/>
      <c r="U72" s="138"/>
      <c r="V72" s="420"/>
      <c r="W72" s="138"/>
      <c r="X72" s="359">
        <v>857000</v>
      </c>
      <c r="Y72" s="138">
        <v>46007</v>
      </c>
      <c r="Z72" s="359">
        <v>1981000</v>
      </c>
      <c r="AA72" s="138">
        <v>46029</v>
      </c>
      <c r="AB72" s="134">
        <v>1033500</v>
      </c>
      <c r="AC72" s="417" t="s">
        <v>813</v>
      </c>
      <c r="AD72" s="359">
        <v>1660000</v>
      </c>
      <c r="AE72" s="138" t="s">
        <v>814</v>
      </c>
      <c r="AL72" s="359">
        <f t="shared" si="17"/>
        <v>5531500</v>
      </c>
      <c r="AO72" s="418">
        <f t="shared" si="19"/>
        <v>1994069</v>
      </c>
      <c r="AT72" s="419">
        <f t="shared" si="13"/>
        <v>200</v>
      </c>
      <c r="AU72" s="143"/>
      <c r="AV72" s="134">
        <v>200</v>
      </c>
      <c r="BC72" s="359">
        <f t="shared" si="14"/>
        <v>0</v>
      </c>
      <c r="CN72" s="134" t="s">
        <v>815</v>
      </c>
    </row>
    <row r="73" s="134" customFormat="1" customHeight="1" spans="1:96">
      <c r="A73" s="134">
        <v>66</v>
      </c>
      <c r="C73" s="443">
        <v>45465</v>
      </c>
      <c r="D73" s="134">
        <v>20240003579</v>
      </c>
      <c r="E73" s="1006" t="s">
        <v>816</v>
      </c>
      <c r="F73" s="429" t="s">
        <v>817</v>
      </c>
      <c r="G73" s="134" t="s">
        <v>818</v>
      </c>
      <c r="H73" s="134" t="s">
        <v>819</v>
      </c>
      <c r="I73" s="134" t="s">
        <v>370</v>
      </c>
      <c r="J73" s="134">
        <v>1</v>
      </c>
      <c r="K73" s="134">
        <v>43.43</v>
      </c>
      <c r="L73" s="134">
        <v>43.43</v>
      </c>
      <c r="M73" s="134">
        <v>17000</v>
      </c>
      <c r="N73" s="441">
        <v>738310</v>
      </c>
      <c r="O73" s="359">
        <v>17000</v>
      </c>
      <c r="Q73" s="145">
        <v>677348.62</v>
      </c>
      <c r="R73" s="1006" t="s">
        <v>820</v>
      </c>
      <c r="S73" s="443">
        <v>45756</v>
      </c>
      <c r="T73" s="359"/>
      <c r="U73" s="138"/>
      <c r="V73" s="1009" t="s">
        <v>821</v>
      </c>
      <c r="W73" s="138" t="s">
        <v>677</v>
      </c>
      <c r="X73" s="359">
        <v>2000</v>
      </c>
      <c r="Y73" s="413" t="s">
        <v>597</v>
      </c>
      <c r="Z73" s="359">
        <v>48000</v>
      </c>
      <c r="AA73" s="138" t="s">
        <v>672</v>
      </c>
      <c r="AB73" s="359">
        <v>328310</v>
      </c>
      <c r="AC73" s="138" t="s">
        <v>822</v>
      </c>
      <c r="AD73" s="359">
        <v>360000</v>
      </c>
      <c r="AE73" s="138">
        <v>45554</v>
      </c>
      <c r="AL73" s="359">
        <f t="shared" ref="AL73:AL92" si="20">X73+Z73+AB73+AD73+AF73+AH73+AJ73</f>
        <v>738310</v>
      </c>
      <c r="AO73" s="418">
        <f t="shared" si="19"/>
        <v>0</v>
      </c>
      <c r="AP73" s="134">
        <v>15276299122</v>
      </c>
      <c r="AT73" s="419">
        <f t="shared" ref="AT73:AT104" si="21">AU73+AV73+AW73+AX73+AY73+AZ73+BA73+BB73</f>
        <v>0</v>
      </c>
      <c r="AU73" s="143"/>
      <c r="BC73" s="359">
        <f t="shared" ref="BC73:BC104" si="22">SUM(BE73:CH73)</f>
        <v>738310</v>
      </c>
      <c r="BD73" s="365">
        <f t="shared" ref="BD73:BD75" si="23">1%+0.18%+0.25%</f>
        <v>0.0143</v>
      </c>
      <c r="BP73" s="134">
        <v>378310</v>
      </c>
      <c r="BS73" s="134">
        <v>360000</v>
      </c>
      <c r="CK73" s="134" t="s">
        <v>376</v>
      </c>
      <c r="CL73" s="134" t="s">
        <v>387</v>
      </c>
      <c r="CN73" s="134" t="s">
        <v>377</v>
      </c>
    </row>
    <row r="74" s="134" customFormat="1" customHeight="1" spans="1:96">
      <c r="A74" s="134">
        <v>67</v>
      </c>
      <c r="C74" s="443">
        <v>45465</v>
      </c>
      <c r="D74" s="134">
        <v>20240003028</v>
      </c>
      <c r="E74" s="1006" t="s">
        <v>823</v>
      </c>
      <c r="F74" s="429" t="s">
        <v>817</v>
      </c>
      <c r="G74" s="134" t="s">
        <v>818</v>
      </c>
      <c r="I74" s="134" t="s">
        <v>370</v>
      </c>
      <c r="J74" s="134">
        <v>2</v>
      </c>
      <c r="K74" s="134">
        <v>50.67</v>
      </c>
      <c r="L74" s="134">
        <v>50.67</v>
      </c>
      <c r="M74" s="134">
        <v>17000</v>
      </c>
      <c r="N74" s="441">
        <v>861390</v>
      </c>
      <c r="O74" s="359">
        <v>17000</v>
      </c>
      <c r="Q74" s="145">
        <v>790266.06</v>
      </c>
      <c r="R74" s="1006" t="s">
        <v>824</v>
      </c>
      <c r="S74" s="443">
        <v>45756</v>
      </c>
      <c r="T74" s="359"/>
      <c r="U74" s="138"/>
      <c r="V74" s="1009" t="s">
        <v>825</v>
      </c>
      <c r="W74" s="138" t="s">
        <v>677</v>
      </c>
      <c r="X74" s="359">
        <v>2000</v>
      </c>
      <c r="Y74" s="413" t="s">
        <v>826</v>
      </c>
      <c r="Z74" s="359">
        <v>48000</v>
      </c>
      <c r="AA74" s="138" t="s">
        <v>672</v>
      </c>
      <c r="AB74" s="134">
        <v>411390</v>
      </c>
      <c r="AC74" s="417" t="s">
        <v>827</v>
      </c>
      <c r="AD74" s="359">
        <v>400000</v>
      </c>
      <c r="AE74" s="138">
        <v>45554</v>
      </c>
      <c r="AL74" s="359">
        <f t="shared" si="20"/>
        <v>861390</v>
      </c>
      <c r="AO74" s="418">
        <f t="shared" ref="AO74:AO93" si="24">N74-AL74</f>
        <v>0</v>
      </c>
      <c r="AP74" s="134">
        <v>15276299122</v>
      </c>
      <c r="AT74" s="419">
        <f t="shared" si="21"/>
        <v>0</v>
      </c>
      <c r="AU74" s="143"/>
      <c r="BC74" s="359">
        <f t="shared" si="22"/>
        <v>861390</v>
      </c>
      <c r="BD74" s="365">
        <f t="shared" si="23"/>
        <v>0.0143</v>
      </c>
      <c r="BP74" s="134">
        <v>461390</v>
      </c>
      <c r="BS74" s="134">
        <v>400000</v>
      </c>
      <c r="CK74" s="134" t="s">
        <v>376</v>
      </c>
      <c r="CL74" s="134" t="s">
        <v>387</v>
      </c>
      <c r="CN74" s="134" t="s">
        <v>377</v>
      </c>
    </row>
    <row r="75" s="134" customFormat="1" customHeight="1" spans="1:96">
      <c r="A75" s="134">
        <v>68</v>
      </c>
      <c r="C75" s="443">
        <v>45464</v>
      </c>
      <c r="D75" s="134">
        <v>20240003564</v>
      </c>
      <c r="E75" s="1006" t="s">
        <v>828</v>
      </c>
      <c r="F75" s="429" t="s">
        <v>829</v>
      </c>
      <c r="G75" s="134" t="s">
        <v>830</v>
      </c>
      <c r="I75" s="134" t="s">
        <v>370</v>
      </c>
      <c r="J75" s="134">
        <v>3</v>
      </c>
      <c r="K75" s="134">
        <v>50.67</v>
      </c>
      <c r="L75" s="134">
        <v>50.67</v>
      </c>
      <c r="M75" s="420">
        <v>17959.34</v>
      </c>
      <c r="N75" s="441">
        <v>910000</v>
      </c>
      <c r="O75" s="359">
        <v>17650</v>
      </c>
      <c r="Q75" s="145">
        <v>834862.39</v>
      </c>
      <c r="R75" s="1006" t="s">
        <v>831</v>
      </c>
      <c r="S75" s="443">
        <v>45756</v>
      </c>
      <c r="T75" s="359"/>
      <c r="U75" s="138"/>
      <c r="V75" s="420"/>
      <c r="W75" s="138" t="s">
        <v>383</v>
      </c>
      <c r="X75" s="359">
        <v>50000</v>
      </c>
      <c r="Y75" s="413" t="s">
        <v>832</v>
      </c>
      <c r="Z75" s="359">
        <v>50000</v>
      </c>
      <c r="AA75" s="417" t="s">
        <v>833</v>
      </c>
      <c r="AB75" s="359">
        <v>200000</v>
      </c>
      <c r="AC75" s="138" t="s">
        <v>834</v>
      </c>
      <c r="AD75" s="134">
        <f>90000+60000</f>
        <v>150000</v>
      </c>
      <c r="AE75" s="134" t="s">
        <v>822</v>
      </c>
      <c r="AF75" s="359">
        <v>460000</v>
      </c>
      <c r="AG75" s="138" t="s">
        <v>835</v>
      </c>
      <c r="AL75" s="359">
        <f t="shared" si="20"/>
        <v>910000</v>
      </c>
      <c r="AO75" s="418">
        <f t="shared" si="24"/>
        <v>0</v>
      </c>
      <c r="AP75" s="134">
        <v>17767669870</v>
      </c>
      <c r="AT75" s="419">
        <f t="shared" si="21"/>
        <v>0</v>
      </c>
      <c r="AU75" s="143"/>
      <c r="BC75" s="359">
        <f t="shared" si="22"/>
        <v>910000</v>
      </c>
      <c r="BD75" s="365">
        <f>1%+0.25%</f>
        <v>0.0125</v>
      </c>
      <c r="BR75" s="134">
        <v>910000</v>
      </c>
      <c r="CK75" s="134" t="s">
        <v>376</v>
      </c>
      <c r="CL75" s="134" t="s">
        <v>387</v>
      </c>
      <c r="CN75" s="134" t="s">
        <v>377</v>
      </c>
    </row>
    <row r="76" s="134" customFormat="1" customHeight="1" spans="1:96">
      <c r="A76" s="134">
        <v>69</v>
      </c>
      <c r="B76" s="134"/>
      <c r="C76" s="443">
        <v>45567</v>
      </c>
      <c r="D76" s="134">
        <v>20240005663</v>
      </c>
      <c r="E76" s="1006" t="s">
        <v>836</v>
      </c>
      <c r="F76" s="429" t="s">
        <v>837</v>
      </c>
      <c r="G76" s="134" t="s">
        <v>838</v>
      </c>
      <c r="I76" s="134" t="s">
        <v>370</v>
      </c>
      <c r="J76" s="134">
        <v>4</v>
      </c>
      <c r="K76" s="134">
        <v>50.67</v>
      </c>
      <c r="L76" s="134">
        <v>50.67</v>
      </c>
      <c r="M76" s="134">
        <v>17959.34</v>
      </c>
      <c r="N76" s="441">
        <v>910000</v>
      </c>
      <c r="O76" s="359">
        <v>17844</v>
      </c>
      <c r="Q76" s="145">
        <v>834862.39</v>
      </c>
      <c r="R76" s="1006" t="s">
        <v>839</v>
      </c>
      <c r="S76" s="443">
        <v>45756</v>
      </c>
      <c r="T76" s="359"/>
      <c r="U76" s="138"/>
      <c r="V76" s="420"/>
      <c r="W76" s="138" t="s">
        <v>840</v>
      </c>
      <c r="X76" s="359">
        <v>20000</v>
      </c>
      <c r="Y76" s="413">
        <v>45548</v>
      </c>
      <c r="Z76" s="359">
        <v>440000</v>
      </c>
      <c r="AA76" s="138" t="s">
        <v>841</v>
      </c>
      <c r="AB76" s="134">
        <v>450000</v>
      </c>
      <c r="AC76" s="417" t="s">
        <v>517</v>
      </c>
      <c r="AL76" s="359">
        <f t="shared" si="20"/>
        <v>910000</v>
      </c>
      <c r="AO76" s="418">
        <f t="shared" si="24"/>
        <v>0</v>
      </c>
      <c r="AP76" s="134">
        <v>13150268333</v>
      </c>
      <c r="AT76" s="419">
        <f t="shared" si="21"/>
        <v>0</v>
      </c>
      <c r="AU76" s="143"/>
      <c r="BC76" s="359">
        <f t="shared" si="22"/>
        <v>910000</v>
      </c>
      <c r="BD76" s="140">
        <f>0.9%+0.2%</f>
        <v>0.011</v>
      </c>
      <c r="BT76" s="134">
        <v>910000</v>
      </c>
      <c r="CK76" s="134" t="s">
        <v>376</v>
      </c>
      <c r="CN76" s="134" t="s">
        <v>377</v>
      </c>
    </row>
    <row r="77" s="134" customFormat="1" ht="40" customHeight="1" spans="1:96">
      <c r="A77" s="134">
        <v>70</v>
      </c>
      <c r="C77" s="443">
        <v>45504</v>
      </c>
      <c r="D77" s="134">
        <v>20240004390</v>
      </c>
      <c r="E77" s="1006" t="s">
        <v>842</v>
      </c>
      <c r="F77" s="429" t="s">
        <v>843</v>
      </c>
      <c r="G77" s="143" t="s">
        <v>844</v>
      </c>
      <c r="I77" s="134" t="s">
        <v>370</v>
      </c>
      <c r="J77" s="134">
        <v>5</v>
      </c>
      <c r="K77" s="134">
        <v>50.67</v>
      </c>
      <c r="L77" s="134">
        <v>50.67</v>
      </c>
      <c r="M77" s="134">
        <v>18000</v>
      </c>
      <c r="N77" s="441">
        <f>M77*L77</f>
        <v>912060</v>
      </c>
      <c r="O77" s="359">
        <v>17747</v>
      </c>
      <c r="Q77" s="145">
        <v>836752.29</v>
      </c>
      <c r="R77" s="1006" t="s">
        <v>845</v>
      </c>
      <c r="S77" s="443">
        <v>45756</v>
      </c>
      <c r="T77" s="359"/>
      <c r="U77" s="138"/>
      <c r="V77" s="440"/>
      <c r="W77" s="413" t="s">
        <v>393</v>
      </c>
      <c r="X77" s="359">
        <v>20000</v>
      </c>
      <c r="Y77" s="413" t="s">
        <v>832</v>
      </c>
      <c r="Z77" s="359">
        <v>300000</v>
      </c>
      <c r="AA77" s="138" t="s">
        <v>472</v>
      </c>
      <c r="AB77" s="359">
        <v>136060</v>
      </c>
      <c r="AC77" s="138" t="s">
        <v>846</v>
      </c>
      <c r="AD77" s="359">
        <v>456000</v>
      </c>
      <c r="AE77" s="138" t="s">
        <v>697</v>
      </c>
      <c r="AL77" s="359">
        <f t="shared" si="20"/>
        <v>912060</v>
      </c>
      <c r="AO77" s="418">
        <f t="shared" si="24"/>
        <v>0</v>
      </c>
      <c r="AP77" s="134">
        <v>17699945989</v>
      </c>
      <c r="AT77" s="419">
        <f t="shared" si="21"/>
        <v>0</v>
      </c>
      <c r="AU77" s="143"/>
      <c r="BC77" s="359">
        <f t="shared" si="22"/>
        <v>912060</v>
      </c>
      <c r="BD77" s="365">
        <f t="shared" ref="BD77:BD81" si="25">1%+0.18%+0.25%</f>
        <v>0.0143</v>
      </c>
      <c r="BQ77" s="134">
        <v>456060</v>
      </c>
      <c r="BS77" s="134">
        <v>456000</v>
      </c>
      <c r="CK77" s="134" t="s">
        <v>376</v>
      </c>
      <c r="CN77" s="134" t="s">
        <v>377</v>
      </c>
    </row>
    <row r="78" s="134" customFormat="1" ht="45" customHeight="1" spans="1:96">
      <c r="A78" s="134">
        <v>71</v>
      </c>
      <c r="C78" s="443">
        <v>45474</v>
      </c>
      <c r="D78" s="134">
        <v>20240003765</v>
      </c>
      <c r="E78" s="1006" t="s">
        <v>847</v>
      </c>
      <c r="F78" s="429" t="s">
        <v>848</v>
      </c>
      <c r="G78" s="143" t="s">
        <v>849</v>
      </c>
      <c r="I78" s="134" t="s">
        <v>370</v>
      </c>
      <c r="J78" s="134">
        <v>6</v>
      </c>
      <c r="K78" s="134">
        <v>50.67</v>
      </c>
      <c r="L78" s="134">
        <v>50.67</v>
      </c>
      <c r="M78" s="134">
        <v>18324.45</v>
      </c>
      <c r="N78" s="441">
        <v>918000</v>
      </c>
      <c r="O78" s="359">
        <v>17941</v>
      </c>
      <c r="Q78" s="145">
        <v>842201.83</v>
      </c>
      <c r="R78" s="1006" t="s">
        <v>850</v>
      </c>
      <c r="S78" s="443">
        <v>45756</v>
      </c>
      <c r="T78" s="359"/>
      <c r="U78" s="138"/>
      <c r="V78" s="1009" t="s">
        <v>851</v>
      </c>
      <c r="W78" s="138" t="s">
        <v>383</v>
      </c>
      <c r="X78" s="359">
        <v>20000</v>
      </c>
      <c r="Y78" s="413" t="s">
        <v>852</v>
      </c>
      <c r="Z78" s="134">
        <v>30000</v>
      </c>
      <c r="AA78" s="417" t="s">
        <v>555</v>
      </c>
      <c r="AB78" s="359">
        <v>200000</v>
      </c>
      <c r="AC78" s="138" t="s">
        <v>543</v>
      </c>
      <c r="AD78" s="359">
        <v>312000</v>
      </c>
      <c r="AE78" s="138" t="s">
        <v>472</v>
      </c>
      <c r="AF78" s="134">
        <v>356000</v>
      </c>
      <c r="AG78" s="134" t="s">
        <v>853</v>
      </c>
      <c r="AL78" s="359">
        <f t="shared" si="20"/>
        <v>918000</v>
      </c>
      <c r="AO78" s="418">
        <f t="shared" si="24"/>
        <v>0</v>
      </c>
      <c r="AP78" s="134">
        <v>18095859769</v>
      </c>
      <c r="AT78" s="419">
        <f t="shared" si="21"/>
        <v>0</v>
      </c>
      <c r="AU78" s="143"/>
      <c r="BC78" s="359">
        <f t="shared" si="22"/>
        <v>918000</v>
      </c>
      <c r="BD78" s="365">
        <f t="shared" ref="BD78:BD81" si="26">1%+0.25%</f>
        <v>0.0125</v>
      </c>
      <c r="BQ78" s="134">
        <v>918000</v>
      </c>
      <c r="CK78" s="134" t="s">
        <v>376</v>
      </c>
      <c r="CN78" s="134" t="s">
        <v>377</v>
      </c>
    </row>
    <row r="79" s="134" customFormat="1" ht="44" customHeight="1" spans="1:96">
      <c r="A79" s="134">
        <v>72</v>
      </c>
      <c r="C79" s="443">
        <v>45474</v>
      </c>
      <c r="D79" s="134">
        <v>20240003764</v>
      </c>
      <c r="E79" s="1006" t="s">
        <v>854</v>
      </c>
      <c r="F79" s="429" t="s">
        <v>848</v>
      </c>
      <c r="G79" s="143" t="s">
        <v>855</v>
      </c>
      <c r="I79" s="134" t="s">
        <v>370</v>
      </c>
      <c r="J79" s="134">
        <v>7</v>
      </c>
      <c r="K79" s="134">
        <v>50.67</v>
      </c>
      <c r="L79" s="134">
        <v>50.67</v>
      </c>
      <c r="M79" s="134">
        <v>18324.45</v>
      </c>
      <c r="N79" s="441">
        <v>918000</v>
      </c>
      <c r="O79" s="359">
        <v>18038</v>
      </c>
      <c r="Q79" s="145">
        <v>842201.83</v>
      </c>
      <c r="R79" s="1006" t="s">
        <v>856</v>
      </c>
      <c r="S79" s="443">
        <v>45756</v>
      </c>
      <c r="T79" s="359"/>
      <c r="U79" s="138"/>
      <c r="V79" s="1009" t="s">
        <v>857</v>
      </c>
      <c r="W79" s="138" t="s">
        <v>383</v>
      </c>
      <c r="X79" s="359">
        <v>25000</v>
      </c>
      <c r="Y79" s="413" t="s">
        <v>672</v>
      </c>
      <c r="Z79" s="134">
        <v>25000</v>
      </c>
      <c r="AA79" s="417" t="s">
        <v>832</v>
      </c>
      <c r="AB79" s="359">
        <f>688000+180000</f>
        <v>868000</v>
      </c>
      <c r="AC79" s="138" t="s">
        <v>472</v>
      </c>
      <c r="AL79" s="359">
        <f t="shared" si="20"/>
        <v>918000</v>
      </c>
      <c r="AO79" s="418">
        <f t="shared" si="24"/>
        <v>0</v>
      </c>
      <c r="AP79" s="134">
        <v>18095859769</v>
      </c>
      <c r="AT79" s="419">
        <f t="shared" si="21"/>
        <v>0</v>
      </c>
      <c r="AU79" s="143"/>
      <c r="BC79" s="359">
        <f t="shared" si="22"/>
        <v>918000</v>
      </c>
      <c r="BD79" s="365">
        <f t="shared" si="26"/>
        <v>0.0125</v>
      </c>
      <c r="BQ79" s="134">
        <v>918000</v>
      </c>
      <c r="CK79" s="134" t="s">
        <v>376</v>
      </c>
      <c r="CN79" s="134" t="s">
        <v>377</v>
      </c>
    </row>
    <row r="80" s="134" customFormat="1" customHeight="1" spans="1:96">
      <c r="A80" s="134">
        <v>73</v>
      </c>
      <c r="C80" s="443">
        <v>45440</v>
      </c>
      <c r="D80" s="134">
        <v>20240003156</v>
      </c>
      <c r="E80" s="1006" t="s">
        <v>858</v>
      </c>
      <c r="F80" s="429" t="s">
        <v>859</v>
      </c>
      <c r="G80" s="134" t="s">
        <v>860</v>
      </c>
      <c r="I80" s="134" t="s">
        <v>370</v>
      </c>
      <c r="J80" s="134">
        <v>8</v>
      </c>
      <c r="K80" s="134">
        <v>50.67</v>
      </c>
      <c r="L80" s="134">
        <v>50.67</v>
      </c>
      <c r="M80" s="563">
        <v>18324.45</v>
      </c>
      <c r="N80" s="441">
        <v>915750</v>
      </c>
      <c r="O80" s="359">
        <v>18038</v>
      </c>
      <c r="Q80" s="145">
        <v>840137.61</v>
      </c>
      <c r="R80" s="1006" t="s">
        <v>861</v>
      </c>
      <c r="S80" s="443">
        <v>45756</v>
      </c>
      <c r="T80" s="359"/>
      <c r="U80" s="138"/>
      <c r="V80" s="1008" t="s">
        <v>862</v>
      </c>
      <c r="W80" s="138" t="s">
        <v>772</v>
      </c>
      <c r="X80" s="359">
        <f>2000+2000</f>
        <v>4000</v>
      </c>
      <c r="Y80" s="413" t="s">
        <v>741</v>
      </c>
      <c r="Z80" s="359">
        <v>16000</v>
      </c>
      <c r="AA80" s="138" t="s">
        <v>863</v>
      </c>
      <c r="AB80" s="134">
        <v>230000</v>
      </c>
      <c r="AC80" s="417" t="s">
        <v>833</v>
      </c>
      <c r="AD80" s="359">
        <v>100000</v>
      </c>
      <c r="AE80" s="138" t="s">
        <v>663</v>
      </c>
      <c r="AF80" s="359">
        <v>200000</v>
      </c>
      <c r="AG80" s="138" t="s">
        <v>864</v>
      </c>
      <c r="AH80" s="359">
        <v>365750</v>
      </c>
      <c r="AI80" s="138" t="s">
        <v>865</v>
      </c>
      <c r="AL80" s="359">
        <f t="shared" si="20"/>
        <v>915750</v>
      </c>
      <c r="AO80" s="418">
        <f t="shared" si="24"/>
        <v>0</v>
      </c>
      <c r="AP80" s="134">
        <v>13029623486</v>
      </c>
      <c r="AT80" s="419">
        <f t="shared" si="21"/>
        <v>0</v>
      </c>
      <c r="AU80" s="143"/>
      <c r="BC80" s="359">
        <f t="shared" si="22"/>
        <v>915750</v>
      </c>
      <c r="BD80" s="365">
        <f t="shared" si="25"/>
        <v>0.0143</v>
      </c>
      <c r="BY80" s="134">
        <v>915750</v>
      </c>
      <c r="CK80" s="134" t="s">
        <v>376</v>
      </c>
      <c r="CN80" s="134" t="s">
        <v>377</v>
      </c>
    </row>
    <row r="81" s="134" customFormat="1" customHeight="1" spans="1:92">
      <c r="A81" s="134">
        <v>74</v>
      </c>
      <c r="C81" s="443">
        <v>45520</v>
      </c>
      <c r="D81" s="134">
        <v>20240004709</v>
      </c>
      <c r="E81" s="1006" t="s">
        <v>866</v>
      </c>
      <c r="F81" s="429" t="s">
        <v>867</v>
      </c>
      <c r="G81" s="134" t="s">
        <v>868</v>
      </c>
      <c r="I81" s="134" t="s">
        <v>370</v>
      </c>
      <c r="J81" s="134">
        <v>9</v>
      </c>
      <c r="K81" s="134">
        <v>50.67</v>
      </c>
      <c r="L81" s="134">
        <v>50.67</v>
      </c>
      <c r="M81" s="563">
        <v>18324.45</v>
      </c>
      <c r="N81" s="441">
        <v>933000</v>
      </c>
      <c r="O81" s="359">
        <v>18135</v>
      </c>
      <c r="Q81" s="145">
        <v>855963.3</v>
      </c>
      <c r="R81" s="1006" t="s">
        <v>869</v>
      </c>
      <c r="S81" s="443">
        <v>45769</v>
      </c>
      <c r="T81" s="359"/>
      <c r="U81" s="138"/>
      <c r="V81" s="420"/>
      <c r="W81" s="138" t="s">
        <v>870</v>
      </c>
      <c r="X81" s="359">
        <v>2000</v>
      </c>
      <c r="Y81" s="413" t="s">
        <v>871</v>
      </c>
      <c r="Z81" s="359">
        <v>18000</v>
      </c>
      <c r="AA81" s="138" t="s">
        <v>386</v>
      </c>
      <c r="AB81" s="359">
        <v>453000</v>
      </c>
      <c r="AC81" s="138" t="s">
        <v>872</v>
      </c>
      <c r="AD81" s="359">
        <v>460000</v>
      </c>
      <c r="AE81" s="138" t="s">
        <v>697</v>
      </c>
      <c r="AL81" s="359">
        <f t="shared" si="20"/>
        <v>933000</v>
      </c>
      <c r="AO81" s="418">
        <f t="shared" si="24"/>
        <v>0</v>
      </c>
      <c r="AP81" s="134">
        <v>13565065448</v>
      </c>
      <c r="AT81" s="419">
        <f t="shared" si="21"/>
        <v>0</v>
      </c>
      <c r="AU81" s="143"/>
      <c r="BC81" s="359">
        <f t="shared" si="22"/>
        <v>933000</v>
      </c>
      <c r="BD81" s="365">
        <f t="shared" si="26"/>
        <v>0.0125</v>
      </c>
      <c r="BR81" s="134">
        <v>473000</v>
      </c>
      <c r="BS81" s="134">
        <v>460000</v>
      </c>
      <c r="CK81" s="134" t="s">
        <v>376</v>
      </c>
      <c r="CN81" s="134" t="s">
        <v>377</v>
      </c>
    </row>
    <row r="82" s="134" customFormat="1" ht="45" customHeight="1" spans="1:92">
      <c r="A82" s="134">
        <v>75</v>
      </c>
      <c r="B82" s="134"/>
      <c r="C82" s="443">
        <v>45567</v>
      </c>
      <c r="D82" s="134">
        <v>20240005641</v>
      </c>
      <c r="E82" s="1006" t="s">
        <v>873</v>
      </c>
      <c r="F82" s="429" t="s">
        <v>874</v>
      </c>
      <c r="G82" s="143" t="s">
        <v>875</v>
      </c>
      <c r="I82" s="134" t="s">
        <v>370</v>
      </c>
      <c r="J82" s="134">
        <v>10</v>
      </c>
      <c r="K82" s="134">
        <v>77.44</v>
      </c>
      <c r="L82" s="134">
        <v>77.44</v>
      </c>
      <c r="M82" s="134">
        <v>20000</v>
      </c>
      <c r="N82" s="441">
        <v>1548800</v>
      </c>
      <c r="O82" s="359">
        <v>22000</v>
      </c>
      <c r="P82" s="134"/>
      <c r="Q82" s="145">
        <v>1420917.43</v>
      </c>
      <c r="R82" s="1006" t="s">
        <v>876</v>
      </c>
      <c r="S82" s="443">
        <v>45590</v>
      </c>
      <c r="T82" s="359"/>
      <c r="U82" s="138"/>
      <c r="V82" s="440"/>
      <c r="W82" s="413" t="s">
        <v>410</v>
      </c>
      <c r="X82" s="359">
        <v>200000</v>
      </c>
      <c r="Y82" s="413">
        <v>45563</v>
      </c>
      <c r="Z82" s="359">
        <v>1327000</v>
      </c>
      <c r="AA82" s="138">
        <v>45565</v>
      </c>
      <c r="AB82" s="359">
        <v>21800</v>
      </c>
      <c r="AC82" s="138" t="s">
        <v>374</v>
      </c>
      <c r="AL82" s="359">
        <f t="shared" si="20"/>
        <v>1548800</v>
      </c>
      <c r="AO82" s="418">
        <f t="shared" si="24"/>
        <v>0</v>
      </c>
      <c r="AP82" s="134">
        <v>15999019972</v>
      </c>
      <c r="AT82" s="419">
        <f t="shared" si="21"/>
        <v>400</v>
      </c>
      <c r="AU82" s="419">
        <f>200</f>
        <v>200</v>
      </c>
      <c r="AV82" s="359"/>
      <c r="AW82" s="359">
        <v>200</v>
      </c>
      <c r="AX82" s="359"/>
      <c r="AY82" s="359"/>
      <c r="AZ82" s="359"/>
      <c r="BA82" s="359"/>
      <c r="BB82" s="359"/>
      <c r="BC82" s="359">
        <f t="shared" si="22"/>
        <v>1548800</v>
      </c>
      <c r="BD82" s="140">
        <f>1%+0.2%</f>
        <v>0.012</v>
      </c>
      <c r="BE82" s="359"/>
      <c r="BF82" s="359"/>
      <c r="BG82" s="359"/>
      <c r="BH82" s="359"/>
      <c r="BI82" s="359"/>
      <c r="BJ82" s="359"/>
      <c r="BK82" s="359"/>
      <c r="BL82" s="359"/>
      <c r="BM82" s="359"/>
      <c r="BN82" s="359"/>
      <c r="BO82" s="359"/>
      <c r="BP82" s="359"/>
      <c r="BQ82" s="359"/>
      <c r="BR82" s="359"/>
      <c r="BS82" s="359"/>
      <c r="BT82" s="359"/>
      <c r="BU82" s="359">
        <v>1548800</v>
      </c>
      <c r="BV82" s="359"/>
      <c r="BW82" s="359"/>
      <c r="BX82" s="359"/>
      <c r="BY82" s="359"/>
      <c r="BZ82" s="359"/>
      <c r="CA82" s="359"/>
      <c r="CB82" s="359"/>
      <c r="CC82" s="359"/>
      <c r="CD82" s="359"/>
      <c r="CE82" s="359"/>
      <c r="CF82" s="359"/>
      <c r="CG82" s="359"/>
      <c r="CH82" s="359"/>
      <c r="CI82" s="134"/>
      <c r="CK82" s="134" t="s">
        <v>376</v>
      </c>
      <c r="CN82" s="134" t="s">
        <v>377</v>
      </c>
    </row>
    <row r="83" s="134" customFormat="1" customHeight="1" spans="1:92">
      <c r="A83" s="134">
        <v>76</v>
      </c>
      <c r="C83" s="443">
        <v>45485</v>
      </c>
      <c r="D83" s="134">
        <v>20240003988</v>
      </c>
      <c r="E83" s="1006" t="s">
        <v>877</v>
      </c>
      <c r="F83" s="429" t="s">
        <v>878</v>
      </c>
      <c r="G83" s="134" t="s">
        <v>879</v>
      </c>
      <c r="I83" s="134" t="s">
        <v>477</v>
      </c>
      <c r="J83" s="134">
        <v>1</v>
      </c>
      <c r="K83" s="134">
        <v>49.47</v>
      </c>
      <c r="L83" s="134">
        <v>49.47</v>
      </c>
      <c r="M83" s="134">
        <v>7883</v>
      </c>
      <c r="N83" s="441">
        <v>390000</v>
      </c>
      <c r="O83" s="359">
        <v>7752</v>
      </c>
      <c r="Q83" s="145">
        <v>357798.17</v>
      </c>
      <c r="R83" s="1006" t="s">
        <v>880</v>
      </c>
      <c r="S83" s="443">
        <v>45743</v>
      </c>
      <c r="T83" s="359"/>
      <c r="U83" s="138"/>
      <c r="V83" s="1009" t="s">
        <v>881</v>
      </c>
      <c r="W83" s="138" t="s">
        <v>393</v>
      </c>
      <c r="X83" s="359">
        <v>2000</v>
      </c>
      <c r="Y83" s="413" t="s">
        <v>643</v>
      </c>
      <c r="Z83" s="359">
        <v>13000</v>
      </c>
      <c r="AA83" s="138" t="s">
        <v>863</v>
      </c>
      <c r="AB83" s="359">
        <v>100000</v>
      </c>
      <c r="AC83" s="138" t="s">
        <v>882</v>
      </c>
      <c r="AD83" s="359">
        <v>80000</v>
      </c>
      <c r="AE83" s="138" t="s">
        <v>883</v>
      </c>
      <c r="AF83" s="359">
        <v>85000</v>
      </c>
      <c r="AG83" s="138" t="s">
        <v>473</v>
      </c>
      <c r="AH83" s="359">
        <v>110000</v>
      </c>
      <c r="AI83" s="138" t="s">
        <v>374</v>
      </c>
      <c r="AL83" s="359">
        <f t="shared" si="20"/>
        <v>390000</v>
      </c>
      <c r="AO83" s="418">
        <f t="shared" si="24"/>
        <v>0</v>
      </c>
      <c r="AP83" s="134">
        <v>18799829152</v>
      </c>
      <c r="AT83" s="419">
        <f t="shared" si="21"/>
        <v>0</v>
      </c>
      <c r="AU83" s="143"/>
      <c r="BC83" s="359">
        <f t="shared" si="22"/>
        <v>390000</v>
      </c>
      <c r="BD83" s="365">
        <f>1%+0.18%+0.25%</f>
        <v>0.0143</v>
      </c>
      <c r="BT83" s="134">
        <v>390000</v>
      </c>
      <c r="CK83" s="134" t="s">
        <v>376</v>
      </c>
      <c r="CN83" s="134" t="s">
        <v>377</v>
      </c>
    </row>
    <row r="84" s="134" customFormat="1" customHeight="1" spans="1:92">
      <c r="A84" s="134">
        <v>77</v>
      </c>
      <c r="B84" s="134"/>
      <c r="C84" s="443">
        <v>45568</v>
      </c>
      <c r="D84" s="134">
        <v>20240005749</v>
      </c>
      <c r="E84" s="1006" t="s">
        <v>884</v>
      </c>
      <c r="F84" s="429" t="s">
        <v>885</v>
      </c>
      <c r="G84" s="134" t="s">
        <v>886</v>
      </c>
      <c r="I84" s="134" t="s">
        <v>477</v>
      </c>
      <c r="J84" s="134">
        <v>2</v>
      </c>
      <c r="K84" s="134">
        <v>57.71</v>
      </c>
      <c r="L84" s="134">
        <v>57.71</v>
      </c>
      <c r="M84" s="134">
        <v>7000</v>
      </c>
      <c r="N84" s="441">
        <v>403970</v>
      </c>
      <c r="O84" s="359">
        <v>7668</v>
      </c>
      <c r="P84" s="134"/>
      <c r="Q84" s="145">
        <v>370614.68</v>
      </c>
      <c r="R84" s="1006" t="s">
        <v>887</v>
      </c>
      <c r="S84" s="443">
        <v>45590</v>
      </c>
      <c r="T84" s="359"/>
      <c r="U84" s="138"/>
      <c r="V84" s="138"/>
      <c r="W84" s="138" t="s">
        <v>373</v>
      </c>
      <c r="X84" s="359">
        <v>20000</v>
      </c>
      <c r="Y84" s="413" t="s">
        <v>374</v>
      </c>
      <c r="Z84" s="359">
        <v>183970</v>
      </c>
      <c r="AA84" s="417" t="s">
        <v>888</v>
      </c>
      <c r="AB84" s="134">
        <v>200000</v>
      </c>
      <c r="AC84" s="417" t="s">
        <v>889</v>
      </c>
      <c r="AL84" s="359">
        <f t="shared" si="20"/>
        <v>403970</v>
      </c>
      <c r="AO84" s="418">
        <f t="shared" si="24"/>
        <v>0</v>
      </c>
      <c r="AP84" s="134">
        <v>15352620619</v>
      </c>
      <c r="AT84" s="419">
        <f t="shared" si="21"/>
        <v>0</v>
      </c>
      <c r="AU84" s="143"/>
      <c r="BC84" s="359">
        <f t="shared" si="22"/>
        <v>403970</v>
      </c>
      <c r="BD84" s="140">
        <f>1%+0.18%+0.2%</f>
        <v>0.0138</v>
      </c>
      <c r="BU84" s="134">
        <v>403970</v>
      </c>
      <c r="CK84" s="134" t="s">
        <v>376</v>
      </c>
      <c r="CN84" s="134" t="s">
        <v>377</v>
      </c>
    </row>
    <row r="85" s="134" customFormat="1" customHeight="1" spans="1:92">
      <c r="A85" s="134">
        <v>78</v>
      </c>
      <c r="B85" s="134"/>
      <c r="C85" s="443">
        <v>45570</v>
      </c>
      <c r="D85" s="134">
        <v>20240005929</v>
      </c>
      <c r="F85" s="429" t="s">
        <v>890</v>
      </c>
      <c r="G85" s="134" t="s">
        <v>891</v>
      </c>
      <c r="I85" s="134" t="s">
        <v>477</v>
      </c>
      <c r="J85" s="134">
        <v>3</v>
      </c>
      <c r="K85" s="134">
        <v>57.71</v>
      </c>
      <c r="L85" s="134">
        <v>57.71</v>
      </c>
      <c r="M85" s="134">
        <v>7451.05</v>
      </c>
      <c r="N85" s="441">
        <v>430000</v>
      </c>
      <c r="O85" s="359">
        <v>7753</v>
      </c>
      <c r="P85" s="134"/>
      <c r="Q85" s="145">
        <v>394495.41</v>
      </c>
      <c r="R85" s="1006" t="s">
        <v>892</v>
      </c>
      <c r="S85" s="443">
        <v>45582</v>
      </c>
      <c r="T85" s="359"/>
      <c r="U85" s="138"/>
      <c r="V85" s="138"/>
      <c r="W85" s="138" t="s">
        <v>677</v>
      </c>
      <c r="X85" s="359">
        <v>80000</v>
      </c>
      <c r="Y85" s="413" t="s">
        <v>516</v>
      </c>
      <c r="Z85" s="359">
        <v>350000</v>
      </c>
      <c r="AA85" s="417" t="s">
        <v>893</v>
      </c>
      <c r="AC85" s="417"/>
      <c r="AL85" s="359">
        <f t="shared" si="20"/>
        <v>430000</v>
      </c>
      <c r="AO85" s="418">
        <f t="shared" si="24"/>
        <v>0</v>
      </c>
      <c r="AP85" s="134">
        <v>13565038253</v>
      </c>
      <c r="AT85" s="419">
        <f t="shared" si="21"/>
        <v>0</v>
      </c>
      <c r="AU85" s="143"/>
      <c r="BC85" s="359">
        <f t="shared" si="22"/>
        <v>430000</v>
      </c>
      <c r="BD85" s="513">
        <f>0.8%+0.15%+0.2%+0.03%</f>
        <v>0.0118</v>
      </c>
      <c r="BU85" s="134">
        <v>430000</v>
      </c>
      <c r="CK85" s="134" t="s">
        <v>376</v>
      </c>
      <c r="CN85" s="134" t="s">
        <v>377</v>
      </c>
    </row>
    <row r="86" s="134" customFormat="1" customHeight="1" spans="1:92">
      <c r="A86" s="134">
        <v>79</v>
      </c>
      <c r="B86" s="134"/>
      <c r="C86" s="443">
        <v>45614</v>
      </c>
      <c r="D86" s="134">
        <v>20240006684</v>
      </c>
      <c r="F86" s="429" t="s">
        <v>894</v>
      </c>
      <c r="G86" s="134" t="s">
        <v>895</v>
      </c>
      <c r="I86" s="134" t="s">
        <v>477</v>
      </c>
      <c r="J86" s="134">
        <v>4</v>
      </c>
      <c r="K86" s="134">
        <v>57.71</v>
      </c>
      <c r="L86" s="134">
        <v>57.71</v>
      </c>
      <c r="M86" s="134">
        <v>7700</v>
      </c>
      <c r="N86" s="441">
        <v>444367</v>
      </c>
      <c r="O86" s="359">
        <v>7923</v>
      </c>
      <c r="P86" s="134"/>
      <c r="Q86" s="145">
        <v>407676.15</v>
      </c>
      <c r="R86" s="1006" t="s">
        <v>896</v>
      </c>
      <c r="S86" s="443">
        <v>45644</v>
      </c>
      <c r="T86" s="359"/>
      <c r="U86" s="138"/>
      <c r="V86" s="138"/>
      <c r="W86" s="138" t="s">
        <v>496</v>
      </c>
      <c r="X86" s="359">
        <v>20000</v>
      </c>
      <c r="Y86" s="413" t="s">
        <v>897</v>
      </c>
      <c r="Z86" s="359">
        <v>204367</v>
      </c>
      <c r="AA86" s="417"/>
      <c r="AB86" s="359">
        <v>25000</v>
      </c>
      <c r="AC86" s="134" t="s">
        <v>510</v>
      </c>
      <c r="AD86" s="134">
        <v>195000</v>
      </c>
      <c r="AE86" s="417" t="s">
        <v>898</v>
      </c>
      <c r="AL86" s="359">
        <f t="shared" si="20"/>
        <v>444367</v>
      </c>
      <c r="AO86" s="418">
        <f t="shared" si="24"/>
        <v>0</v>
      </c>
      <c r="AP86" s="134">
        <v>18799988676</v>
      </c>
      <c r="AT86" s="419">
        <f t="shared" si="21"/>
        <v>0</v>
      </c>
      <c r="AU86" s="143"/>
      <c r="BC86" s="359">
        <f t="shared" si="22"/>
        <v>444367</v>
      </c>
      <c r="BD86" s="140">
        <f>1%+0.18%+0.25%+0.03%</f>
        <v>0.0146</v>
      </c>
      <c r="BU86" s="134">
        <v>224367</v>
      </c>
      <c r="BW86" s="134">
        <v>220000</v>
      </c>
      <c r="CK86" s="134" t="s">
        <v>376</v>
      </c>
      <c r="CN86" s="134" t="s">
        <v>377</v>
      </c>
    </row>
    <row r="87" s="134" customFormat="1" customHeight="1" spans="1:92">
      <c r="A87" s="134">
        <v>80</v>
      </c>
      <c r="B87" s="134"/>
      <c r="C87" s="443">
        <v>45673</v>
      </c>
      <c r="D87" s="134">
        <v>20250000304</v>
      </c>
      <c r="E87" s="1006" t="s">
        <v>899</v>
      </c>
      <c r="F87" s="429" t="s">
        <v>900</v>
      </c>
      <c r="G87" s="134" t="s">
        <v>901</v>
      </c>
      <c r="I87" s="134" t="s">
        <v>477</v>
      </c>
      <c r="J87" s="134">
        <v>5</v>
      </c>
      <c r="K87" s="134">
        <v>57.71</v>
      </c>
      <c r="L87" s="134">
        <v>57.71</v>
      </c>
      <c r="M87" s="134">
        <v>7700</v>
      </c>
      <c r="N87" s="441">
        <v>444367</v>
      </c>
      <c r="O87" s="359">
        <v>8008</v>
      </c>
      <c r="P87" s="134"/>
      <c r="Q87" s="145">
        <v>407676.15</v>
      </c>
      <c r="R87" s="1006" t="s">
        <v>902</v>
      </c>
      <c r="S87" s="443">
        <v>45698</v>
      </c>
      <c r="T87" s="359"/>
      <c r="U87" s="138"/>
      <c r="V87" s="138"/>
      <c r="W87" s="138" t="s">
        <v>496</v>
      </c>
      <c r="X87" s="359">
        <v>20000</v>
      </c>
      <c r="Y87" s="413" t="s">
        <v>394</v>
      </c>
      <c r="Z87" s="359">
        <v>204367</v>
      </c>
      <c r="AA87" s="138" t="s">
        <v>903</v>
      </c>
      <c r="AB87" s="359">
        <v>220000</v>
      </c>
      <c r="AC87" s="138" t="s">
        <v>904</v>
      </c>
      <c r="AL87" s="359">
        <f t="shared" si="20"/>
        <v>444367</v>
      </c>
      <c r="AO87" s="418">
        <f t="shared" si="24"/>
        <v>0</v>
      </c>
      <c r="AP87" s="134">
        <v>13309969267</v>
      </c>
      <c r="AT87" s="419">
        <f t="shared" si="21"/>
        <v>0</v>
      </c>
      <c r="AU87" s="143"/>
      <c r="BC87" s="359">
        <f t="shared" si="22"/>
        <v>444367</v>
      </c>
      <c r="BD87" s="140">
        <f>1%+0.18%+0.25%+0.03%</f>
        <v>0.0146</v>
      </c>
      <c r="BW87" s="134">
        <v>224367</v>
      </c>
      <c r="BY87" s="134">
        <v>220000</v>
      </c>
      <c r="CK87" s="134" t="s">
        <v>376</v>
      </c>
      <c r="CN87" s="134" t="s">
        <v>377</v>
      </c>
    </row>
    <row r="88" s="134" customFormat="1" customHeight="1" spans="1:92">
      <c r="A88" s="134">
        <v>81</v>
      </c>
      <c r="B88" s="134"/>
      <c r="C88" s="443">
        <v>45666</v>
      </c>
      <c r="D88" s="134">
        <v>20250000147</v>
      </c>
      <c r="F88" s="429" t="s">
        <v>905</v>
      </c>
      <c r="G88" s="134" t="s">
        <v>906</v>
      </c>
      <c r="I88" s="134" t="s">
        <v>477</v>
      </c>
      <c r="J88" s="134">
        <v>6</v>
      </c>
      <c r="K88" s="134">
        <v>57.71</v>
      </c>
      <c r="L88" s="134">
        <v>57.71</v>
      </c>
      <c r="M88" s="134">
        <v>8124.9</v>
      </c>
      <c r="N88" s="441">
        <v>468888</v>
      </c>
      <c r="O88" s="359">
        <v>8094</v>
      </c>
      <c r="Q88" s="145">
        <v>430172.48</v>
      </c>
      <c r="R88" s="1006" t="s">
        <v>907</v>
      </c>
      <c r="S88" s="443">
        <v>45671</v>
      </c>
      <c r="T88" s="359"/>
      <c r="U88" s="138"/>
      <c r="V88" s="138"/>
      <c r="W88" s="138" t="s">
        <v>486</v>
      </c>
      <c r="X88" s="359">
        <v>20000</v>
      </c>
      <c r="Y88" s="413" t="s">
        <v>908</v>
      </c>
      <c r="Z88" s="359">
        <v>448888</v>
      </c>
      <c r="AA88" s="138" t="s">
        <v>657</v>
      </c>
      <c r="AC88" s="417"/>
      <c r="AL88" s="359">
        <f t="shared" si="20"/>
        <v>468888</v>
      </c>
      <c r="AO88" s="418">
        <f t="shared" si="24"/>
        <v>0</v>
      </c>
      <c r="AP88" s="134">
        <v>15299379609</v>
      </c>
      <c r="AQ88" s="134" t="s">
        <v>502</v>
      </c>
      <c r="AT88" s="419">
        <f t="shared" si="21"/>
        <v>0</v>
      </c>
      <c r="AU88" s="143"/>
      <c r="BC88" s="359">
        <f t="shared" si="22"/>
        <v>468888</v>
      </c>
      <c r="BD88" s="140">
        <f>0.8%+0.18%+0.25%+0.03%</f>
        <v>0.0126</v>
      </c>
      <c r="BW88" s="134">
        <v>468888</v>
      </c>
      <c r="CK88" s="134" t="s">
        <v>376</v>
      </c>
      <c r="CN88" s="134" t="s">
        <v>377</v>
      </c>
    </row>
    <row r="89" s="134" customFormat="1" customHeight="1" spans="1:92">
      <c r="A89" s="134">
        <v>82</v>
      </c>
      <c r="B89" s="134"/>
      <c r="C89" s="443">
        <v>45748</v>
      </c>
      <c r="D89" s="134">
        <v>20250001757</v>
      </c>
      <c r="F89" s="429" t="s">
        <v>909</v>
      </c>
      <c r="G89" s="134" t="s">
        <v>910</v>
      </c>
      <c r="I89" s="134" t="s">
        <v>477</v>
      </c>
      <c r="J89" s="134">
        <v>7</v>
      </c>
      <c r="K89" s="134">
        <v>57.71</v>
      </c>
      <c r="L89" s="134">
        <v>57.71</v>
      </c>
      <c r="M89" s="134">
        <v>8000</v>
      </c>
      <c r="N89" s="441">
        <v>461680</v>
      </c>
      <c r="O89" s="359">
        <v>8000</v>
      </c>
      <c r="P89" s="134"/>
      <c r="Q89" s="145">
        <v>423559.63</v>
      </c>
      <c r="R89" s="1010" t="s">
        <v>911</v>
      </c>
      <c r="S89" s="443">
        <v>45748</v>
      </c>
      <c r="T89" s="359"/>
      <c r="U89" s="138"/>
      <c r="V89" s="138"/>
      <c r="W89" s="138" t="s">
        <v>662</v>
      </c>
      <c r="X89" s="359">
        <v>20000</v>
      </c>
      <c r="Y89" s="413" t="s">
        <v>912</v>
      </c>
      <c r="Z89" s="359">
        <v>441680</v>
      </c>
      <c r="AA89" s="138" t="s">
        <v>913</v>
      </c>
      <c r="AC89" s="417"/>
      <c r="AL89" s="359">
        <f t="shared" si="20"/>
        <v>461680</v>
      </c>
      <c r="AO89" s="418">
        <f t="shared" si="24"/>
        <v>0</v>
      </c>
      <c r="AP89" s="1006" t="s">
        <v>914</v>
      </c>
      <c r="AQ89" s="134" t="s">
        <v>690</v>
      </c>
      <c r="AT89" s="419">
        <f t="shared" si="21"/>
        <v>0</v>
      </c>
      <c r="AU89" s="143"/>
      <c r="BC89" s="359">
        <f t="shared" si="22"/>
        <v>461680</v>
      </c>
      <c r="BD89" s="140">
        <f t="shared" ref="BD89:BD92" si="27">1%+0.25%+0.03%</f>
        <v>0.0128</v>
      </c>
      <c r="BZ89" s="134">
        <v>461680</v>
      </c>
      <c r="CK89" s="134" t="s">
        <v>376</v>
      </c>
      <c r="CN89" s="134" t="s">
        <v>377</v>
      </c>
    </row>
    <row r="90" s="134" customFormat="1" customHeight="1" spans="1:92">
      <c r="A90" s="134">
        <v>83</v>
      </c>
      <c r="B90" s="134"/>
      <c r="C90" s="443">
        <v>45748</v>
      </c>
      <c r="D90" s="134">
        <v>20250001759</v>
      </c>
      <c r="F90" s="429" t="s">
        <v>909</v>
      </c>
      <c r="G90" s="134" t="s">
        <v>910</v>
      </c>
      <c r="I90" s="134" t="s">
        <v>477</v>
      </c>
      <c r="J90" s="134">
        <v>8</v>
      </c>
      <c r="K90" s="134">
        <v>57.71</v>
      </c>
      <c r="L90" s="134">
        <v>57.71</v>
      </c>
      <c r="M90" s="134">
        <v>8000</v>
      </c>
      <c r="N90" s="441">
        <v>461680</v>
      </c>
      <c r="O90" s="359">
        <v>8000</v>
      </c>
      <c r="P90" s="134"/>
      <c r="Q90" s="145">
        <v>423559.63</v>
      </c>
      <c r="R90" s="1006" t="s">
        <v>915</v>
      </c>
      <c r="S90" s="443">
        <v>45748</v>
      </c>
      <c r="T90" s="359"/>
      <c r="U90" s="138"/>
      <c r="V90" s="138"/>
      <c r="W90" s="138" t="s">
        <v>662</v>
      </c>
      <c r="X90" s="359">
        <v>20000</v>
      </c>
      <c r="Y90" s="413" t="s">
        <v>912</v>
      </c>
      <c r="Z90" s="359">
        <v>441680</v>
      </c>
      <c r="AA90" s="138" t="s">
        <v>913</v>
      </c>
      <c r="AC90" s="417"/>
      <c r="AL90" s="359">
        <f t="shared" si="20"/>
        <v>461680</v>
      </c>
      <c r="AO90" s="418">
        <f t="shared" si="24"/>
        <v>0</v>
      </c>
      <c r="AP90" s="1006" t="s">
        <v>914</v>
      </c>
      <c r="AQ90" s="134" t="s">
        <v>690</v>
      </c>
      <c r="AT90" s="419">
        <f t="shared" si="21"/>
        <v>0</v>
      </c>
      <c r="AU90" s="143"/>
      <c r="BC90" s="359">
        <f t="shared" si="22"/>
        <v>461680</v>
      </c>
      <c r="BD90" s="140">
        <f t="shared" si="27"/>
        <v>0.0128</v>
      </c>
      <c r="BZ90" s="134">
        <v>461680</v>
      </c>
      <c r="CK90" s="134" t="s">
        <v>376</v>
      </c>
      <c r="CN90" s="134" t="s">
        <v>377</v>
      </c>
    </row>
    <row r="91" s="134" customFormat="1" customHeight="1" spans="1:92">
      <c r="A91" s="134">
        <v>84</v>
      </c>
      <c r="B91" s="134"/>
      <c r="C91" s="443">
        <v>45748</v>
      </c>
      <c r="D91" s="134">
        <v>20250001761</v>
      </c>
      <c r="F91" s="429" t="s">
        <v>909</v>
      </c>
      <c r="G91" s="134" t="s">
        <v>910</v>
      </c>
      <c r="I91" s="134" t="s">
        <v>477</v>
      </c>
      <c r="J91" s="134">
        <v>9</v>
      </c>
      <c r="K91" s="134">
        <v>57.71</v>
      </c>
      <c r="L91" s="134">
        <v>57.71</v>
      </c>
      <c r="M91" s="134">
        <v>8000</v>
      </c>
      <c r="N91" s="441">
        <v>461680</v>
      </c>
      <c r="O91" s="359">
        <v>8000</v>
      </c>
      <c r="P91" s="134"/>
      <c r="Q91" s="145">
        <v>423559.63</v>
      </c>
      <c r="R91" s="1006" t="s">
        <v>916</v>
      </c>
      <c r="S91" s="443">
        <v>45748</v>
      </c>
      <c r="T91" s="359"/>
      <c r="U91" s="138"/>
      <c r="V91" s="138"/>
      <c r="W91" s="138" t="s">
        <v>662</v>
      </c>
      <c r="X91" s="359">
        <v>20000</v>
      </c>
      <c r="Y91" s="413" t="s">
        <v>912</v>
      </c>
      <c r="Z91" s="359">
        <v>441680</v>
      </c>
      <c r="AA91" s="138" t="s">
        <v>913</v>
      </c>
      <c r="AC91" s="417"/>
      <c r="AL91" s="359">
        <f t="shared" si="20"/>
        <v>461680</v>
      </c>
      <c r="AO91" s="418">
        <f t="shared" si="24"/>
        <v>0</v>
      </c>
      <c r="AP91" s="1006" t="s">
        <v>914</v>
      </c>
      <c r="AQ91" s="134" t="s">
        <v>690</v>
      </c>
      <c r="AT91" s="419">
        <f t="shared" si="21"/>
        <v>0</v>
      </c>
      <c r="AU91" s="143"/>
      <c r="BC91" s="359">
        <f t="shared" si="22"/>
        <v>461680</v>
      </c>
      <c r="BD91" s="140">
        <f t="shared" si="27"/>
        <v>0.0128</v>
      </c>
      <c r="BZ91" s="134">
        <v>461680</v>
      </c>
      <c r="CK91" s="134" t="s">
        <v>376</v>
      </c>
      <c r="CN91" s="134" t="s">
        <v>377</v>
      </c>
    </row>
    <row r="92" s="134" customFormat="1" customHeight="1" spans="1:92">
      <c r="A92" s="134">
        <v>85</v>
      </c>
      <c r="B92" s="134"/>
      <c r="C92" s="443">
        <v>45748</v>
      </c>
      <c r="D92" s="134">
        <v>20250001762</v>
      </c>
      <c r="F92" s="429" t="s">
        <v>917</v>
      </c>
      <c r="G92" s="134" t="s">
        <v>918</v>
      </c>
      <c r="I92" s="134" t="s">
        <v>477</v>
      </c>
      <c r="J92" s="134">
        <v>10</v>
      </c>
      <c r="K92" s="134">
        <v>88.2</v>
      </c>
      <c r="L92" s="134">
        <v>88.2</v>
      </c>
      <c r="M92" s="420">
        <v>7936.51</v>
      </c>
      <c r="N92" s="441">
        <v>700000</v>
      </c>
      <c r="O92" s="359">
        <v>7936.51</v>
      </c>
      <c r="P92" s="134"/>
      <c r="Q92" s="145">
        <v>642201.83</v>
      </c>
      <c r="R92" s="1006" t="s">
        <v>919</v>
      </c>
      <c r="S92" s="443">
        <v>45748</v>
      </c>
      <c r="T92" s="359"/>
      <c r="U92" s="138"/>
      <c r="V92" s="138"/>
      <c r="W92" s="138" t="s">
        <v>662</v>
      </c>
      <c r="X92" s="359">
        <v>20000</v>
      </c>
      <c r="Y92" s="413" t="s">
        <v>912</v>
      </c>
      <c r="Z92" s="359">
        <f>300000+330000+50000</f>
        <v>680000</v>
      </c>
      <c r="AA92" s="138" t="s">
        <v>913</v>
      </c>
      <c r="AC92" s="417"/>
      <c r="AL92" s="359">
        <f t="shared" si="20"/>
        <v>700000</v>
      </c>
      <c r="AO92" s="418">
        <f t="shared" si="24"/>
        <v>0</v>
      </c>
      <c r="AP92" s="134">
        <v>15109960089</v>
      </c>
      <c r="AQ92" s="134" t="s">
        <v>690</v>
      </c>
      <c r="AT92" s="419">
        <f t="shared" si="21"/>
        <v>0</v>
      </c>
      <c r="AU92" s="143"/>
      <c r="BC92" s="359">
        <f t="shared" si="22"/>
        <v>700000</v>
      </c>
      <c r="BD92" s="140">
        <f t="shared" si="27"/>
        <v>0.0128</v>
      </c>
      <c r="BZ92" s="134">
        <v>700000</v>
      </c>
      <c r="CK92" s="134" t="s">
        <v>376</v>
      </c>
      <c r="CN92" s="134" t="s">
        <v>377</v>
      </c>
    </row>
    <row r="93" s="134" customFormat="1" ht="50" customHeight="1" spans="1:92">
      <c r="A93" s="134">
        <v>86</v>
      </c>
      <c r="C93" s="443">
        <v>45133</v>
      </c>
      <c r="D93" s="134">
        <v>20230006321</v>
      </c>
      <c r="E93" s="1006" t="s">
        <v>920</v>
      </c>
      <c r="F93" s="429" t="s">
        <v>921</v>
      </c>
      <c r="G93" s="143" t="s">
        <v>922</v>
      </c>
      <c r="H93" s="134" t="s">
        <v>923</v>
      </c>
      <c r="I93" s="134" t="s">
        <v>370</v>
      </c>
      <c r="J93" s="134">
        <v>1</v>
      </c>
      <c r="K93" s="134">
        <v>43.2</v>
      </c>
      <c r="L93" s="134">
        <v>43.2</v>
      </c>
      <c r="M93" s="134">
        <v>27823.06</v>
      </c>
      <c r="N93" s="441">
        <v>1201957</v>
      </c>
      <c r="O93" s="359">
        <v>27160</v>
      </c>
      <c r="Q93" s="145">
        <v>1102712.84</v>
      </c>
      <c r="R93" s="1006" t="s">
        <v>924</v>
      </c>
      <c r="S93" s="443">
        <v>45765</v>
      </c>
      <c r="T93" s="359"/>
      <c r="U93" s="413"/>
      <c r="V93" s="413"/>
      <c r="W93" s="413" t="s">
        <v>925</v>
      </c>
      <c r="X93" s="359">
        <f>100000</f>
        <v>100000</v>
      </c>
      <c r="Y93" s="413" t="s">
        <v>926</v>
      </c>
      <c r="Z93" s="359">
        <v>150000</v>
      </c>
      <c r="AA93" s="417" t="s">
        <v>927</v>
      </c>
      <c r="AB93" s="359">
        <f>348400+3000</f>
        <v>351400</v>
      </c>
      <c r="AC93" s="413" t="s">
        <v>928</v>
      </c>
      <c r="AD93" s="359">
        <v>600000</v>
      </c>
      <c r="AE93" s="413" t="s">
        <v>697</v>
      </c>
      <c r="AF93" s="134">
        <v>557</v>
      </c>
      <c r="AG93" s="138">
        <v>45562</v>
      </c>
      <c r="AL93" s="359">
        <f t="shared" ref="AL93:AL124" si="28">X93+Z93+AB93+AD93+AF93+AH93+AJ93</f>
        <v>1201957</v>
      </c>
      <c r="AO93" s="564">
        <f t="shared" si="24"/>
        <v>0</v>
      </c>
      <c r="AP93" s="134">
        <v>13899058276</v>
      </c>
      <c r="AT93" s="419">
        <f t="shared" si="21"/>
        <v>1600</v>
      </c>
      <c r="AU93" s="419">
        <f>200+200+200</f>
        <v>600</v>
      </c>
      <c r="AV93" s="359">
        <f>200+200+200+200</f>
        <v>800</v>
      </c>
      <c r="AW93" s="359">
        <v>200</v>
      </c>
      <c r="AX93" s="359"/>
      <c r="AY93" s="359"/>
      <c r="AZ93" s="359"/>
      <c r="BA93" s="359"/>
      <c r="BB93" s="359"/>
      <c r="BC93" s="359">
        <f t="shared" si="22"/>
        <v>1201400</v>
      </c>
      <c r="BD93" s="513">
        <f t="shared" ref="BD93:BD95" si="29">1%+0.18%+0.25%</f>
        <v>0.0143</v>
      </c>
      <c r="BE93" s="359">
        <v>601400</v>
      </c>
      <c r="BF93" s="359"/>
      <c r="BG93" s="359"/>
      <c r="BH93" s="359"/>
      <c r="BI93" s="359"/>
      <c r="BJ93" s="359"/>
      <c r="BK93" s="359"/>
      <c r="BL93" s="359"/>
      <c r="BM93" s="359"/>
      <c r="BN93" s="359"/>
      <c r="BO93" s="359"/>
      <c r="BP93" s="359"/>
      <c r="BQ93" s="359"/>
      <c r="BR93" s="359"/>
      <c r="BS93" s="359">
        <v>600000</v>
      </c>
      <c r="BT93" s="359"/>
      <c r="BU93" s="359"/>
      <c r="BV93" s="359"/>
      <c r="BW93" s="359"/>
      <c r="BX93" s="359"/>
      <c r="BY93" s="359"/>
      <c r="BZ93" s="359"/>
      <c r="CA93" s="359"/>
      <c r="CB93" s="359"/>
      <c r="CC93" s="359"/>
      <c r="CD93" s="359"/>
      <c r="CE93" s="359"/>
      <c r="CF93" s="359"/>
      <c r="CG93" s="359"/>
      <c r="CH93" s="359"/>
      <c r="CI93" s="134"/>
      <c r="CK93" s="134" t="s">
        <v>376</v>
      </c>
      <c r="CL93" s="134" t="s">
        <v>387</v>
      </c>
      <c r="CN93" s="134" t="s">
        <v>377</v>
      </c>
    </row>
    <row r="94" s="134" customFormat="1" customHeight="1" spans="1:92">
      <c r="A94" s="134">
        <v>87</v>
      </c>
      <c r="C94" s="443">
        <v>45133</v>
      </c>
      <c r="D94" s="134">
        <v>20230006322</v>
      </c>
      <c r="E94" s="1006" t="s">
        <v>929</v>
      </c>
      <c r="F94" s="429" t="s">
        <v>921</v>
      </c>
      <c r="G94" s="143" t="s">
        <v>922</v>
      </c>
      <c r="I94" s="134" t="s">
        <v>370</v>
      </c>
      <c r="J94" s="134">
        <v>2</v>
      </c>
      <c r="K94" s="134">
        <v>42.69</v>
      </c>
      <c r="L94" s="134">
        <v>42.69</v>
      </c>
      <c r="M94" s="134">
        <v>25861.15</v>
      </c>
      <c r="N94" s="441">
        <v>1104012</v>
      </c>
      <c r="O94" s="359">
        <v>25198.09</v>
      </c>
      <c r="Q94" s="145">
        <v>1012855.05</v>
      </c>
      <c r="R94" s="1006" t="s">
        <v>930</v>
      </c>
      <c r="S94" s="443">
        <v>45765</v>
      </c>
      <c r="T94" s="359"/>
      <c r="U94" s="413"/>
      <c r="V94" s="413" t="s">
        <v>931</v>
      </c>
      <c r="W94" s="413" t="s">
        <v>925</v>
      </c>
      <c r="X94" s="359">
        <f>100000</f>
        <v>100000</v>
      </c>
      <c r="Y94" s="413" t="s">
        <v>926</v>
      </c>
      <c r="Z94" s="359">
        <v>150000</v>
      </c>
      <c r="AA94" s="417" t="s">
        <v>927</v>
      </c>
      <c r="AB94" s="359">
        <f>302495</f>
        <v>302495</v>
      </c>
      <c r="AC94" s="413" t="s">
        <v>928</v>
      </c>
      <c r="AD94" s="359">
        <v>551000</v>
      </c>
      <c r="AE94" s="413">
        <v>45561</v>
      </c>
      <c r="AF94" s="134">
        <v>517</v>
      </c>
      <c r="AG94" s="138">
        <v>45562</v>
      </c>
      <c r="AL94" s="359">
        <f t="shared" si="28"/>
        <v>1104012</v>
      </c>
      <c r="AO94" s="564">
        <f t="shared" ref="AO94:AO102" si="30">N94-AL94</f>
        <v>0</v>
      </c>
      <c r="AP94" s="134">
        <v>13899058276</v>
      </c>
      <c r="AT94" s="419">
        <f t="shared" si="21"/>
        <v>900</v>
      </c>
      <c r="AU94" s="419">
        <v>200</v>
      </c>
      <c r="AV94" s="359">
        <f>200+200</f>
        <v>400</v>
      </c>
      <c r="AW94" s="359"/>
      <c r="AX94" s="359"/>
      <c r="AY94" s="359"/>
      <c r="AZ94" s="359"/>
      <c r="BA94" s="359">
        <v>300</v>
      </c>
      <c r="BB94" s="359"/>
      <c r="BC94" s="359">
        <f t="shared" si="22"/>
        <v>1103495</v>
      </c>
      <c r="BD94" s="513">
        <f t="shared" si="29"/>
        <v>0.0143</v>
      </c>
      <c r="BE94" s="359">
        <v>552495</v>
      </c>
      <c r="BF94" s="359"/>
      <c r="BG94" s="359"/>
      <c r="BH94" s="359"/>
      <c r="BI94" s="359"/>
      <c r="BJ94" s="359"/>
      <c r="BK94" s="359"/>
      <c r="BL94" s="359"/>
      <c r="BM94" s="359"/>
      <c r="BN94" s="359"/>
      <c r="BO94" s="359"/>
      <c r="BP94" s="359"/>
      <c r="BQ94" s="359"/>
      <c r="BR94" s="359"/>
      <c r="BS94" s="359">
        <v>551000</v>
      </c>
      <c r="BT94" s="359"/>
      <c r="BU94" s="359"/>
      <c r="BV94" s="359"/>
      <c r="BW94" s="359"/>
      <c r="BX94" s="359"/>
      <c r="BY94" s="359"/>
      <c r="BZ94" s="359"/>
      <c r="CA94" s="359"/>
      <c r="CB94" s="359"/>
      <c r="CC94" s="359"/>
      <c r="CD94" s="359"/>
      <c r="CE94" s="359"/>
      <c r="CF94" s="359"/>
      <c r="CG94" s="359"/>
      <c r="CH94" s="359"/>
      <c r="CI94" s="134"/>
      <c r="CK94" s="134" t="s">
        <v>376</v>
      </c>
      <c r="CL94" s="134" t="s">
        <v>387</v>
      </c>
      <c r="CN94" s="134" t="s">
        <v>377</v>
      </c>
    </row>
    <row r="95" s="134" customFormat="1" ht="57" customHeight="1" spans="1:92">
      <c r="A95" s="134">
        <v>88</v>
      </c>
      <c r="C95" s="443">
        <v>45133</v>
      </c>
      <c r="D95" s="134">
        <v>20230006323</v>
      </c>
      <c r="E95" s="1006" t="s">
        <v>932</v>
      </c>
      <c r="F95" s="429" t="s">
        <v>921</v>
      </c>
      <c r="G95" s="143" t="s">
        <v>922</v>
      </c>
      <c r="I95" s="134" t="s">
        <v>370</v>
      </c>
      <c r="J95" s="134">
        <v>3</v>
      </c>
      <c r="K95" s="134">
        <v>42.69</v>
      </c>
      <c r="L95" s="134">
        <v>42.69</v>
      </c>
      <c r="M95" s="134">
        <v>25391.04</v>
      </c>
      <c r="N95" s="441">
        <v>1083944</v>
      </c>
      <c r="O95" s="359">
        <v>24727.98</v>
      </c>
      <c r="Q95" s="145">
        <v>994444.04</v>
      </c>
      <c r="R95" s="1006" t="s">
        <v>933</v>
      </c>
      <c r="S95" s="443">
        <v>45765</v>
      </c>
      <c r="T95" s="359"/>
      <c r="U95" s="413"/>
      <c r="V95" s="413" t="s">
        <v>934</v>
      </c>
      <c r="W95" s="413" t="s">
        <v>935</v>
      </c>
      <c r="X95" s="359">
        <f>100000+5000-5000</f>
        <v>100000</v>
      </c>
      <c r="Y95" s="413" t="s">
        <v>936</v>
      </c>
      <c r="Z95" s="359">
        <f>150000-100000</f>
        <v>50000</v>
      </c>
      <c r="AA95" s="417" t="s">
        <v>927</v>
      </c>
      <c r="AB95" s="359">
        <v>392436</v>
      </c>
      <c r="AC95" s="413" t="s">
        <v>928</v>
      </c>
      <c r="AD95" s="359">
        <v>541000</v>
      </c>
      <c r="AE95" s="413">
        <v>45561</v>
      </c>
      <c r="AF95" s="134">
        <v>508</v>
      </c>
      <c r="AG95" s="138">
        <v>45562</v>
      </c>
      <c r="AL95" s="359">
        <f t="shared" si="28"/>
        <v>1083944</v>
      </c>
      <c r="AO95" s="564">
        <f t="shared" si="30"/>
        <v>0</v>
      </c>
      <c r="AP95" s="134">
        <v>13899058276</v>
      </c>
      <c r="AT95" s="419">
        <f t="shared" si="21"/>
        <v>700</v>
      </c>
      <c r="AU95" s="419">
        <f>200</f>
        <v>200</v>
      </c>
      <c r="AV95" s="359">
        <v>200</v>
      </c>
      <c r="AW95" s="359"/>
      <c r="AX95" s="359"/>
      <c r="AY95" s="359"/>
      <c r="AZ95" s="359"/>
      <c r="BA95" s="359">
        <v>300</v>
      </c>
      <c r="BB95" s="359"/>
      <c r="BC95" s="359">
        <f t="shared" si="22"/>
        <v>1083436</v>
      </c>
      <c r="BD95" s="513">
        <f t="shared" si="29"/>
        <v>0.0143</v>
      </c>
      <c r="BE95" s="359">
        <v>542436</v>
      </c>
      <c r="BF95" s="359"/>
      <c r="BG95" s="359"/>
      <c r="BH95" s="359"/>
      <c r="BI95" s="359"/>
      <c r="BJ95" s="359"/>
      <c r="BK95" s="359"/>
      <c r="BL95" s="359"/>
      <c r="BM95" s="359"/>
      <c r="BN95" s="359"/>
      <c r="BO95" s="359"/>
      <c r="BP95" s="359"/>
      <c r="BQ95" s="359"/>
      <c r="BR95" s="359"/>
      <c r="BS95" s="359">
        <v>541000</v>
      </c>
      <c r="BT95" s="359"/>
      <c r="BU95" s="359"/>
      <c r="BV95" s="359"/>
      <c r="BW95" s="359"/>
      <c r="BX95" s="359"/>
      <c r="BY95" s="359"/>
      <c r="BZ95" s="359"/>
      <c r="CA95" s="359"/>
      <c r="CB95" s="359"/>
      <c r="CC95" s="359"/>
      <c r="CD95" s="359"/>
      <c r="CE95" s="359"/>
      <c r="CF95" s="359"/>
      <c r="CG95" s="359"/>
      <c r="CH95" s="359"/>
      <c r="CI95" s="134"/>
      <c r="CK95" s="134" t="s">
        <v>376</v>
      </c>
      <c r="CL95" s="134" t="s">
        <v>387</v>
      </c>
      <c r="CN95" s="134" t="s">
        <v>377</v>
      </c>
    </row>
    <row r="96" s="134" customFormat="1" ht="42" customHeight="1" spans="1:92">
      <c r="A96" s="134">
        <v>89</v>
      </c>
      <c r="C96" s="443">
        <v>45137</v>
      </c>
      <c r="D96" s="134">
        <v>20230006451</v>
      </c>
      <c r="E96" s="1006" t="s">
        <v>937</v>
      </c>
      <c r="F96" s="429" t="s">
        <v>938</v>
      </c>
      <c r="G96" s="143" t="s">
        <v>939</v>
      </c>
      <c r="I96" s="134" t="s">
        <v>370</v>
      </c>
      <c r="J96" s="134">
        <v>4</v>
      </c>
      <c r="K96" s="134">
        <v>42.69</v>
      </c>
      <c r="L96" s="134">
        <v>42.69</v>
      </c>
      <c r="M96" s="134">
        <v>24945.91</v>
      </c>
      <c r="N96" s="441">
        <v>1064941</v>
      </c>
      <c r="O96" s="359">
        <v>24445.91</v>
      </c>
      <c r="Q96" s="145">
        <v>977010.09</v>
      </c>
      <c r="R96" s="1006" t="s">
        <v>940</v>
      </c>
      <c r="S96" s="443">
        <v>45765</v>
      </c>
      <c r="T96" s="359"/>
      <c r="U96" s="413"/>
      <c r="V96" s="413" t="s">
        <v>941</v>
      </c>
      <c r="W96" s="413" t="s">
        <v>942</v>
      </c>
      <c r="X96" s="359">
        <f>5000+10000</f>
        <v>15000</v>
      </c>
      <c r="Y96" s="413" t="s">
        <v>943</v>
      </c>
      <c r="Z96" s="359">
        <v>50000</v>
      </c>
      <c r="AA96" s="417" t="s">
        <v>458</v>
      </c>
      <c r="AB96" s="359">
        <v>469442</v>
      </c>
      <c r="AC96" s="413" t="s">
        <v>944</v>
      </c>
      <c r="AD96" s="359">
        <v>220000</v>
      </c>
      <c r="AE96" s="413" t="s">
        <v>945</v>
      </c>
      <c r="AF96" s="359">
        <v>310000</v>
      </c>
      <c r="AG96" s="413" t="s">
        <v>946</v>
      </c>
      <c r="AL96" s="359">
        <f t="shared" si="28"/>
        <v>1064442</v>
      </c>
      <c r="AO96" s="564">
        <f t="shared" si="30"/>
        <v>499</v>
      </c>
      <c r="AP96" s="134">
        <v>19999196289</v>
      </c>
      <c r="AT96" s="419">
        <f t="shared" si="21"/>
        <v>1100</v>
      </c>
      <c r="AU96" s="419"/>
      <c r="AV96" s="359">
        <f>200+200</f>
        <v>400</v>
      </c>
      <c r="AW96" s="359">
        <v>200</v>
      </c>
      <c r="AX96" s="359"/>
      <c r="AY96" s="359">
        <v>200</v>
      </c>
      <c r="AZ96" s="359"/>
      <c r="BA96" s="359">
        <v>300</v>
      </c>
      <c r="BB96" s="359"/>
      <c r="BC96" s="359">
        <f t="shared" si="22"/>
        <v>1064442</v>
      </c>
      <c r="BD96" s="513">
        <f>1%+0.25%</f>
        <v>0.0125</v>
      </c>
      <c r="BE96" s="359">
        <v>534442</v>
      </c>
      <c r="BF96" s="359"/>
      <c r="BG96" s="359"/>
      <c r="BH96" s="359"/>
      <c r="BI96" s="359"/>
      <c r="BJ96" s="359"/>
      <c r="BK96" s="359">
        <v>530000</v>
      </c>
      <c r="BL96" s="359"/>
      <c r="BM96" s="359"/>
      <c r="BN96" s="359"/>
      <c r="BO96" s="359"/>
      <c r="BP96" s="359"/>
      <c r="BQ96" s="359"/>
      <c r="BR96" s="359"/>
      <c r="BS96" s="359"/>
      <c r="BT96" s="359"/>
      <c r="BU96" s="359"/>
      <c r="BV96" s="359"/>
      <c r="BW96" s="359"/>
      <c r="BX96" s="359"/>
      <c r="BY96" s="359"/>
      <c r="BZ96" s="359"/>
      <c r="CA96" s="359"/>
      <c r="CB96" s="359"/>
      <c r="CC96" s="359"/>
      <c r="CD96" s="359"/>
      <c r="CE96" s="359"/>
      <c r="CF96" s="359"/>
      <c r="CG96" s="359"/>
      <c r="CH96" s="359"/>
      <c r="CI96" s="134"/>
      <c r="CK96" s="134" t="s">
        <v>376</v>
      </c>
      <c r="CL96" s="134" t="s">
        <v>387</v>
      </c>
      <c r="CN96" s="134" t="s">
        <v>377</v>
      </c>
    </row>
    <row r="97" s="134" customFormat="1" ht="48" customHeight="1" spans="1:92">
      <c r="A97" s="134">
        <v>90</v>
      </c>
      <c r="C97" s="443">
        <v>45204</v>
      </c>
      <c r="D97" s="134">
        <v>20230008712</v>
      </c>
      <c r="E97" s="1006" t="s">
        <v>947</v>
      </c>
      <c r="F97" s="429" t="s">
        <v>948</v>
      </c>
      <c r="G97" s="143" t="s">
        <v>949</v>
      </c>
      <c r="I97" s="134" t="s">
        <v>370</v>
      </c>
      <c r="J97" s="134">
        <v>5</v>
      </c>
      <c r="K97" s="134">
        <v>42.69</v>
      </c>
      <c r="L97" s="134">
        <v>42.69</v>
      </c>
      <c r="M97" s="134">
        <v>24963.84</v>
      </c>
      <c r="N97" s="441">
        <v>1065707</v>
      </c>
      <c r="O97" s="359">
        <v>24163.84</v>
      </c>
      <c r="Q97" s="145">
        <v>977712.84</v>
      </c>
      <c r="R97" s="1006" t="s">
        <v>950</v>
      </c>
      <c r="S97" s="443">
        <v>45765</v>
      </c>
      <c r="T97" s="359"/>
      <c r="U97" s="413"/>
      <c r="V97" s="413" t="s">
        <v>951</v>
      </c>
      <c r="W97" s="413" t="s">
        <v>952</v>
      </c>
      <c r="X97" s="359">
        <f>10000+10000+5000-5000+50000</f>
        <v>70000</v>
      </c>
      <c r="Y97" s="413" t="s">
        <v>953</v>
      </c>
      <c r="Z97" s="359">
        <v>200000</v>
      </c>
      <c r="AA97" s="413" t="s">
        <v>954</v>
      </c>
      <c r="AB97" s="359">
        <v>250000</v>
      </c>
      <c r="AC97" s="413" t="s">
        <v>955</v>
      </c>
      <c r="AD97" s="134">
        <v>15207</v>
      </c>
      <c r="AE97" s="134" t="s">
        <v>587</v>
      </c>
      <c r="AF97" s="359">
        <v>530000</v>
      </c>
      <c r="AG97" s="413" t="s">
        <v>956</v>
      </c>
      <c r="AH97" s="359">
        <v>500</v>
      </c>
      <c r="AI97" s="413" t="s">
        <v>957</v>
      </c>
      <c r="AL97" s="359">
        <f t="shared" si="28"/>
        <v>1065707</v>
      </c>
      <c r="AO97" s="418">
        <f t="shared" si="30"/>
        <v>0</v>
      </c>
      <c r="AP97" s="418">
        <v>18997603797</v>
      </c>
      <c r="AT97" s="419">
        <f t="shared" si="21"/>
        <v>2400</v>
      </c>
      <c r="AU97" s="419">
        <f>200</f>
        <v>200</v>
      </c>
      <c r="AV97" s="359">
        <v>200</v>
      </c>
      <c r="AW97" s="359">
        <v>200</v>
      </c>
      <c r="AX97" s="359">
        <f>200+200</f>
        <v>400</v>
      </c>
      <c r="AY97" s="359">
        <f>200+200+200</f>
        <v>600</v>
      </c>
      <c r="AZ97" s="359">
        <v>200</v>
      </c>
      <c r="BA97" s="359">
        <f>300+300</f>
        <v>600</v>
      </c>
      <c r="BB97" s="359"/>
      <c r="BC97" s="359">
        <f t="shared" si="22"/>
        <v>1065207</v>
      </c>
      <c r="BD97" s="513">
        <f>1%+0.25%</f>
        <v>0.0125</v>
      </c>
      <c r="BE97" s="359"/>
      <c r="BF97" s="359"/>
      <c r="BG97" s="359"/>
      <c r="BH97" s="359">
        <v>535207</v>
      </c>
      <c r="BI97" s="359">
        <v>530000</v>
      </c>
      <c r="BJ97" s="359"/>
      <c r="BK97" s="359"/>
      <c r="BL97" s="359"/>
      <c r="BM97" s="359"/>
      <c r="BN97" s="359"/>
      <c r="BO97" s="359"/>
      <c r="BP97" s="359"/>
      <c r="BQ97" s="359"/>
      <c r="BR97" s="359"/>
      <c r="BS97" s="359"/>
      <c r="BT97" s="359"/>
      <c r="BU97" s="359"/>
      <c r="BV97" s="359"/>
      <c r="BW97" s="359"/>
      <c r="BX97" s="359"/>
      <c r="BY97" s="359"/>
      <c r="BZ97" s="359"/>
      <c r="CA97" s="359"/>
      <c r="CB97" s="359"/>
      <c r="CC97" s="359"/>
      <c r="CD97" s="359"/>
      <c r="CE97" s="359"/>
      <c r="CF97" s="359"/>
      <c r="CG97" s="359"/>
      <c r="CH97" s="359"/>
      <c r="CI97" s="134"/>
      <c r="CK97" s="134" t="s">
        <v>376</v>
      </c>
      <c r="CL97" s="134" t="s">
        <v>387</v>
      </c>
      <c r="CN97" s="134" t="s">
        <v>377</v>
      </c>
    </row>
    <row r="98" s="134" customFormat="1" customHeight="1" spans="1:92">
      <c r="A98" s="134">
        <v>91</v>
      </c>
      <c r="C98" s="443">
        <v>45642</v>
      </c>
      <c r="D98" s="134">
        <v>20240007261</v>
      </c>
      <c r="E98" s="1006" t="s">
        <v>958</v>
      </c>
      <c r="F98" s="429" t="s">
        <v>959</v>
      </c>
      <c r="G98" s="143" t="s">
        <v>960</v>
      </c>
      <c r="I98" s="134" t="s">
        <v>370</v>
      </c>
      <c r="J98" s="134">
        <v>6</v>
      </c>
      <c r="K98" s="134">
        <v>29.05</v>
      </c>
      <c r="L98" s="134">
        <v>29.05</v>
      </c>
      <c r="M98" s="134">
        <v>24307</v>
      </c>
      <c r="N98" s="441">
        <v>706118</v>
      </c>
      <c r="O98" s="359">
        <v>24163.84</v>
      </c>
      <c r="Q98" s="145">
        <v>647814.68</v>
      </c>
      <c r="R98" s="1006" t="s">
        <v>961</v>
      </c>
      <c r="S98" s="443">
        <v>45653</v>
      </c>
      <c r="T98" s="359"/>
      <c r="U98" s="413"/>
      <c r="V98" s="413" t="s">
        <v>962</v>
      </c>
      <c r="W98" s="413" t="s">
        <v>963</v>
      </c>
      <c r="X98" s="359">
        <f>10000+10000</f>
        <v>20000</v>
      </c>
      <c r="Y98" s="413" t="s">
        <v>964</v>
      </c>
      <c r="Z98" s="359">
        <v>30000</v>
      </c>
      <c r="AA98" s="417" t="s">
        <v>458</v>
      </c>
      <c r="AB98" s="359">
        <v>318262</v>
      </c>
      <c r="AC98" s="413" t="s">
        <v>965</v>
      </c>
      <c r="AD98" s="359">
        <v>337856</v>
      </c>
      <c r="AE98" s="413" t="s">
        <v>966</v>
      </c>
      <c r="AL98" s="359">
        <f t="shared" si="28"/>
        <v>706118</v>
      </c>
      <c r="AO98" s="418">
        <f t="shared" si="30"/>
        <v>0</v>
      </c>
      <c r="AP98" s="134">
        <v>13699330699</v>
      </c>
      <c r="AT98" s="419">
        <f t="shared" si="21"/>
        <v>0</v>
      </c>
      <c r="AU98" s="419"/>
      <c r="AV98" s="359"/>
      <c r="AW98" s="359"/>
      <c r="AX98" s="359"/>
      <c r="AY98" s="359"/>
      <c r="AZ98" s="359"/>
      <c r="BA98" s="359"/>
      <c r="BB98" s="359"/>
      <c r="BC98" s="359">
        <f t="shared" si="22"/>
        <v>706118</v>
      </c>
      <c r="BD98" s="513">
        <f>1%+0.25%</f>
        <v>0.0125</v>
      </c>
      <c r="BE98" s="359"/>
      <c r="BF98" s="359"/>
      <c r="BG98" s="359"/>
      <c r="BH98" s="359"/>
      <c r="BI98" s="359"/>
      <c r="BJ98" s="359"/>
      <c r="BK98" s="359"/>
      <c r="BL98" s="359"/>
      <c r="BM98" s="359"/>
      <c r="BN98" s="359"/>
      <c r="BO98" s="359"/>
      <c r="BP98" s="359"/>
      <c r="BQ98" s="359"/>
      <c r="BR98" s="359"/>
      <c r="BS98" s="359"/>
      <c r="BT98" s="359"/>
      <c r="BU98" s="359"/>
      <c r="BV98" s="359">
        <v>706118</v>
      </c>
      <c r="BW98" s="359"/>
      <c r="BX98" s="359"/>
      <c r="BY98" s="359"/>
      <c r="BZ98" s="359"/>
      <c r="CA98" s="359"/>
      <c r="CB98" s="359"/>
      <c r="CC98" s="359"/>
      <c r="CD98" s="359"/>
      <c r="CE98" s="359"/>
      <c r="CF98" s="359"/>
      <c r="CG98" s="359"/>
      <c r="CH98" s="359"/>
      <c r="CI98" s="134"/>
      <c r="CK98" s="134" t="s">
        <v>376</v>
      </c>
      <c r="CN98" s="134" t="s">
        <v>377</v>
      </c>
    </row>
    <row r="99" s="134" customFormat="1" customHeight="1" spans="1:92">
      <c r="A99" s="134">
        <v>92</v>
      </c>
      <c r="C99" s="443">
        <v>45199</v>
      </c>
      <c r="D99" s="134">
        <v>20230008395</v>
      </c>
      <c r="E99" s="1006" t="s">
        <v>967</v>
      </c>
      <c r="F99" s="429" t="s">
        <v>959</v>
      </c>
      <c r="G99" s="143" t="s">
        <v>968</v>
      </c>
      <c r="I99" s="134" t="s">
        <v>370</v>
      </c>
      <c r="J99" s="134">
        <v>7</v>
      </c>
      <c r="K99" s="134">
        <v>42.69</v>
      </c>
      <c r="L99" s="134">
        <v>42.69</v>
      </c>
      <c r="M99" s="134">
        <v>24213.8</v>
      </c>
      <c r="N99" s="441">
        <v>1033687</v>
      </c>
      <c r="O99" s="359">
        <v>24069.82</v>
      </c>
      <c r="P99" s="134"/>
      <c r="Q99" s="145">
        <v>948336.7</v>
      </c>
      <c r="R99" s="1006" t="s">
        <v>969</v>
      </c>
      <c r="S99" s="443">
        <v>45653</v>
      </c>
      <c r="T99" s="359"/>
      <c r="U99" s="413"/>
      <c r="V99" s="413"/>
      <c r="W99" s="413" t="s">
        <v>963</v>
      </c>
      <c r="X99" s="359">
        <v>50000</v>
      </c>
      <c r="Y99" s="413" t="s">
        <v>458</v>
      </c>
      <c r="Z99" s="359">
        <v>33203</v>
      </c>
      <c r="AA99" s="413" t="s">
        <v>629</v>
      </c>
      <c r="AB99" s="359">
        <v>280000</v>
      </c>
      <c r="AC99" s="413" t="s">
        <v>430</v>
      </c>
      <c r="AD99" s="134">
        <v>150000</v>
      </c>
      <c r="AE99" s="134" t="s">
        <v>965</v>
      </c>
      <c r="AF99" s="359">
        <v>520484</v>
      </c>
      <c r="AG99" s="413" t="s">
        <v>966</v>
      </c>
      <c r="AL99" s="359">
        <f t="shared" si="28"/>
        <v>1033687</v>
      </c>
      <c r="AO99" s="418">
        <f t="shared" si="30"/>
        <v>0</v>
      </c>
      <c r="AP99" s="134">
        <v>13699330699</v>
      </c>
      <c r="AT99" s="419">
        <f t="shared" si="21"/>
        <v>0</v>
      </c>
      <c r="AU99" s="419"/>
      <c r="AV99" s="359"/>
      <c r="AW99" s="359"/>
      <c r="AX99" s="359"/>
      <c r="AY99" s="359"/>
      <c r="AZ99" s="359"/>
      <c r="BA99" s="359"/>
      <c r="BB99" s="359"/>
      <c r="BC99" s="359">
        <f t="shared" si="22"/>
        <v>1033687</v>
      </c>
      <c r="BD99" s="513">
        <f>1%+0.25%</f>
        <v>0.0125</v>
      </c>
      <c r="BE99" s="359"/>
      <c r="BF99" s="359"/>
      <c r="BG99" s="359"/>
      <c r="BH99" s="359"/>
      <c r="BI99" s="359"/>
      <c r="BJ99" s="359"/>
      <c r="BK99" s="359"/>
      <c r="BL99" s="359"/>
      <c r="BM99" s="359"/>
      <c r="BN99" s="359"/>
      <c r="BO99" s="359"/>
      <c r="BP99" s="359"/>
      <c r="BQ99" s="359"/>
      <c r="BR99" s="359"/>
      <c r="BS99" s="359"/>
      <c r="BT99" s="359"/>
      <c r="BU99" s="359"/>
      <c r="BV99" s="359">
        <v>1033687</v>
      </c>
      <c r="BW99" s="359"/>
      <c r="BX99" s="359"/>
      <c r="BY99" s="359"/>
      <c r="BZ99" s="359"/>
      <c r="CA99" s="359"/>
      <c r="CB99" s="359"/>
      <c r="CC99" s="359"/>
      <c r="CD99" s="359"/>
      <c r="CE99" s="359"/>
      <c r="CF99" s="359"/>
      <c r="CG99" s="359"/>
      <c r="CH99" s="359"/>
      <c r="CI99" s="134"/>
      <c r="CK99" s="134" t="s">
        <v>376</v>
      </c>
      <c r="CL99" s="134" t="s">
        <v>387</v>
      </c>
      <c r="CN99" s="134" t="s">
        <v>377</v>
      </c>
    </row>
    <row r="100" s="134" customFormat="1" customHeight="1" spans="1:92">
      <c r="A100" s="134">
        <v>93</v>
      </c>
      <c r="C100" s="443">
        <v>45111</v>
      </c>
      <c r="D100" s="134">
        <v>20230005526</v>
      </c>
      <c r="E100" s="1006" t="s">
        <v>970</v>
      </c>
      <c r="F100" s="429" t="s">
        <v>971</v>
      </c>
      <c r="G100" s="143" t="s">
        <v>972</v>
      </c>
      <c r="I100" s="134" t="s">
        <v>370</v>
      </c>
      <c r="J100" s="134">
        <v>8</v>
      </c>
      <c r="K100" s="134">
        <v>42.69</v>
      </c>
      <c r="L100" s="134">
        <v>42.69</v>
      </c>
      <c r="M100" s="134">
        <v>24275.79</v>
      </c>
      <c r="N100" s="441">
        <v>1036333</v>
      </c>
      <c r="O100" s="359">
        <v>23975.79</v>
      </c>
      <c r="Q100" s="145">
        <v>950764.22</v>
      </c>
      <c r="R100" s="1006" t="s">
        <v>973</v>
      </c>
      <c r="S100" s="443">
        <v>45618</v>
      </c>
      <c r="T100" s="359"/>
      <c r="U100" s="413"/>
      <c r="V100" s="413" t="s">
        <v>974</v>
      </c>
      <c r="W100" s="413" t="s">
        <v>975</v>
      </c>
      <c r="X100" s="359">
        <v>5000</v>
      </c>
      <c r="Y100" s="413">
        <v>44762</v>
      </c>
      <c r="Z100" s="359">
        <v>100000</v>
      </c>
      <c r="AA100" s="417" t="s">
        <v>458</v>
      </c>
      <c r="AB100" s="359">
        <v>420848</v>
      </c>
      <c r="AC100" s="417" t="s">
        <v>976</v>
      </c>
      <c r="AD100" s="359">
        <v>110000</v>
      </c>
      <c r="AE100" s="413" t="s">
        <v>696</v>
      </c>
      <c r="AF100" s="359">
        <v>200000</v>
      </c>
      <c r="AG100" s="413" t="s">
        <v>977</v>
      </c>
      <c r="AH100" s="359">
        <v>200000</v>
      </c>
      <c r="AI100" s="413" t="s">
        <v>498</v>
      </c>
      <c r="AJ100" s="359">
        <v>485</v>
      </c>
      <c r="AK100" s="413" t="s">
        <v>957</v>
      </c>
      <c r="AL100" s="359">
        <f t="shared" si="28"/>
        <v>1036333</v>
      </c>
      <c r="AO100" s="418">
        <f t="shared" si="30"/>
        <v>0</v>
      </c>
      <c r="AP100" s="134">
        <v>14799095699</v>
      </c>
      <c r="AT100" s="419">
        <f t="shared" si="21"/>
        <v>0</v>
      </c>
      <c r="AU100" s="419"/>
      <c r="AV100" s="359"/>
      <c r="AW100" s="359"/>
      <c r="AX100" s="359"/>
      <c r="AY100" s="359"/>
      <c r="AZ100" s="359"/>
      <c r="BA100" s="359"/>
      <c r="BB100" s="359"/>
      <c r="BC100" s="359">
        <f t="shared" si="22"/>
        <v>1036333</v>
      </c>
      <c r="BD100" s="513">
        <f>1%+0.18%+0.25%</f>
        <v>0.0143</v>
      </c>
      <c r="BE100" s="359">
        <v>520848</v>
      </c>
      <c r="BF100" s="359"/>
      <c r="BG100" s="359"/>
      <c r="BH100" s="359"/>
      <c r="BI100" s="359"/>
      <c r="BJ100" s="359"/>
      <c r="BK100" s="359"/>
      <c r="BL100" s="359"/>
      <c r="BM100" s="359"/>
      <c r="BN100" s="359"/>
      <c r="BO100" s="359"/>
      <c r="BP100" s="359"/>
      <c r="BQ100" s="359"/>
      <c r="BR100" s="359"/>
      <c r="BS100" s="359"/>
      <c r="BT100" s="359">
        <v>835848</v>
      </c>
      <c r="BU100" s="359"/>
      <c r="BV100" s="359"/>
      <c r="BW100" s="359"/>
      <c r="BX100" s="359"/>
      <c r="BY100" s="359"/>
      <c r="BZ100" s="359"/>
      <c r="CA100" s="359"/>
      <c r="CB100" s="359">
        <v>-320363</v>
      </c>
      <c r="CC100" s="359"/>
      <c r="CD100" s="359"/>
      <c r="CE100" s="359"/>
      <c r="CF100" s="359"/>
      <c r="CG100" s="359"/>
      <c r="CH100" s="359"/>
      <c r="CI100" s="134"/>
      <c r="CK100" s="134" t="s">
        <v>376</v>
      </c>
      <c r="CL100" s="134" t="s">
        <v>387</v>
      </c>
      <c r="CN100" s="134" t="s">
        <v>377</v>
      </c>
    </row>
    <row r="101" s="134" customFormat="1" customHeight="1" spans="1:92">
      <c r="A101" s="134">
        <v>94</v>
      </c>
      <c r="C101" s="443">
        <v>45570</v>
      </c>
      <c r="D101" s="134">
        <v>20240005898</v>
      </c>
      <c r="E101" s="1006" t="s">
        <v>978</v>
      </c>
      <c r="F101" s="429" t="s">
        <v>979</v>
      </c>
      <c r="G101" s="143" t="s">
        <v>980</v>
      </c>
      <c r="I101" s="134" t="s">
        <v>370</v>
      </c>
      <c r="J101" s="134">
        <v>9</v>
      </c>
      <c r="K101" s="134">
        <v>42.69</v>
      </c>
      <c r="L101" s="134">
        <v>42.69</v>
      </c>
      <c r="M101" s="134">
        <v>24181.77</v>
      </c>
      <c r="N101" s="441">
        <v>1032320</v>
      </c>
      <c r="O101" s="359">
        <v>23881.77</v>
      </c>
      <c r="Q101" s="145">
        <v>947082.57</v>
      </c>
      <c r="R101" s="1006" t="s">
        <v>981</v>
      </c>
      <c r="S101" s="443">
        <v>45765</v>
      </c>
      <c r="T101" s="359"/>
      <c r="U101" s="413"/>
      <c r="V101" s="413" t="s">
        <v>982</v>
      </c>
      <c r="W101" s="413" t="s">
        <v>983</v>
      </c>
      <c r="X101" s="359">
        <f>5000+5000</f>
        <v>10000</v>
      </c>
      <c r="Y101" s="413" t="s">
        <v>984</v>
      </c>
      <c r="Z101" s="359">
        <v>50000</v>
      </c>
      <c r="AA101" s="417" t="s">
        <v>458</v>
      </c>
      <c r="AB101" s="359">
        <v>140000</v>
      </c>
      <c r="AC101" s="417" t="s">
        <v>985</v>
      </c>
      <c r="AD101" s="359">
        <v>50000</v>
      </c>
      <c r="AE101" s="413" t="s">
        <v>642</v>
      </c>
      <c r="AF101" s="359">
        <v>100000</v>
      </c>
      <c r="AG101" s="413" t="s">
        <v>472</v>
      </c>
      <c r="AH101" s="359">
        <v>100000</v>
      </c>
      <c r="AI101" s="413">
        <v>45565</v>
      </c>
      <c r="AJ101" s="359">
        <f>484+100000+100000+130000+200000+51836</f>
        <v>582320</v>
      </c>
      <c r="AK101" s="413" t="s">
        <v>986</v>
      </c>
      <c r="AL101" s="359">
        <f t="shared" si="28"/>
        <v>1032320</v>
      </c>
      <c r="AO101" s="418">
        <f t="shared" si="30"/>
        <v>0</v>
      </c>
      <c r="AP101" s="134">
        <v>13999607739</v>
      </c>
      <c r="AT101" s="419">
        <f t="shared" si="21"/>
        <v>0</v>
      </c>
      <c r="AU101" s="419"/>
      <c r="AV101" s="359"/>
      <c r="AW101" s="359"/>
      <c r="AX101" s="359"/>
      <c r="AY101" s="359"/>
      <c r="AZ101" s="359"/>
      <c r="BA101" s="359"/>
      <c r="BB101" s="359"/>
      <c r="BC101" s="359">
        <f t="shared" si="22"/>
        <v>1032320</v>
      </c>
      <c r="BD101" s="513">
        <f>1%+0.25%</f>
        <v>0.0125</v>
      </c>
      <c r="BE101" s="359"/>
      <c r="BF101" s="359"/>
      <c r="BG101" s="359"/>
      <c r="BH101" s="359"/>
      <c r="BI101" s="359"/>
      <c r="BJ101" s="359"/>
      <c r="BK101" s="359"/>
      <c r="BL101" s="359"/>
      <c r="BM101" s="359"/>
      <c r="BN101" s="359"/>
      <c r="BO101" s="359"/>
      <c r="BP101" s="359"/>
      <c r="BQ101" s="359"/>
      <c r="BR101" s="359"/>
      <c r="BS101" s="359"/>
      <c r="BT101" s="359"/>
      <c r="BU101" s="359"/>
      <c r="BV101" s="359"/>
      <c r="BW101" s="359"/>
      <c r="BX101" s="359"/>
      <c r="BY101" s="359">
        <v>1032320</v>
      </c>
      <c r="BZ101" s="359"/>
      <c r="CA101" s="359"/>
      <c r="CB101" s="359"/>
      <c r="CC101" s="359"/>
      <c r="CD101" s="359"/>
      <c r="CE101" s="359"/>
      <c r="CF101" s="359"/>
      <c r="CG101" s="359"/>
      <c r="CH101" s="359"/>
      <c r="CI101" s="134"/>
      <c r="CK101" s="134" t="s">
        <v>376</v>
      </c>
      <c r="CN101" s="134" t="s">
        <v>377</v>
      </c>
    </row>
    <row r="102" s="134" customFormat="1" customHeight="1" spans="1:92">
      <c r="A102" s="134">
        <v>95</v>
      </c>
      <c r="C102" s="443">
        <v>45108</v>
      </c>
      <c r="D102" s="134">
        <v>20230005458</v>
      </c>
      <c r="E102" s="1006" t="s">
        <v>987</v>
      </c>
      <c r="F102" s="429" t="s">
        <v>988</v>
      </c>
      <c r="G102" s="143" t="s">
        <v>989</v>
      </c>
      <c r="I102" s="134" t="s">
        <v>370</v>
      </c>
      <c r="J102" s="134">
        <v>10</v>
      </c>
      <c r="K102" s="134">
        <v>41.68</v>
      </c>
      <c r="L102" s="134">
        <v>41.68</v>
      </c>
      <c r="M102" s="134">
        <v>24669.16</v>
      </c>
      <c r="N102" s="441">
        <v>1028211</v>
      </c>
      <c r="O102" s="359">
        <v>24369.16</v>
      </c>
      <c r="Q102" s="145">
        <v>943312.84</v>
      </c>
      <c r="R102" s="1006" t="s">
        <v>990</v>
      </c>
      <c r="S102" s="443">
        <v>45618</v>
      </c>
      <c r="T102" s="359"/>
      <c r="U102" s="413"/>
      <c r="V102" s="134" t="s">
        <v>991</v>
      </c>
      <c r="W102" s="134" t="s">
        <v>992</v>
      </c>
      <c r="X102" s="359">
        <v>5000</v>
      </c>
      <c r="Y102" s="134" t="s">
        <v>993</v>
      </c>
      <c r="Z102" s="359">
        <v>45000</v>
      </c>
      <c r="AA102" s="417" t="s">
        <v>448</v>
      </c>
      <c r="AB102" s="359">
        <v>464717</v>
      </c>
      <c r="AC102" s="417" t="s">
        <v>994</v>
      </c>
      <c r="AD102" s="359">
        <f>84000+429000</f>
        <v>513000</v>
      </c>
      <c r="AE102" s="413" t="s">
        <v>588</v>
      </c>
      <c r="AF102" s="134"/>
      <c r="AG102" s="134"/>
      <c r="AL102" s="359">
        <f t="shared" si="28"/>
        <v>1027717</v>
      </c>
      <c r="AO102" s="418">
        <f t="shared" si="30"/>
        <v>494</v>
      </c>
      <c r="AP102" s="134">
        <v>18116973710</v>
      </c>
      <c r="AT102" s="419">
        <f t="shared" si="21"/>
        <v>700</v>
      </c>
      <c r="AU102" s="419"/>
      <c r="AV102" s="359"/>
      <c r="AW102" s="359">
        <v>200</v>
      </c>
      <c r="AX102" s="359"/>
      <c r="AY102" s="359">
        <v>200</v>
      </c>
      <c r="AZ102" s="359"/>
      <c r="BA102" s="359">
        <v>300</v>
      </c>
      <c r="BB102" s="359"/>
      <c r="BC102" s="359">
        <f t="shared" si="22"/>
        <v>1027717</v>
      </c>
      <c r="BD102" s="513">
        <f t="shared" ref="BD102:BD105" si="31">1%+0.18%+0.25%</f>
        <v>0.0143</v>
      </c>
      <c r="BE102" s="359"/>
      <c r="BF102" s="359"/>
      <c r="BG102" s="359"/>
      <c r="BH102" s="359">
        <v>1027717</v>
      </c>
      <c r="BI102" s="359"/>
      <c r="BJ102" s="359"/>
      <c r="BK102" s="359"/>
      <c r="BL102" s="359"/>
      <c r="BM102" s="359"/>
      <c r="BN102" s="359"/>
      <c r="BO102" s="359"/>
      <c r="BP102" s="359"/>
      <c r="BQ102" s="359"/>
      <c r="BR102" s="359"/>
      <c r="BS102" s="359"/>
      <c r="BT102" s="359"/>
      <c r="BU102" s="359"/>
      <c r="BV102" s="359"/>
      <c r="BW102" s="359"/>
      <c r="BX102" s="359"/>
      <c r="BY102" s="359"/>
      <c r="BZ102" s="359"/>
      <c r="CA102" s="359"/>
      <c r="CB102" s="359"/>
      <c r="CC102" s="359"/>
      <c r="CD102" s="359"/>
      <c r="CE102" s="359"/>
      <c r="CF102" s="359"/>
      <c r="CG102" s="359"/>
      <c r="CH102" s="359"/>
      <c r="CI102" s="134"/>
      <c r="CK102" s="134" t="s">
        <v>376</v>
      </c>
      <c r="CL102" s="134" t="s">
        <v>387</v>
      </c>
      <c r="CN102" s="134" t="s">
        <v>377</v>
      </c>
    </row>
    <row r="103" s="134" customFormat="1" customHeight="1" spans="1:92">
      <c r="A103" s="134">
        <v>96</v>
      </c>
      <c r="C103" s="443">
        <v>45198</v>
      </c>
      <c r="D103" s="134">
        <v>20230008219</v>
      </c>
      <c r="E103" s="1006" t="s">
        <v>995</v>
      </c>
      <c r="F103" s="429" t="s">
        <v>996</v>
      </c>
      <c r="G103" s="143" t="s">
        <v>997</v>
      </c>
      <c r="I103" s="134" t="s">
        <v>370</v>
      </c>
      <c r="J103" s="134">
        <v>11</v>
      </c>
      <c r="K103" s="134">
        <v>43.2</v>
      </c>
      <c r="L103" s="134">
        <v>43.2</v>
      </c>
      <c r="M103" s="134">
        <v>25867</v>
      </c>
      <c r="N103" s="441">
        <v>1117455</v>
      </c>
      <c r="O103" s="359">
        <v>25705</v>
      </c>
      <c r="Q103" s="145">
        <v>1025188.07</v>
      </c>
      <c r="R103" s="1006" t="s">
        <v>998</v>
      </c>
      <c r="S103" s="443">
        <v>45765</v>
      </c>
      <c r="T103" s="359"/>
      <c r="U103" s="413"/>
      <c r="V103" s="413" t="s">
        <v>999</v>
      </c>
      <c r="W103" s="413" t="s">
        <v>1000</v>
      </c>
      <c r="X103" s="359">
        <v>10000</v>
      </c>
      <c r="Y103" s="413" t="s">
        <v>1001</v>
      </c>
      <c r="Z103" s="359">
        <v>90000</v>
      </c>
      <c r="AA103" s="417" t="s">
        <v>448</v>
      </c>
      <c r="AB103" s="359">
        <v>1016937</v>
      </c>
      <c r="AC103" s="413" t="s">
        <v>1002</v>
      </c>
      <c r="AD103" s="359">
        <v>518</v>
      </c>
      <c r="AE103" s="413" t="s">
        <v>1003</v>
      </c>
      <c r="AL103" s="359">
        <f t="shared" si="28"/>
        <v>1117455</v>
      </c>
      <c r="AO103" s="418">
        <f t="shared" ref="AO103:AO109" si="32">N103-AL103</f>
        <v>0</v>
      </c>
      <c r="AP103" s="134">
        <v>15276260476</v>
      </c>
      <c r="AT103" s="419">
        <f t="shared" si="21"/>
        <v>200</v>
      </c>
      <c r="AU103" s="419"/>
      <c r="AV103" s="359"/>
      <c r="AW103" s="359"/>
      <c r="AX103" s="359"/>
      <c r="AY103" s="359">
        <v>200</v>
      </c>
      <c r="AZ103" s="359"/>
      <c r="BA103" s="359"/>
      <c r="BB103" s="359"/>
      <c r="BC103" s="359">
        <f t="shared" si="22"/>
        <v>1116937</v>
      </c>
      <c r="BD103" s="513">
        <f t="shared" si="31"/>
        <v>0.0143</v>
      </c>
      <c r="BE103" s="359"/>
      <c r="BF103" s="359"/>
      <c r="BG103" s="359">
        <v>1116937</v>
      </c>
      <c r="BH103" s="359"/>
      <c r="BI103" s="359"/>
      <c r="BJ103" s="359"/>
      <c r="BK103" s="359"/>
      <c r="BL103" s="359"/>
      <c r="BM103" s="359"/>
      <c r="BN103" s="359"/>
      <c r="BO103" s="359"/>
      <c r="BP103" s="359"/>
      <c r="BQ103" s="359"/>
      <c r="BR103" s="359"/>
      <c r="BS103" s="359"/>
      <c r="BT103" s="359"/>
      <c r="BU103" s="359"/>
      <c r="BV103" s="359"/>
      <c r="BW103" s="359"/>
      <c r="BX103" s="359"/>
      <c r="BY103" s="359"/>
      <c r="BZ103" s="359"/>
      <c r="CA103" s="359"/>
      <c r="CB103" s="359"/>
      <c r="CC103" s="359"/>
      <c r="CD103" s="359"/>
      <c r="CE103" s="359"/>
      <c r="CF103" s="359"/>
      <c r="CG103" s="359"/>
      <c r="CH103" s="359"/>
      <c r="CI103" s="134"/>
      <c r="CK103" s="134" t="s">
        <v>376</v>
      </c>
      <c r="CL103" s="134" t="s">
        <v>387</v>
      </c>
      <c r="CN103" s="134" t="s">
        <v>377</v>
      </c>
    </row>
    <row r="104" s="134" customFormat="1" customHeight="1" spans="1:92">
      <c r="A104" s="134">
        <v>97</v>
      </c>
      <c r="C104" s="443">
        <v>45198</v>
      </c>
      <c r="D104" s="134">
        <v>20230008224</v>
      </c>
      <c r="E104" s="1006" t="s">
        <v>1004</v>
      </c>
      <c r="F104" s="429" t="s">
        <v>996</v>
      </c>
      <c r="G104" s="143" t="s">
        <v>997</v>
      </c>
      <c r="I104" s="134" t="s">
        <v>370</v>
      </c>
      <c r="J104" s="134">
        <v>12</v>
      </c>
      <c r="K104" s="134">
        <v>43.2</v>
      </c>
      <c r="L104" s="134">
        <v>43.2</v>
      </c>
      <c r="M104" s="134">
        <v>20533</v>
      </c>
      <c r="N104" s="441">
        <v>887026</v>
      </c>
      <c r="O104" s="359">
        <v>20372.35</v>
      </c>
      <c r="Q104" s="145">
        <v>813785.32</v>
      </c>
      <c r="R104" s="1006" t="s">
        <v>1005</v>
      </c>
      <c r="S104" s="443">
        <v>45765</v>
      </c>
      <c r="T104" s="359"/>
      <c r="U104" s="413"/>
      <c r="V104" s="413"/>
      <c r="W104" s="413" t="s">
        <v>1000</v>
      </c>
      <c r="X104" s="359">
        <v>100000</v>
      </c>
      <c r="Y104" s="413" t="s">
        <v>448</v>
      </c>
      <c r="Z104" s="359">
        <v>283063</v>
      </c>
      <c r="AA104" s="413" t="s">
        <v>1002</v>
      </c>
      <c r="AB104" s="359">
        <v>503552</v>
      </c>
      <c r="AC104" s="417" t="s">
        <v>571</v>
      </c>
      <c r="AD104" s="359">
        <v>411</v>
      </c>
      <c r="AE104" s="413" t="s">
        <v>1003</v>
      </c>
      <c r="AL104" s="359">
        <f t="shared" si="28"/>
        <v>887026</v>
      </c>
      <c r="AO104" s="418">
        <f t="shared" si="32"/>
        <v>0</v>
      </c>
      <c r="AP104" s="134">
        <v>15276260476</v>
      </c>
      <c r="AT104" s="419">
        <f t="shared" si="21"/>
        <v>200</v>
      </c>
      <c r="AU104" s="419"/>
      <c r="AV104" s="359"/>
      <c r="AW104" s="359"/>
      <c r="AX104" s="359"/>
      <c r="AY104" s="359">
        <v>200</v>
      </c>
      <c r="AZ104" s="359"/>
      <c r="BA104" s="359"/>
      <c r="BB104" s="359"/>
      <c r="BC104" s="359">
        <f t="shared" si="22"/>
        <v>886615</v>
      </c>
      <c r="BD104" s="513">
        <f t="shared" si="31"/>
        <v>0.0143</v>
      </c>
      <c r="BE104" s="359"/>
      <c r="BF104" s="359"/>
      <c r="BG104" s="359">
        <v>886615</v>
      </c>
      <c r="BH104" s="359"/>
      <c r="BI104" s="359"/>
      <c r="BJ104" s="359"/>
      <c r="BK104" s="359"/>
      <c r="BL104" s="359"/>
      <c r="BM104" s="359"/>
      <c r="BN104" s="359"/>
      <c r="BO104" s="359"/>
      <c r="BP104" s="359"/>
      <c r="BQ104" s="359"/>
      <c r="BR104" s="359"/>
      <c r="BS104" s="359"/>
      <c r="BT104" s="359"/>
      <c r="BU104" s="359"/>
      <c r="BV104" s="359"/>
      <c r="BW104" s="359"/>
      <c r="BX104" s="359"/>
      <c r="BY104" s="359"/>
      <c r="BZ104" s="359"/>
      <c r="CA104" s="359"/>
      <c r="CB104" s="359"/>
      <c r="CC104" s="359"/>
      <c r="CD104" s="359"/>
      <c r="CE104" s="359"/>
      <c r="CF104" s="359"/>
      <c r="CG104" s="359"/>
      <c r="CH104" s="359"/>
      <c r="CI104" s="134"/>
      <c r="CK104" s="134" t="s">
        <v>376</v>
      </c>
      <c r="CL104" s="134" t="s">
        <v>387</v>
      </c>
      <c r="CN104" s="134" t="s">
        <v>377</v>
      </c>
    </row>
    <row r="105" s="134" customFormat="1" customHeight="1" spans="1:92">
      <c r="A105" s="134">
        <v>98</v>
      </c>
      <c r="C105" s="443">
        <v>45108</v>
      </c>
      <c r="D105" s="134">
        <v>20230005459</v>
      </c>
      <c r="E105" s="1006" t="s">
        <v>1006</v>
      </c>
      <c r="F105" s="429" t="s">
        <v>988</v>
      </c>
      <c r="G105" s="143" t="s">
        <v>989</v>
      </c>
      <c r="I105" s="134" t="s">
        <v>370</v>
      </c>
      <c r="J105" s="134">
        <v>13</v>
      </c>
      <c r="K105" s="134">
        <v>41.68</v>
      </c>
      <c r="L105" s="134">
        <v>41.68</v>
      </c>
      <c r="M105" s="134">
        <v>19527.5</v>
      </c>
      <c r="N105" s="441">
        <v>813906</v>
      </c>
      <c r="O105" s="359">
        <v>19227.5</v>
      </c>
      <c r="Q105" s="145">
        <v>746702.75</v>
      </c>
      <c r="R105" s="1006" t="s">
        <v>1007</v>
      </c>
      <c r="S105" s="443">
        <v>45618</v>
      </c>
      <c r="T105" s="359"/>
      <c r="U105" s="413"/>
      <c r="V105" s="413"/>
      <c r="W105" s="134" t="s">
        <v>992</v>
      </c>
      <c r="X105" s="359">
        <v>50000</v>
      </c>
      <c r="Y105" s="134" t="s">
        <v>448</v>
      </c>
      <c r="Z105" s="359">
        <v>357516</v>
      </c>
      <c r="AA105" s="417" t="s">
        <v>994</v>
      </c>
      <c r="AB105" s="359">
        <v>406000</v>
      </c>
      <c r="AC105" s="417" t="s">
        <v>1008</v>
      </c>
      <c r="AL105" s="359">
        <f t="shared" si="28"/>
        <v>813516</v>
      </c>
      <c r="AO105" s="418">
        <f t="shared" si="32"/>
        <v>390</v>
      </c>
      <c r="AP105" s="134">
        <v>18116973710</v>
      </c>
      <c r="AT105" s="419">
        <f t="shared" ref="AT105:AT150" si="33">AU105+AV105+AW105+AX105+AY105+AZ105+BA105+BB105</f>
        <v>200</v>
      </c>
      <c r="AU105" s="419"/>
      <c r="AV105" s="359"/>
      <c r="AW105" s="359"/>
      <c r="AX105" s="359"/>
      <c r="AY105" s="359">
        <v>200</v>
      </c>
      <c r="AZ105" s="359"/>
      <c r="BA105" s="359"/>
      <c r="BB105" s="359"/>
      <c r="BC105" s="359">
        <f t="shared" ref="BC105:BC150" si="34">SUM(BE105:CH105)</f>
        <v>813516</v>
      </c>
      <c r="BD105" s="513">
        <f t="shared" si="31"/>
        <v>0.0143</v>
      </c>
      <c r="BE105" s="359"/>
      <c r="BF105" s="359"/>
      <c r="BG105" s="359"/>
      <c r="BH105" s="359">
        <v>813516</v>
      </c>
      <c r="BI105" s="359"/>
      <c r="BJ105" s="359"/>
      <c r="BK105" s="359"/>
      <c r="BL105" s="359"/>
      <c r="BM105" s="359"/>
      <c r="BN105" s="359"/>
      <c r="BO105" s="359"/>
      <c r="BP105" s="359"/>
      <c r="BQ105" s="359"/>
      <c r="BR105" s="359"/>
      <c r="BS105" s="359"/>
      <c r="BT105" s="359"/>
      <c r="BU105" s="359"/>
      <c r="BV105" s="359"/>
      <c r="BW105" s="359"/>
      <c r="BX105" s="359"/>
      <c r="BY105" s="359"/>
      <c r="BZ105" s="359"/>
      <c r="CA105" s="359"/>
      <c r="CB105" s="359"/>
      <c r="CC105" s="359"/>
      <c r="CD105" s="359"/>
      <c r="CE105" s="359"/>
      <c r="CF105" s="359"/>
      <c r="CG105" s="359"/>
      <c r="CH105" s="359"/>
      <c r="CI105" s="134"/>
      <c r="CK105" s="134" t="s">
        <v>376</v>
      </c>
      <c r="CL105" s="134" t="s">
        <v>387</v>
      </c>
      <c r="CN105" s="134" t="s">
        <v>377</v>
      </c>
    </row>
    <row r="106" s="134" customFormat="1" customHeight="1" spans="1:92">
      <c r="A106" s="134">
        <v>99</v>
      </c>
      <c r="C106" s="443">
        <v>45318</v>
      </c>
      <c r="D106" s="134">
        <v>20240000629</v>
      </c>
      <c r="E106" s="1006" t="s">
        <v>1009</v>
      </c>
      <c r="F106" s="429" t="s">
        <v>1010</v>
      </c>
      <c r="G106" s="143" t="s">
        <v>1011</v>
      </c>
      <c r="I106" s="134" t="s">
        <v>370</v>
      </c>
      <c r="J106" s="134">
        <v>14</v>
      </c>
      <c r="K106" s="134">
        <v>42.69</v>
      </c>
      <c r="L106" s="134">
        <v>42.69</v>
      </c>
      <c r="M106" s="134">
        <v>17421.83</v>
      </c>
      <c r="N106" s="441">
        <v>743738</v>
      </c>
      <c r="O106" s="359">
        <v>17121.83</v>
      </c>
      <c r="Q106" s="145">
        <v>682328.44</v>
      </c>
      <c r="R106" s="1006" t="s">
        <v>1012</v>
      </c>
      <c r="S106" s="443">
        <v>45765</v>
      </c>
      <c r="T106" s="359"/>
      <c r="U106" s="413"/>
      <c r="V106" s="413"/>
      <c r="W106" s="413" t="s">
        <v>1013</v>
      </c>
      <c r="X106" s="359">
        <v>50000</v>
      </c>
      <c r="Y106" s="413" t="s">
        <v>458</v>
      </c>
      <c r="Z106" s="359">
        <v>300000</v>
      </c>
      <c r="AA106" s="413" t="s">
        <v>1014</v>
      </c>
      <c r="AB106" s="359">
        <v>200000</v>
      </c>
      <c r="AC106" s="413" t="s">
        <v>1015</v>
      </c>
      <c r="AD106" s="359">
        <v>150000</v>
      </c>
      <c r="AE106" s="413" t="s">
        <v>1016</v>
      </c>
      <c r="AF106" s="359">
        <v>43389</v>
      </c>
      <c r="AG106" s="413" t="s">
        <v>642</v>
      </c>
      <c r="AH106" s="359">
        <v>349</v>
      </c>
      <c r="AI106" s="413">
        <v>45894</v>
      </c>
      <c r="AL106" s="359">
        <f t="shared" si="28"/>
        <v>743738</v>
      </c>
      <c r="AO106" s="418">
        <f t="shared" si="32"/>
        <v>0</v>
      </c>
      <c r="AP106" s="134">
        <v>13899019911</v>
      </c>
      <c r="AT106" s="419">
        <f t="shared" si="33"/>
        <v>0</v>
      </c>
      <c r="AU106" s="419"/>
      <c r="AV106" s="359"/>
      <c r="AW106" s="359"/>
      <c r="AX106" s="359"/>
      <c r="AY106" s="359"/>
      <c r="AZ106" s="359"/>
      <c r="BA106" s="359"/>
      <c r="BB106" s="359"/>
      <c r="BC106" s="359">
        <f t="shared" si="34"/>
        <v>743389</v>
      </c>
      <c r="BD106" s="513">
        <f>1%+0.25%</f>
        <v>0.0125</v>
      </c>
      <c r="BE106" s="359"/>
      <c r="BF106" s="359"/>
      <c r="BG106" s="359"/>
      <c r="BH106" s="359"/>
      <c r="BI106" s="359"/>
      <c r="BJ106" s="359"/>
      <c r="BK106" s="359"/>
      <c r="BL106" s="359"/>
      <c r="BM106" s="359">
        <v>743389</v>
      </c>
      <c r="BN106" s="359"/>
      <c r="BO106" s="359"/>
      <c r="BP106" s="359"/>
      <c r="BQ106" s="359"/>
      <c r="BR106" s="359"/>
      <c r="BS106" s="359"/>
      <c r="BT106" s="359"/>
      <c r="BU106" s="359"/>
      <c r="BV106" s="359"/>
      <c r="BW106" s="359"/>
      <c r="BX106" s="359"/>
      <c r="BY106" s="359"/>
      <c r="BZ106" s="359"/>
      <c r="CA106" s="359"/>
      <c r="CB106" s="359"/>
      <c r="CC106" s="359"/>
      <c r="CD106" s="359"/>
      <c r="CE106" s="359"/>
      <c r="CF106" s="359"/>
      <c r="CG106" s="359"/>
      <c r="CH106" s="359"/>
      <c r="CI106" s="134"/>
      <c r="CK106" s="134" t="s">
        <v>376</v>
      </c>
      <c r="CL106" s="134" t="s">
        <v>387</v>
      </c>
      <c r="CN106" s="134" t="s">
        <v>377</v>
      </c>
    </row>
    <row r="107" s="134" customFormat="1" customHeight="1" spans="1:92">
      <c r="A107" s="134">
        <v>100</v>
      </c>
      <c r="C107" s="443">
        <v>45111</v>
      </c>
      <c r="D107" s="134">
        <v>20230005527</v>
      </c>
      <c r="E107" s="1006" t="s">
        <v>1017</v>
      </c>
      <c r="F107" s="429" t="s">
        <v>971</v>
      </c>
      <c r="G107" s="143" t="s">
        <v>972</v>
      </c>
      <c r="I107" s="134" t="s">
        <v>370</v>
      </c>
      <c r="J107" s="134">
        <v>15</v>
      </c>
      <c r="K107" s="134">
        <v>42.69</v>
      </c>
      <c r="L107" s="134">
        <v>42.69</v>
      </c>
      <c r="M107" s="134">
        <v>17235.72</v>
      </c>
      <c r="N107" s="441">
        <v>735793</v>
      </c>
      <c r="O107" s="359">
        <v>16935.72</v>
      </c>
      <c r="Q107" s="145">
        <v>675039.45</v>
      </c>
      <c r="R107" s="1006" t="s">
        <v>1018</v>
      </c>
      <c r="S107" s="443">
        <v>45618</v>
      </c>
      <c r="T107" s="359"/>
      <c r="U107" s="413"/>
      <c r="V107" s="413"/>
      <c r="W107" s="413" t="s">
        <v>975</v>
      </c>
      <c r="X107" s="359">
        <v>100000</v>
      </c>
      <c r="Y107" s="413" t="s">
        <v>458</v>
      </c>
      <c r="Z107" s="359">
        <f>4500+270948+180000</f>
        <v>455448</v>
      </c>
      <c r="AA107" s="417" t="s">
        <v>976</v>
      </c>
      <c r="AB107" s="359">
        <v>130000</v>
      </c>
      <c r="AC107" s="413" t="s">
        <v>682</v>
      </c>
      <c r="AD107" s="359">
        <v>50000</v>
      </c>
      <c r="AE107" s="413" t="s">
        <v>411</v>
      </c>
      <c r="AF107" s="359">
        <v>345</v>
      </c>
      <c r="AG107" s="413" t="s">
        <v>957</v>
      </c>
      <c r="AL107" s="359">
        <f t="shared" si="28"/>
        <v>735793</v>
      </c>
      <c r="AO107" s="418">
        <f t="shared" si="32"/>
        <v>0</v>
      </c>
      <c r="AP107" s="134">
        <v>14799095699</v>
      </c>
      <c r="AT107" s="419">
        <f t="shared" si="33"/>
        <v>0</v>
      </c>
      <c r="AU107" s="419"/>
      <c r="AV107" s="359"/>
      <c r="AW107" s="359"/>
      <c r="AX107" s="359"/>
      <c r="AY107" s="359"/>
      <c r="AZ107" s="359"/>
      <c r="BA107" s="359"/>
      <c r="BB107" s="359"/>
      <c r="BC107" s="359">
        <f t="shared" si="34"/>
        <v>735448</v>
      </c>
      <c r="BD107" s="513">
        <f>1%+0.18%+0.25%</f>
        <v>0.0143</v>
      </c>
      <c r="BE107" s="359"/>
      <c r="BF107" s="359"/>
      <c r="BG107" s="359"/>
      <c r="BH107" s="359"/>
      <c r="BI107" s="359"/>
      <c r="BJ107" s="359"/>
      <c r="BK107" s="359"/>
      <c r="BL107" s="359"/>
      <c r="BM107" s="359">
        <v>735448</v>
      </c>
      <c r="BN107" s="359"/>
      <c r="BO107" s="359"/>
      <c r="BP107" s="359"/>
      <c r="BQ107" s="359"/>
      <c r="BR107" s="359"/>
      <c r="BS107" s="359"/>
      <c r="BT107" s="359"/>
      <c r="BU107" s="359"/>
      <c r="BV107" s="359"/>
      <c r="BW107" s="359"/>
      <c r="BX107" s="359"/>
      <c r="BY107" s="359"/>
      <c r="BZ107" s="359"/>
      <c r="CA107" s="359"/>
      <c r="CB107" s="359"/>
      <c r="CC107" s="359"/>
      <c r="CD107" s="359"/>
      <c r="CE107" s="359"/>
      <c r="CF107" s="359"/>
      <c r="CG107" s="359"/>
      <c r="CH107" s="359"/>
      <c r="CI107" s="134"/>
      <c r="CK107" s="134" t="s">
        <v>376</v>
      </c>
      <c r="CN107" s="134" t="s">
        <v>377</v>
      </c>
    </row>
    <row r="108" s="134" customFormat="1" customHeight="1" spans="1:92">
      <c r="A108" s="134">
        <v>101</v>
      </c>
      <c r="C108" s="443">
        <v>45624</v>
      </c>
      <c r="D108" s="134">
        <v>20240006868</v>
      </c>
      <c r="E108" s="1006" t="s">
        <v>1019</v>
      </c>
      <c r="F108" s="429" t="s">
        <v>1020</v>
      </c>
      <c r="G108" s="143" t="s">
        <v>968</v>
      </c>
      <c r="I108" s="134" t="s">
        <v>370</v>
      </c>
      <c r="J108" s="134">
        <v>16</v>
      </c>
      <c r="K108" s="134">
        <v>42.69</v>
      </c>
      <c r="L108" s="134">
        <v>42.69</v>
      </c>
      <c r="M108" s="134">
        <v>16893.61</v>
      </c>
      <c r="N108" s="441">
        <v>721188</v>
      </c>
      <c r="O108" s="359">
        <v>16749.62</v>
      </c>
      <c r="Q108" s="145">
        <v>661640.37</v>
      </c>
      <c r="R108" s="1006" t="s">
        <v>1021</v>
      </c>
      <c r="S108" s="443">
        <v>45653</v>
      </c>
      <c r="T108" s="359"/>
      <c r="U108" s="413"/>
      <c r="V108" s="413"/>
      <c r="W108" s="413" t="s">
        <v>963</v>
      </c>
      <c r="X108" s="359">
        <v>50000</v>
      </c>
      <c r="Y108" s="413" t="s">
        <v>458</v>
      </c>
      <c r="Z108" s="359">
        <f>89962+220888</f>
        <v>310850</v>
      </c>
      <c r="AA108" s="413" t="s">
        <v>965</v>
      </c>
      <c r="AB108" s="359">
        <v>338</v>
      </c>
      <c r="AC108" s="413" t="s">
        <v>1022</v>
      </c>
      <c r="AD108" s="359">
        <v>360000</v>
      </c>
      <c r="AE108" s="413" t="s">
        <v>966</v>
      </c>
      <c r="AL108" s="359">
        <f t="shared" si="28"/>
        <v>721188</v>
      </c>
      <c r="AO108" s="418">
        <f t="shared" si="32"/>
        <v>0</v>
      </c>
      <c r="AP108" s="134">
        <v>13699330699</v>
      </c>
      <c r="AT108" s="419">
        <f t="shared" si="33"/>
        <v>0</v>
      </c>
      <c r="AU108" s="419"/>
      <c r="AV108" s="359"/>
      <c r="AW108" s="359"/>
      <c r="AX108" s="359"/>
      <c r="AY108" s="359"/>
      <c r="AZ108" s="359"/>
      <c r="BA108" s="359"/>
      <c r="BB108" s="359"/>
      <c r="BC108" s="359">
        <f t="shared" si="34"/>
        <v>721188</v>
      </c>
      <c r="BD108" s="513">
        <f>1%+0.25%</f>
        <v>0.0125</v>
      </c>
      <c r="BE108" s="359"/>
      <c r="BF108" s="359"/>
      <c r="BG108" s="359"/>
      <c r="BH108" s="359"/>
      <c r="BI108" s="359"/>
      <c r="BJ108" s="359"/>
      <c r="BK108" s="359"/>
      <c r="BL108" s="359"/>
      <c r="BM108" s="359"/>
      <c r="BN108" s="359"/>
      <c r="BO108" s="359"/>
      <c r="BP108" s="359"/>
      <c r="BQ108" s="359"/>
      <c r="BR108" s="359"/>
      <c r="BS108" s="359"/>
      <c r="BT108" s="359"/>
      <c r="BU108" s="359"/>
      <c r="BV108" s="359">
        <v>721188</v>
      </c>
      <c r="BW108" s="359"/>
      <c r="BX108" s="359"/>
      <c r="BY108" s="359"/>
      <c r="BZ108" s="359"/>
      <c r="CA108" s="359"/>
      <c r="CB108" s="359"/>
      <c r="CC108" s="359"/>
      <c r="CD108" s="359"/>
      <c r="CE108" s="359"/>
      <c r="CF108" s="359"/>
      <c r="CG108" s="359"/>
      <c r="CH108" s="359"/>
      <c r="CI108" s="134"/>
      <c r="CK108" s="134" t="s">
        <v>376</v>
      </c>
      <c r="CL108" s="134" t="s">
        <v>387</v>
      </c>
      <c r="CN108" s="134" t="s">
        <v>377</v>
      </c>
    </row>
    <row r="109" s="134" customFormat="1" customHeight="1" spans="1:92">
      <c r="A109" s="134">
        <v>102</v>
      </c>
      <c r="C109" s="443">
        <v>45223</v>
      </c>
      <c r="D109" s="134">
        <v>20230009190</v>
      </c>
      <c r="E109" s="1006" t="s">
        <v>1023</v>
      </c>
      <c r="F109" s="429" t="s">
        <v>959</v>
      </c>
      <c r="G109" s="143" t="s">
        <v>968</v>
      </c>
      <c r="I109" s="134" t="s">
        <v>370</v>
      </c>
      <c r="J109" s="134">
        <v>17</v>
      </c>
      <c r="K109" s="134">
        <v>42.69</v>
      </c>
      <c r="L109" s="134">
        <v>42.69</v>
      </c>
      <c r="M109" s="134">
        <v>16893.61</v>
      </c>
      <c r="N109" s="441">
        <v>721188</v>
      </c>
      <c r="O109" s="359">
        <v>16749.62</v>
      </c>
      <c r="Q109" s="145">
        <v>661640.37</v>
      </c>
      <c r="R109" s="1006" t="s">
        <v>1024</v>
      </c>
      <c r="S109" s="443">
        <v>45653</v>
      </c>
      <c r="T109" s="359"/>
      <c r="U109" s="413"/>
      <c r="V109" s="413"/>
      <c r="W109" s="413" t="s">
        <v>963</v>
      </c>
      <c r="X109" s="359">
        <v>50000</v>
      </c>
      <c r="Y109" s="413" t="s">
        <v>458</v>
      </c>
      <c r="Z109" s="359">
        <v>310850</v>
      </c>
      <c r="AA109" s="413" t="s">
        <v>965</v>
      </c>
      <c r="AB109" s="359">
        <v>360338</v>
      </c>
      <c r="AC109" s="413" t="s">
        <v>1025</v>
      </c>
      <c r="AL109" s="359">
        <f t="shared" si="28"/>
        <v>721188</v>
      </c>
      <c r="AO109" s="418">
        <f t="shared" si="32"/>
        <v>0</v>
      </c>
      <c r="AP109" s="134">
        <v>13699330699</v>
      </c>
      <c r="AT109" s="419">
        <f t="shared" si="33"/>
        <v>0</v>
      </c>
      <c r="AU109" s="419"/>
      <c r="AV109" s="359"/>
      <c r="AW109" s="359"/>
      <c r="AX109" s="359"/>
      <c r="AY109" s="359"/>
      <c r="AZ109" s="359"/>
      <c r="BA109" s="359"/>
      <c r="BB109" s="359"/>
      <c r="BC109" s="359">
        <f t="shared" si="34"/>
        <v>721188</v>
      </c>
      <c r="BD109" s="513">
        <f>1%+0.25%</f>
        <v>0.0125</v>
      </c>
      <c r="BE109" s="359"/>
      <c r="BF109" s="359"/>
      <c r="BG109" s="359"/>
      <c r="BH109" s="359"/>
      <c r="BI109" s="359"/>
      <c r="BJ109" s="359"/>
      <c r="BK109" s="359"/>
      <c r="BL109" s="359"/>
      <c r="BM109" s="359"/>
      <c r="BN109" s="359"/>
      <c r="BO109" s="359"/>
      <c r="BP109" s="359"/>
      <c r="BQ109" s="359"/>
      <c r="BR109" s="359"/>
      <c r="BS109" s="359"/>
      <c r="BT109" s="359"/>
      <c r="BU109" s="359"/>
      <c r="BV109" s="359">
        <v>721188</v>
      </c>
      <c r="BW109" s="359"/>
      <c r="BX109" s="359"/>
      <c r="BY109" s="359"/>
      <c r="BZ109" s="359"/>
      <c r="CA109" s="359"/>
      <c r="CB109" s="359"/>
      <c r="CC109" s="359"/>
      <c r="CD109" s="359"/>
      <c r="CE109" s="359"/>
      <c r="CF109" s="359"/>
      <c r="CG109" s="359"/>
      <c r="CH109" s="359"/>
      <c r="CI109" s="134"/>
      <c r="CK109" s="134" t="s">
        <v>376</v>
      </c>
      <c r="CL109" s="134" t="s">
        <v>387</v>
      </c>
      <c r="CN109" s="134" t="s">
        <v>377</v>
      </c>
    </row>
    <row r="110" s="134" customFormat="1" customHeight="1" spans="1:92">
      <c r="A110" s="134">
        <v>103</v>
      </c>
      <c r="C110" s="443">
        <v>45204</v>
      </c>
      <c r="D110" s="134">
        <v>20230008715</v>
      </c>
      <c r="E110" s="1006" t="s">
        <v>1026</v>
      </c>
      <c r="F110" s="429" t="s">
        <v>948</v>
      </c>
      <c r="G110" s="134" t="s">
        <v>1027</v>
      </c>
      <c r="I110" s="134" t="s">
        <v>370</v>
      </c>
      <c r="J110" s="134">
        <v>18</v>
      </c>
      <c r="K110" s="134">
        <v>42.69</v>
      </c>
      <c r="L110" s="134">
        <v>42.69</v>
      </c>
      <c r="M110" s="134">
        <v>16677.4</v>
      </c>
      <c r="N110" s="441">
        <v>711959</v>
      </c>
      <c r="O110" s="359">
        <v>16377.4</v>
      </c>
      <c r="Q110" s="145">
        <v>653173.39</v>
      </c>
      <c r="R110" s="1006" t="s">
        <v>1028</v>
      </c>
      <c r="S110" s="443">
        <v>45768</v>
      </c>
      <c r="T110" s="359"/>
      <c r="U110" s="138"/>
      <c r="V110" s="138"/>
      <c r="W110" s="138" t="s">
        <v>952</v>
      </c>
      <c r="X110" s="359">
        <v>50000</v>
      </c>
      <c r="Y110" s="138" t="s">
        <v>458</v>
      </c>
      <c r="Z110" s="359">
        <v>106625</v>
      </c>
      <c r="AA110" s="417" t="s">
        <v>587</v>
      </c>
      <c r="AB110" s="359">
        <v>30000</v>
      </c>
      <c r="AC110" s="417" t="s">
        <v>587</v>
      </c>
      <c r="AD110" s="359">
        <v>170000</v>
      </c>
      <c r="AE110" s="138" t="s">
        <v>552</v>
      </c>
      <c r="AF110" s="134">
        <v>5000</v>
      </c>
      <c r="AH110" s="359">
        <v>350000</v>
      </c>
      <c r="AI110" s="138" t="s">
        <v>1029</v>
      </c>
      <c r="AJ110" s="359">
        <v>334</v>
      </c>
      <c r="AK110" s="138" t="s">
        <v>957</v>
      </c>
      <c r="AL110" s="359">
        <f t="shared" si="28"/>
        <v>711959</v>
      </c>
      <c r="AO110" s="418">
        <f t="shared" ref="AO110:AO150" si="35">N110-AL110</f>
        <v>0</v>
      </c>
      <c r="AP110" s="134">
        <v>18997603797</v>
      </c>
      <c r="AT110" s="419">
        <f t="shared" si="33"/>
        <v>0</v>
      </c>
      <c r="AU110" s="419"/>
      <c r="AV110" s="359"/>
      <c r="AW110" s="359"/>
      <c r="AX110" s="359"/>
      <c r="AY110" s="359"/>
      <c r="AZ110" s="359"/>
      <c r="BA110" s="359"/>
      <c r="BB110" s="359"/>
      <c r="BC110" s="359">
        <f t="shared" si="34"/>
        <v>711625</v>
      </c>
      <c r="BD110" s="513">
        <f>1%+0.25%</f>
        <v>0.0125</v>
      </c>
      <c r="BE110" s="359"/>
      <c r="BF110" s="359"/>
      <c r="BG110" s="359"/>
      <c r="BH110" s="359"/>
      <c r="BI110" s="359">
        <v>361625</v>
      </c>
      <c r="BJ110" s="359"/>
      <c r="BK110" s="359"/>
      <c r="BL110" s="359">
        <v>350000</v>
      </c>
      <c r="BM110" s="359"/>
      <c r="BN110" s="359"/>
      <c r="BO110" s="359"/>
      <c r="BP110" s="359"/>
      <c r="BQ110" s="359"/>
      <c r="BR110" s="359"/>
      <c r="BS110" s="359"/>
      <c r="BT110" s="359"/>
      <c r="BU110" s="359"/>
      <c r="BV110" s="359"/>
      <c r="BW110" s="359"/>
      <c r="BX110" s="359"/>
      <c r="BY110" s="359"/>
      <c r="BZ110" s="359"/>
      <c r="CA110" s="359"/>
      <c r="CB110" s="359"/>
      <c r="CC110" s="359"/>
      <c r="CD110" s="359"/>
      <c r="CE110" s="359"/>
      <c r="CF110" s="359"/>
      <c r="CG110" s="359"/>
      <c r="CH110" s="359"/>
      <c r="CI110" s="134"/>
      <c r="CK110" s="134" t="s">
        <v>376</v>
      </c>
      <c r="CL110" s="134" t="s">
        <v>387</v>
      </c>
      <c r="CN110" s="134" t="s">
        <v>377</v>
      </c>
    </row>
    <row r="111" s="134" customFormat="1" customHeight="1" spans="1:92">
      <c r="A111" s="134">
        <v>104</v>
      </c>
      <c r="C111" s="443">
        <v>45129</v>
      </c>
      <c r="D111" s="134">
        <v>20230006187</v>
      </c>
      <c r="E111" s="1006" t="s">
        <v>1030</v>
      </c>
      <c r="F111" s="429" t="s">
        <v>1031</v>
      </c>
      <c r="G111" s="143" t="s">
        <v>1032</v>
      </c>
      <c r="I111" s="134" t="s">
        <v>370</v>
      </c>
      <c r="J111" s="134">
        <v>19</v>
      </c>
      <c r="K111" s="134">
        <v>42.69</v>
      </c>
      <c r="L111" s="134">
        <v>42.69</v>
      </c>
      <c r="M111" s="134">
        <v>16563.51</v>
      </c>
      <c r="N111" s="441">
        <v>707099</v>
      </c>
      <c r="O111" s="359">
        <v>16563.51</v>
      </c>
      <c r="P111" s="134"/>
      <c r="Q111" s="145">
        <v>648714.68</v>
      </c>
      <c r="R111" s="1006" t="s">
        <v>1033</v>
      </c>
      <c r="S111" s="443">
        <v>45768</v>
      </c>
      <c r="T111" s="359"/>
      <c r="U111" s="138"/>
      <c r="V111" s="138"/>
      <c r="W111" s="413" t="s">
        <v>1034</v>
      </c>
      <c r="X111" s="359">
        <v>50000</v>
      </c>
      <c r="Y111" s="413" t="s">
        <v>458</v>
      </c>
      <c r="Z111" s="359">
        <v>306767</v>
      </c>
      <c r="AA111" s="138" t="s">
        <v>1035</v>
      </c>
      <c r="AB111" s="359">
        <v>350000</v>
      </c>
      <c r="AC111" s="138" t="s">
        <v>1036</v>
      </c>
      <c r="AD111" s="359">
        <v>332</v>
      </c>
      <c r="AE111" s="138">
        <v>45982</v>
      </c>
      <c r="AL111" s="359">
        <f t="shared" si="28"/>
        <v>707099</v>
      </c>
      <c r="AO111" s="418">
        <f t="shared" si="35"/>
        <v>0</v>
      </c>
      <c r="AP111" s="134">
        <v>17767666623</v>
      </c>
      <c r="AT111" s="419">
        <f t="shared" si="33"/>
        <v>200</v>
      </c>
      <c r="AU111" s="419"/>
      <c r="AV111" s="359"/>
      <c r="AW111" s="359">
        <v>200</v>
      </c>
      <c r="AX111" s="359"/>
      <c r="AY111" s="359"/>
      <c r="AZ111" s="359"/>
      <c r="BA111" s="359"/>
      <c r="BB111" s="359"/>
      <c r="BC111" s="359">
        <f t="shared" si="34"/>
        <v>706767</v>
      </c>
      <c r="BD111" s="513">
        <f>1%+0.25%</f>
        <v>0.0125</v>
      </c>
      <c r="BE111" s="359">
        <v>356767</v>
      </c>
      <c r="BF111" s="359"/>
      <c r="BG111" s="359">
        <v>350000</v>
      </c>
      <c r="BH111" s="359"/>
      <c r="BI111" s="359"/>
      <c r="BJ111" s="359"/>
      <c r="BK111" s="359"/>
      <c r="BL111" s="359"/>
      <c r="BM111" s="359"/>
      <c r="BN111" s="359"/>
      <c r="BO111" s="359"/>
      <c r="BP111" s="359"/>
      <c r="BQ111" s="359"/>
      <c r="BR111" s="359"/>
      <c r="BS111" s="359"/>
      <c r="BT111" s="359"/>
      <c r="BU111" s="359"/>
      <c r="BV111" s="359"/>
      <c r="BW111" s="359"/>
      <c r="BX111" s="359"/>
      <c r="BY111" s="359"/>
      <c r="BZ111" s="359"/>
      <c r="CA111" s="359"/>
      <c r="CB111" s="359"/>
      <c r="CC111" s="359"/>
      <c r="CD111" s="359"/>
      <c r="CE111" s="359"/>
      <c r="CF111" s="359"/>
      <c r="CG111" s="359"/>
      <c r="CH111" s="359"/>
      <c r="CI111" s="134"/>
      <c r="CK111" s="134" t="s">
        <v>376</v>
      </c>
      <c r="CL111" s="134" t="s">
        <v>387</v>
      </c>
      <c r="CN111" s="134" t="s">
        <v>377</v>
      </c>
    </row>
    <row r="112" s="134" customFormat="1" ht="57" customHeight="1" spans="1:92">
      <c r="A112" s="134">
        <v>105</v>
      </c>
      <c r="C112" s="443">
        <v>45198</v>
      </c>
      <c r="D112" s="134">
        <v>20230008181</v>
      </c>
      <c r="E112" s="1006" t="s">
        <v>1037</v>
      </c>
      <c r="F112" s="429" t="s">
        <v>1038</v>
      </c>
      <c r="G112" s="143" t="s">
        <v>1039</v>
      </c>
      <c r="I112" s="134" t="s">
        <v>370</v>
      </c>
      <c r="J112" s="134">
        <v>20</v>
      </c>
      <c r="K112" s="134">
        <v>42.69</v>
      </c>
      <c r="L112" s="134">
        <v>42.69</v>
      </c>
      <c r="M112" s="134">
        <v>17780.15</v>
      </c>
      <c r="N112" s="441">
        <v>759035</v>
      </c>
      <c r="O112" s="359">
        <v>17680.15</v>
      </c>
      <c r="Q112" s="145">
        <v>696362.39</v>
      </c>
      <c r="R112" s="1006" t="s">
        <v>1040</v>
      </c>
      <c r="S112" s="443">
        <v>45707</v>
      </c>
      <c r="T112" s="359"/>
      <c r="U112" s="138"/>
      <c r="V112" s="413" t="s">
        <v>1041</v>
      </c>
      <c r="W112" s="413" t="s">
        <v>1042</v>
      </c>
      <c r="X112" s="359">
        <f>10000+40000</f>
        <v>50000</v>
      </c>
      <c r="Y112" s="413" t="s">
        <v>1043</v>
      </c>
      <c r="Z112" s="359">
        <f>150000+129679</f>
        <v>279679</v>
      </c>
      <c r="AA112" s="138" t="s">
        <v>1044</v>
      </c>
      <c r="AB112" s="359">
        <v>50000</v>
      </c>
      <c r="AC112" s="138" t="s">
        <v>1036</v>
      </c>
      <c r="AD112" s="134">
        <v>379000</v>
      </c>
      <c r="AE112" s="134" t="s">
        <v>985</v>
      </c>
      <c r="AF112" s="359">
        <v>356</v>
      </c>
      <c r="AG112" s="138" t="s">
        <v>1045</v>
      </c>
      <c r="AL112" s="359">
        <f t="shared" si="28"/>
        <v>759035</v>
      </c>
      <c r="AO112" s="418">
        <f t="shared" si="35"/>
        <v>0</v>
      </c>
      <c r="AP112" s="134">
        <v>13899010102</v>
      </c>
      <c r="AT112" s="419">
        <f t="shared" si="33"/>
        <v>700</v>
      </c>
      <c r="AU112" s="419"/>
      <c r="AV112" s="359"/>
      <c r="AW112" s="359">
        <v>200</v>
      </c>
      <c r="AX112" s="359"/>
      <c r="AY112" s="359">
        <v>200</v>
      </c>
      <c r="AZ112" s="359"/>
      <c r="BA112" s="359">
        <v>300</v>
      </c>
      <c r="BB112" s="359"/>
      <c r="BC112" s="359">
        <f t="shared" si="34"/>
        <v>758679</v>
      </c>
      <c r="BD112" s="513">
        <f t="shared" ref="BD111:BD116" si="36">1%+0.18%+0.25%</f>
        <v>0.0143</v>
      </c>
      <c r="BE112" s="359"/>
      <c r="BF112" s="359"/>
      <c r="BG112" s="359">
        <v>379679</v>
      </c>
      <c r="BH112" s="359">
        <v>379000</v>
      </c>
      <c r="BI112" s="359"/>
      <c r="BJ112" s="359"/>
      <c r="BK112" s="359"/>
      <c r="BL112" s="359"/>
      <c r="BM112" s="359"/>
      <c r="BN112" s="359"/>
      <c r="BO112" s="359"/>
      <c r="BP112" s="359"/>
      <c r="BQ112" s="359"/>
      <c r="BR112" s="359"/>
      <c r="BS112" s="359"/>
      <c r="BT112" s="359"/>
      <c r="BU112" s="359"/>
      <c r="BV112" s="359"/>
      <c r="BW112" s="359"/>
      <c r="BX112" s="359"/>
      <c r="BY112" s="359"/>
      <c r="BZ112" s="359"/>
      <c r="CA112" s="359"/>
      <c r="CB112" s="359"/>
      <c r="CC112" s="359"/>
      <c r="CD112" s="359"/>
      <c r="CE112" s="359"/>
      <c r="CF112" s="359"/>
      <c r="CG112" s="359"/>
      <c r="CH112" s="359"/>
      <c r="CI112" s="134"/>
      <c r="CK112" s="134" t="s">
        <v>376</v>
      </c>
      <c r="CL112" s="134" t="s">
        <v>387</v>
      </c>
      <c r="CN112" s="134" t="s">
        <v>377</v>
      </c>
    </row>
    <row r="113" s="134" customFormat="1" ht="42" customHeight="1" spans="1:100">
      <c r="A113" s="134">
        <v>106</v>
      </c>
      <c r="C113" s="443">
        <v>45133</v>
      </c>
      <c r="D113" s="134">
        <v>20230006324</v>
      </c>
      <c r="E113" s="1006" t="s">
        <v>1046</v>
      </c>
      <c r="F113" s="429" t="s">
        <v>921</v>
      </c>
      <c r="G113" s="143" t="s">
        <v>922</v>
      </c>
      <c r="I113" s="134" t="s">
        <v>370</v>
      </c>
      <c r="J113" s="134">
        <v>21</v>
      </c>
      <c r="K113" s="134">
        <v>42.69</v>
      </c>
      <c r="L113" s="134">
        <v>42.69</v>
      </c>
      <c r="M113" s="134">
        <v>20163.06</v>
      </c>
      <c r="N113" s="441">
        <v>860761</v>
      </c>
      <c r="O113" s="359">
        <v>20000</v>
      </c>
      <c r="Q113" s="145">
        <v>789688.99</v>
      </c>
      <c r="R113" s="1006" t="s">
        <v>1047</v>
      </c>
      <c r="S113" s="443">
        <v>45768</v>
      </c>
      <c r="T113" s="359"/>
      <c r="U113" s="138"/>
      <c r="V113" s="413"/>
      <c r="W113" s="413" t="s">
        <v>1048</v>
      </c>
      <c r="X113" s="359">
        <v>100000</v>
      </c>
      <c r="Y113" s="417" t="s">
        <v>927</v>
      </c>
      <c r="Z113" s="359">
        <v>330358</v>
      </c>
      <c r="AA113" s="138" t="s">
        <v>928</v>
      </c>
      <c r="AB113" s="359">
        <v>430000</v>
      </c>
      <c r="AC113" s="138" t="s">
        <v>697</v>
      </c>
      <c r="AD113" s="134">
        <v>403</v>
      </c>
      <c r="AE113" s="138">
        <v>45562</v>
      </c>
      <c r="AL113" s="359">
        <f t="shared" si="28"/>
        <v>860761</v>
      </c>
      <c r="AO113" s="418">
        <f t="shared" si="35"/>
        <v>0</v>
      </c>
      <c r="AP113" s="134">
        <v>13899058276</v>
      </c>
      <c r="AT113" s="419">
        <f t="shared" si="33"/>
        <v>200</v>
      </c>
      <c r="AU113" s="419"/>
      <c r="AV113" s="359"/>
      <c r="AW113" s="359">
        <v>200</v>
      </c>
      <c r="AX113" s="359"/>
      <c r="AY113" s="359"/>
      <c r="AZ113" s="359"/>
      <c r="BA113" s="359"/>
      <c r="BB113" s="359"/>
      <c r="BC113" s="359">
        <f t="shared" si="34"/>
        <v>860358</v>
      </c>
      <c r="BD113" s="513">
        <f t="shared" si="36"/>
        <v>0.0143</v>
      </c>
      <c r="BE113" s="359">
        <v>430358</v>
      </c>
      <c r="BF113" s="359"/>
      <c r="BG113" s="359"/>
      <c r="BH113" s="359"/>
      <c r="BI113" s="359"/>
      <c r="BJ113" s="359"/>
      <c r="BK113" s="359"/>
      <c r="BL113" s="359"/>
      <c r="BM113" s="359"/>
      <c r="BN113" s="359"/>
      <c r="BO113" s="359"/>
      <c r="BP113" s="359"/>
      <c r="BQ113" s="359"/>
      <c r="BR113" s="359"/>
      <c r="BS113" s="359">
        <v>430000</v>
      </c>
      <c r="BT113" s="359"/>
      <c r="BU113" s="359"/>
      <c r="BV113" s="359"/>
      <c r="BW113" s="359"/>
      <c r="BX113" s="359"/>
      <c r="BY113" s="359"/>
      <c r="BZ113" s="359"/>
      <c r="CA113" s="359"/>
      <c r="CB113" s="359"/>
      <c r="CC113" s="359"/>
      <c r="CD113" s="359"/>
      <c r="CE113" s="359"/>
      <c r="CF113" s="359"/>
      <c r="CG113" s="359"/>
      <c r="CH113" s="359"/>
      <c r="CI113" s="134"/>
      <c r="CK113" s="134" t="s">
        <v>376</v>
      </c>
      <c r="CL113" s="134" t="s">
        <v>387</v>
      </c>
      <c r="CN113" s="134" t="s">
        <v>377</v>
      </c>
    </row>
    <row r="114" s="134" customFormat="1" ht="62" customHeight="1" spans="1:100">
      <c r="A114" s="134">
        <v>107</v>
      </c>
      <c r="C114" s="443">
        <v>45133</v>
      </c>
      <c r="D114" s="134">
        <v>20230006325</v>
      </c>
      <c r="E114" s="1006" t="s">
        <v>1049</v>
      </c>
      <c r="F114" s="429" t="s">
        <v>921</v>
      </c>
      <c r="G114" s="143" t="s">
        <v>922</v>
      </c>
      <c r="I114" s="134" t="s">
        <v>370</v>
      </c>
      <c r="J114" s="134">
        <v>22</v>
      </c>
      <c r="K114" s="134">
        <v>43.2</v>
      </c>
      <c r="L114" s="134">
        <v>43.2</v>
      </c>
      <c r="M114" s="134">
        <v>26663.06</v>
      </c>
      <c r="N114" s="441">
        <v>1151844</v>
      </c>
      <c r="O114" s="359">
        <v>26000</v>
      </c>
      <c r="Q114" s="145">
        <v>1056737.61</v>
      </c>
      <c r="R114" s="1006" t="s">
        <v>1050</v>
      </c>
      <c r="S114" s="443">
        <v>45768</v>
      </c>
      <c r="T114" s="359"/>
      <c r="U114" s="413"/>
      <c r="V114" s="413" t="s">
        <v>1051</v>
      </c>
      <c r="W114" s="413" t="s">
        <v>1052</v>
      </c>
      <c r="X114" s="359">
        <f>100000+5000+5000-5000-5000</f>
        <v>100000</v>
      </c>
      <c r="Y114" s="413" t="s">
        <v>1053</v>
      </c>
      <c r="Z114" s="359">
        <v>150000</v>
      </c>
      <c r="AA114" s="417" t="s">
        <v>927</v>
      </c>
      <c r="AB114" s="359">
        <v>326311</v>
      </c>
      <c r="AC114" s="413" t="s">
        <v>928</v>
      </c>
      <c r="AD114" s="359">
        <v>575000</v>
      </c>
      <c r="AE114" s="413" t="s">
        <v>697</v>
      </c>
      <c r="AF114" s="134">
        <v>533</v>
      </c>
      <c r="AG114" s="138">
        <v>45562</v>
      </c>
      <c r="AL114" s="359">
        <f t="shared" si="28"/>
        <v>1151844</v>
      </c>
      <c r="AO114" s="418">
        <f t="shared" si="35"/>
        <v>0</v>
      </c>
      <c r="AP114" s="134">
        <v>13899058276</v>
      </c>
      <c r="AT114" s="419">
        <f t="shared" si="33"/>
        <v>400</v>
      </c>
      <c r="AU114" s="419"/>
      <c r="AV114" s="359">
        <f>200+200</f>
        <v>400</v>
      </c>
      <c r="AW114" s="359"/>
      <c r="AX114" s="359"/>
      <c r="AY114" s="359"/>
      <c r="AZ114" s="359"/>
      <c r="BA114" s="359"/>
      <c r="BB114" s="359"/>
      <c r="BC114" s="359">
        <f t="shared" si="34"/>
        <v>1151311</v>
      </c>
      <c r="BD114" s="513">
        <f t="shared" si="36"/>
        <v>0.0143</v>
      </c>
      <c r="BE114" s="359">
        <v>576311</v>
      </c>
      <c r="BF114" s="359"/>
      <c r="BG114" s="359"/>
      <c r="BH114" s="359"/>
      <c r="BI114" s="359"/>
      <c r="BJ114" s="359"/>
      <c r="BK114" s="359"/>
      <c r="BL114" s="359"/>
      <c r="BM114" s="359"/>
      <c r="BN114" s="359"/>
      <c r="BO114" s="359"/>
      <c r="BP114" s="359"/>
      <c r="BQ114" s="359"/>
      <c r="BR114" s="359"/>
      <c r="BS114" s="359">
        <v>575000</v>
      </c>
      <c r="BT114" s="359"/>
      <c r="BU114" s="359"/>
      <c r="BV114" s="359"/>
      <c r="BW114" s="359"/>
      <c r="BX114" s="359"/>
      <c r="BY114" s="359"/>
      <c r="BZ114" s="359"/>
      <c r="CA114" s="359"/>
      <c r="CB114" s="359"/>
      <c r="CC114" s="359"/>
      <c r="CD114" s="359"/>
      <c r="CE114" s="359"/>
      <c r="CF114" s="359"/>
      <c r="CG114" s="359"/>
      <c r="CH114" s="359"/>
      <c r="CI114" s="134"/>
      <c r="CK114" s="134" t="s">
        <v>376</v>
      </c>
      <c r="CL114" s="134" t="s">
        <v>387</v>
      </c>
      <c r="CN114" s="134" t="s">
        <v>377</v>
      </c>
    </row>
    <row r="115" s="134" customFormat="1" ht="54" customHeight="1" spans="1:100">
      <c r="A115" s="134">
        <v>108</v>
      </c>
      <c r="C115" s="443">
        <v>45138</v>
      </c>
      <c r="D115" s="134">
        <v>20230006477</v>
      </c>
      <c r="F115" s="429" t="s">
        <v>746</v>
      </c>
      <c r="G115" s="143" t="s">
        <v>1054</v>
      </c>
      <c r="I115" s="134" t="s">
        <v>477</v>
      </c>
      <c r="J115" s="134">
        <v>1</v>
      </c>
      <c r="K115" s="134">
        <v>197.25</v>
      </c>
      <c r="L115" s="134">
        <v>197.25</v>
      </c>
      <c r="M115" s="134">
        <v>10900</v>
      </c>
      <c r="N115" s="441">
        <v>2150026</v>
      </c>
      <c r="O115" s="359">
        <v>10900</v>
      </c>
      <c r="Q115" s="145">
        <v>1972500.92</v>
      </c>
      <c r="R115" s="1006" t="s">
        <v>1055</v>
      </c>
      <c r="S115" s="443">
        <v>45740</v>
      </c>
      <c r="T115" s="359"/>
      <c r="U115" s="413"/>
      <c r="V115" s="413" t="s">
        <v>749</v>
      </c>
      <c r="W115" s="413" t="s">
        <v>750</v>
      </c>
      <c r="X115" s="359">
        <v>100000</v>
      </c>
      <c r="Y115" s="413" t="s">
        <v>751</v>
      </c>
      <c r="Z115" s="359">
        <v>2005226</v>
      </c>
      <c r="AA115" s="413" t="s">
        <v>1056</v>
      </c>
      <c r="AB115" s="359">
        <v>44800</v>
      </c>
      <c r="AC115" s="413" t="s">
        <v>1057</v>
      </c>
      <c r="AL115" s="359">
        <f t="shared" si="28"/>
        <v>2150026</v>
      </c>
      <c r="AO115" s="418">
        <f t="shared" si="35"/>
        <v>0</v>
      </c>
      <c r="AP115" s="134">
        <v>18809965000</v>
      </c>
      <c r="AT115" s="419">
        <f t="shared" si="33"/>
        <v>400</v>
      </c>
      <c r="AU115" s="419"/>
      <c r="AV115" s="359"/>
      <c r="AW115" s="359">
        <v>200</v>
      </c>
      <c r="AX115" s="359">
        <v>200</v>
      </c>
      <c r="AY115" s="359"/>
      <c r="AZ115" s="359"/>
      <c r="BA115" s="359"/>
      <c r="BB115" s="359"/>
      <c r="BC115" s="359">
        <f t="shared" si="34"/>
        <v>2150026</v>
      </c>
      <c r="BD115" s="513">
        <f t="shared" si="36"/>
        <v>0.0143</v>
      </c>
      <c r="BE115" s="359">
        <v>2105226</v>
      </c>
      <c r="BF115" s="359"/>
      <c r="BG115" s="359"/>
      <c r="BH115" s="359"/>
      <c r="BI115" s="359"/>
      <c r="BJ115" s="359"/>
      <c r="BK115" s="359"/>
      <c r="BL115" s="359"/>
      <c r="BM115" s="359"/>
      <c r="BN115" s="359"/>
      <c r="BO115" s="359"/>
      <c r="BP115" s="359"/>
      <c r="BQ115" s="359"/>
      <c r="BR115" s="359"/>
      <c r="BS115" s="359"/>
      <c r="BT115" s="359"/>
      <c r="BU115" s="359"/>
      <c r="BV115" s="359"/>
      <c r="BW115" s="359"/>
      <c r="BX115" s="359"/>
      <c r="BY115" s="359"/>
      <c r="BZ115" s="359"/>
      <c r="CA115" s="359"/>
      <c r="CB115" s="359">
        <v>44800</v>
      </c>
      <c r="CC115" s="359"/>
      <c r="CD115" s="359"/>
      <c r="CE115" s="359"/>
      <c r="CF115" s="359"/>
      <c r="CG115" s="359"/>
      <c r="CH115" s="359"/>
      <c r="CI115" s="134"/>
      <c r="CK115" s="134" t="s">
        <v>376</v>
      </c>
      <c r="CL115" s="134" t="s">
        <v>387</v>
      </c>
      <c r="CN115" s="134" t="s">
        <v>377</v>
      </c>
    </row>
    <row r="116" s="134" customFormat="1" ht="41" customHeight="1" spans="1:100">
      <c r="A116" s="134">
        <v>109</v>
      </c>
      <c r="C116" s="443">
        <v>45501</v>
      </c>
      <c r="D116" s="134">
        <v>20240004284</v>
      </c>
      <c r="E116" s="1006" t="s">
        <v>1058</v>
      </c>
      <c r="F116" s="429" t="s">
        <v>1059</v>
      </c>
      <c r="G116" s="134" t="s">
        <v>1060</v>
      </c>
      <c r="I116" s="134" t="s">
        <v>477</v>
      </c>
      <c r="J116" s="134">
        <v>2</v>
      </c>
      <c r="K116" s="134">
        <v>291.86</v>
      </c>
      <c r="L116" s="134">
        <v>291.86</v>
      </c>
      <c r="M116" s="134">
        <v>10900</v>
      </c>
      <c r="N116" s="441">
        <v>3181274</v>
      </c>
      <c r="O116" s="359">
        <v>10900</v>
      </c>
      <c r="P116" s="134"/>
      <c r="Q116" s="145">
        <v>2918600</v>
      </c>
      <c r="R116" s="1006" t="s">
        <v>1061</v>
      </c>
      <c r="S116" s="443">
        <v>45768</v>
      </c>
      <c r="T116" s="359"/>
      <c r="U116" s="138"/>
      <c r="V116" s="413" t="s">
        <v>1062</v>
      </c>
      <c r="W116" s="138" t="s">
        <v>1063</v>
      </c>
      <c r="X116" s="359">
        <f>50000+50000+50000+40000</f>
        <v>190000</v>
      </c>
      <c r="Y116" s="413" t="s">
        <v>1064</v>
      </c>
      <c r="Z116" s="359">
        <v>10000</v>
      </c>
      <c r="AA116" s="417" t="s">
        <v>458</v>
      </c>
      <c r="AB116" s="359">
        <v>300000</v>
      </c>
      <c r="AC116" s="138" t="s">
        <v>628</v>
      </c>
      <c r="AD116" s="359">
        <v>100000</v>
      </c>
      <c r="AE116" s="138" t="s">
        <v>570</v>
      </c>
      <c r="AF116" s="359">
        <v>150000</v>
      </c>
      <c r="AG116" s="138" t="s">
        <v>1065</v>
      </c>
      <c r="AH116" s="359">
        <v>1000000</v>
      </c>
      <c r="AI116" s="138" t="s">
        <v>1066</v>
      </c>
      <c r="AJ116" s="359">
        <f>100000+105329+60000+200000+900000</f>
        <v>1365329</v>
      </c>
      <c r="AK116" s="413" t="s">
        <v>1067</v>
      </c>
      <c r="AL116" s="359">
        <f t="shared" si="28"/>
        <v>3115329</v>
      </c>
      <c r="AO116" s="418">
        <f t="shared" si="35"/>
        <v>65945</v>
      </c>
      <c r="AP116" s="420">
        <v>18099778096</v>
      </c>
      <c r="AT116" s="419">
        <f t="shared" si="33"/>
        <v>0</v>
      </c>
      <c r="AU116" s="419"/>
      <c r="AV116" s="359"/>
      <c r="AW116" s="359"/>
      <c r="AX116" s="359"/>
      <c r="AY116" s="359"/>
      <c r="AZ116" s="359"/>
      <c r="BA116" s="359"/>
      <c r="BB116" s="359"/>
      <c r="BC116" s="359">
        <f t="shared" si="34"/>
        <v>3115329</v>
      </c>
      <c r="BD116" s="513">
        <f>1%+0.25%</f>
        <v>0.0125</v>
      </c>
      <c r="BE116" s="359"/>
      <c r="BF116" s="359"/>
      <c r="BG116" s="359"/>
      <c r="BH116" s="359"/>
      <c r="BI116" s="359"/>
      <c r="BJ116" s="359"/>
      <c r="BK116" s="359"/>
      <c r="BL116" s="359"/>
      <c r="BM116" s="359"/>
      <c r="BN116" s="359"/>
      <c r="BO116" s="359"/>
      <c r="BP116" s="359"/>
      <c r="BQ116" s="359">
        <v>2215329</v>
      </c>
      <c r="BR116" s="359"/>
      <c r="BS116" s="359">
        <v>900000</v>
      </c>
      <c r="BT116" s="359"/>
      <c r="BU116" s="359"/>
      <c r="BV116" s="359"/>
      <c r="BW116" s="359"/>
      <c r="BX116" s="359"/>
      <c r="BY116" s="359"/>
      <c r="BZ116" s="359"/>
      <c r="CA116" s="359"/>
      <c r="CB116" s="359"/>
      <c r="CC116" s="359"/>
      <c r="CD116" s="359"/>
      <c r="CE116" s="359"/>
      <c r="CF116" s="359"/>
      <c r="CG116" s="359"/>
      <c r="CH116" s="359"/>
      <c r="CI116" s="134"/>
      <c r="CK116" s="134" t="s">
        <v>376</v>
      </c>
      <c r="CN116" s="134" t="s">
        <v>377</v>
      </c>
    </row>
    <row r="117" s="134" customFormat="1" customHeight="1" spans="1:100">
      <c r="A117" s="134">
        <v>110</v>
      </c>
      <c r="C117" s="443">
        <v>45350</v>
      </c>
      <c r="D117" s="134">
        <v>20240001025</v>
      </c>
      <c r="F117" s="429" t="s">
        <v>1068</v>
      </c>
      <c r="G117" s="143" t="s">
        <v>1069</v>
      </c>
      <c r="I117" s="134" t="s">
        <v>477</v>
      </c>
      <c r="J117" s="134">
        <v>3</v>
      </c>
      <c r="K117" s="134">
        <v>276.2</v>
      </c>
      <c r="L117" s="134">
        <v>276.2</v>
      </c>
      <c r="M117" s="134">
        <v>9100</v>
      </c>
      <c r="N117" s="441">
        <v>2513420</v>
      </c>
      <c r="O117" s="359">
        <v>9100</v>
      </c>
      <c r="Q117" s="145">
        <v>2305889.91</v>
      </c>
      <c r="R117" s="1006" t="s">
        <v>1070</v>
      </c>
      <c r="S117" s="443">
        <v>45768</v>
      </c>
      <c r="T117" s="359"/>
      <c r="U117" s="138"/>
      <c r="V117" s="138"/>
      <c r="W117" s="413"/>
      <c r="X117" s="359">
        <v>400000</v>
      </c>
      <c r="Y117" s="138" t="s">
        <v>1071</v>
      </c>
      <c r="Z117" s="359">
        <f>100000+1000000</f>
        <v>1100000</v>
      </c>
      <c r="AA117" s="417" t="s">
        <v>1071</v>
      </c>
      <c r="AB117" s="359">
        <v>200000</v>
      </c>
      <c r="AC117" s="138">
        <v>45537</v>
      </c>
      <c r="AD117" s="134">
        <v>200000</v>
      </c>
      <c r="AE117" s="138">
        <v>45551</v>
      </c>
      <c r="AF117" s="134">
        <v>580000</v>
      </c>
      <c r="AG117" s="138">
        <v>45565</v>
      </c>
      <c r="AH117" s="359">
        <v>33420</v>
      </c>
      <c r="AI117" s="138" t="s">
        <v>374</v>
      </c>
      <c r="AL117" s="359">
        <f t="shared" si="28"/>
        <v>2513420</v>
      </c>
      <c r="AO117" s="418">
        <f t="shared" si="35"/>
        <v>0</v>
      </c>
      <c r="AP117" s="134">
        <v>15899031737</v>
      </c>
      <c r="AT117" s="419">
        <f t="shared" si="33"/>
        <v>0</v>
      </c>
      <c r="AU117" s="143"/>
      <c r="BC117" s="359">
        <f t="shared" si="34"/>
        <v>2513420</v>
      </c>
      <c r="BD117" s="513">
        <f t="shared" ref="BD117:BD121" si="37">1%+0.18%+0.25%</f>
        <v>0.0143</v>
      </c>
      <c r="BT117" s="134">
        <v>2513420</v>
      </c>
      <c r="CK117" s="134" t="s">
        <v>376</v>
      </c>
      <c r="CL117" s="134" t="s">
        <v>387</v>
      </c>
      <c r="CN117" s="134" t="s">
        <v>377</v>
      </c>
    </row>
    <row r="118" s="149" customFormat="1" customHeight="1" spans="1:100">
      <c r="A118" s="149">
        <v>111</v>
      </c>
      <c r="C118" s="407"/>
      <c r="F118" s="451"/>
      <c r="I118" s="149" t="s">
        <v>477</v>
      </c>
      <c r="J118" s="149">
        <v>4</v>
      </c>
      <c r="K118" s="149">
        <v>292.95</v>
      </c>
      <c r="N118" s="491"/>
      <c r="O118" s="403">
        <v>9398.59</v>
      </c>
      <c r="P118" s="149"/>
      <c r="Q118" s="404"/>
      <c r="T118" s="403"/>
      <c r="U118" s="456"/>
      <c r="V118" s="456"/>
      <c r="W118" s="456"/>
      <c r="X118" s="403"/>
      <c r="Y118" s="456"/>
      <c r="Z118" s="403"/>
      <c r="AA118" s="456"/>
      <c r="AC118" s="408"/>
      <c r="AL118" s="403">
        <f t="shared" si="28"/>
        <v>0</v>
      </c>
      <c r="AO118" s="547">
        <f t="shared" si="35"/>
        <v>0</v>
      </c>
      <c r="AT118" s="411">
        <f t="shared" si="33"/>
        <v>0</v>
      </c>
      <c r="AU118" s="401"/>
      <c r="BC118" s="403">
        <f t="shared" si="34"/>
        <v>0</v>
      </c>
      <c r="BD118" s="565"/>
      <c r="CS118" s="134"/>
      <c r="CV118" s="134"/>
    </row>
    <row r="119" s="134" customFormat="1" ht="67" customHeight="1" spans="1:100">
      <c r="A119" s="134">
        <v>112</v>
      </c>
      <c r="C119" s="443">
        <v>45203</v>
      </c>
      <c r="D119" s="134">
        <v>20230008629</v>
      </c>
      <c r="E119" s="1006" t="s">
        <v>1072</v>
      </c>
      <c r="F119" s="429" t="s">
        <v>1073</v>
      </c>
      <c r="G119" s="143" t="s">
        <v>1074</v>
      </c>
      <c r="I119" s="134" t="s">
        <v>812</v>
      </c>
      <c r="J119" s="134">
        <v>1</v>
      </c>
      <c r="K119" s="134">
        <v>489.11</v>
      </c>
      <c r="L119" s="134">
        <v>489.11</v>
      </c>
      <c r="M119" s="134">
        <v>7600</v>
      </c>
      <c r="N119" s="441">
        <v>3717236</v>
      </c>
      <c r="O119" s="359">
        <v>7447.8</v>
      </c>
      <c r="Q119" s="145">
        <v>3410308.26</v>
      </c>
      <c r="R119" s="1006" t="s">
        <v>1075</v>
      </c>
      <c r="S119" s="443">
        <v>45768</v>
      </c>
      <c r="T119" s="359"/>
      <c r="U119" s="138"/>
      <c r="V119" s="440"/>
      <c r="W119" s="413" t="s">
        <v>1076</v>
      </c>
      <c r="X119" s="359">
        <v>100000</v>
      </c>
      <c r="Y119" s="138" t="s">
        <v>571</v>
      </c>
      <c r="Z119" s="359">
        <f>109944+210000</f>
        <v>319944</v>
      </c>
      <c r="AA119" s="138" t="s">
        <v>587</v>
      </c>
      <c r="AB119" s="134">
        <v>1290000</v>
      </c>
      <c r="AC119" s="134" t="s">
        <v>795</v>
      </c>
      <c r="AD119" s="134">
        <v>480000</v>
      </c>
      <c r="AE119" s="134" t="s">
        <v>1077</v>
      </c>
      <c r="AF119" s="359">
        <v>200000</v>
      </c>
      <c r="AG119" s="138" t="s">
        <v>618</v>
      </c>
      <c r="AH119" s="359">
        <f>77292+1250000</f>
        <v>1327292</v>
      </c>
      <c r="AI119" s="138">
        <v>45561</v>
      </c>
      <c r="AL119" s="359">
        <f t="shared" si="28"/>
        <v>3717236</v>
      </c>
      <c r="AO119" s="418">
        <f t="shared" si="35"/>
        <v>0</v>
      </c>
      <c r="AP119" s="134">
        <v>13999606251</v>
      </c>
      <c r="AT119" s="419">
        <f t="shared" si="33"/>
        <v>700</v>
      </c>
      <c r="AU119" s="419"/>
      <c r="AV119" s="359"/>
      <c r="AW119" s="359"/>
      <c r="AX119" s="359">
        <v>200</v>
      </c>
      <c r="AY119" s="359">
        <v>200</v>
      </c>
      <c r="AZ119" s="359"/>
      <c r="BA119" s="359">
        <v>300</v>
      </c>
      <c r="BB119" s="359"/>
      <c r="BC119" s="359">
        <f t="shared" si="34"/>
        <v>3717236</v>
      </c>
      <c r="BD119" s="140">
        <f t="shared" si="37"/>
        <v>0.0143</v>
      </c>
      <c r="BE119" s="359"/>
      <c r="BF119" s="359"/>
      <c r="BG119" s="359"/>
      <c r="BH119" s="359">
        <v>2189944</v>
      </c>
      <c r="BI119" s="359"/>
      <c r="BJ119" s="359"/>
      <c r="BK119" s="359"/>
      <c r="BL119" s="359"/>
      <c r="BM119" s="359"/>
      <c r="BN119" s="359"/>
      <c r="BO119" s="359"/>
      <c r="BP119" s="359"/>
      <c r="BQ119" s="359"/>
      <c r="BR119" s="359"/>
      <c r="BS119" s="359">
        <v>1450000</v>
      </c>
      <c r="BT119" s="359"/>
      <c r="BU119" s="359"/>
      <c r="BV119" s="359"/>
      <c r="BW119" s="359"/>
      <c r="BX119" s="359"/>
      <c r="BY119" s="359"/>
      <c r="BZ119" s="359"/>
      <c r="CA119" s="359"/>
      <c r="CB119" s="359">
        <v>77292</v>
      </c>
      <c r="CC119" s="359"/>
      <c r="CD119" s="359"/>
      <c r="CE119" s="359"/>
      <c r="CF119" s="359"/>
      <c r="CG119" s="359"/>
      <c r="CH119" s="359"/>
      <c r="CI119" s="134"/>
      <c r="CK119" s="134" t="s">
        <v>376</v>
      </c>
      <c r="CL119" s="134" t="s">
        <v>387</v>
      </c>
      <c r="CN119" s="134" t="s">
        <v>377</v>
      </c>
    </row>
    <row r="120" s="134" customFormat="1" ht="49" customHeight="1" spans="1:100">
      <c r="A120" s="134">
        <v>113</v>
      </c>
      <c r="C120" s="443">
        <v>45417</v>
      </c>
      <c r="D120" s="134">
        <v>20240002594</v>
      </c>
      <c r="F120" s="429" t="s">
        <v>1078</v>
      </c>
      <c r="G120" s="143" t="s">
        <v>1079</v>
      </c>
      <c r="I120" s="134" t="s">
        <v>812</v>
      </c>
      <c r="J120" s="134">
        <v>2</v>
      </c>
      <c r="K120" s="134">
        <v>569.14</v>
      </c>
      <c r="L120" s="134">
        <v>569.14</v>
      </c>
      <c r="M120" s="134">
        <f>N120/L120</f>
        <v>7000</v>
      </c>
      <c r="N120" s="441">
        <f>-24570+4008550</f>
        <v>3983980</v>
      </c>
      <c r="O120" s="359">
        <v>7000</v>
      </c>
      <c r="Q120" s="145">
        <v>3655027.52</v>
      </c>
      <c r="R120" s="1006" t="s">
        <v>1080</v>
      </c>
      <c r="S120" s="443">
        <v>45768</v>
      </c>
      <c r="T120" s="359"/>
      <c r="U120" s="413"/>
      <c r="V120" s="413"/>
      <c r="W120" s="413" t="s">
        <v>1081</v>
      </c>
      <c r="X120" s="359">
        <v>50000</v>
      </c>
      <c r="Y120" s="413" t="s">
        <v>1082</v>
      </c>
      <c r="Z120" s="359">
        <v>958550</v>
      </c>
      <c r="AA120" s="417" t="s">
        <v>1083</v>
      </c>
      <c r="AB120" s="134">
        <v>1000000</v>
      </c>
      <c r="AC120" s="134" t="s">
        <v>1084</v>
      </c>
      <c r="AD120" s="359">
        <v>2000000</v>
      </c>
      <c r="AE120" s="413" t="s">
        <v>1085</v>
      </c>
      <c r="AF120" s="359">
        <v>-24570</v>
      </c>
      <c r="AG120" s="413"/>
      <c r="AL120" s="359">
        <f t="shared" si="28"/>
        <v>3983980</v>
      </c>
      <c r="AO120" s="418">
        <f t="shared" si="35"/>
        <v>0</v>
      </c>
      <c r="AP120" s="134">
        <v>18909966788</v>
      </c>
      <c r="AT120" s="419">
        <f t="shared" si="33"/>
        <v>900</v>
      </c>
      <c r="AU120" s="419"/>
      <c r="AV120" s="359">
        <v>200</v>
      </c>
      <c r="AW120" s="359"/>
      <c r="AX120" s="359"/>
      <c r="AY120" s="359">
        <f>200+200</f>
        <v>400</v>
      </c>
      <c r="AZ120" s="359"/>
      <c r="BA120" s="359">
        <v>300</v>
      </c>
      <c r="BB120" s="359"/>
      <c r="BC120" s="359">
        <f t="shared" si="34"/>
        <v>3983980</v>
      </c>
      <c r="BD120" s="365">
        <f t="shared" si="37"/>
        <v>0.0143</v>
      </c>
      <c r="BE120" s="359"/>
      <c r="BF120" s="359"/>
      <c r="BG120" s="359"/>
      <c r="BH120" s="359"/>
      <c r="BI120" s="359"/>
      <c r="BJ120" s="359"/>
      <c r="BK120" s="359"/>
      <c r="BL120" s="359"/>
      <c r="BM120" s="359"/>
      <c r="BN120" s="359"/>
      <c r="BO120" s="359">
        <v>2008550</v>
      </c>
      <c r="BP120" s="359">
        <v>2000000</v>
      </c>
      <c r="BQ120" s="359"/>
      <c r="BR120" s="359"/>
      <c r="BS120" s="359"/>
      <c r="BT120" s="359"/>
      <c r="BU120" s="359"/>
      <c r="BV120" s="359"/>
      <c r="BW120" s="359"/>
      <c r="BX120" s="359"/>
      <c r="BY120" s="359"/>
      <c r="BZ120" s="359"/>
      <c r="CA120" s="359"/>
      <c r="CB120" s="359">
        <v>-24570</v>
      </c>
      <c r="CC120" s="359"/>
      <c r="CD120" s="359"/>
      <c r="CE120" s="359"/>
      <c r="CF120" s="359"/>
      <c r="CG120" s="359"/>
      <c r="CH120" s="359"/>
      <c r="CK120" s="134" t="s">
        <v>376</v>
      </c>
      <c r="CL120" s="134" t="s">
        <v>387</v>
      </c>
      <c r="CN120" s="134" t="s">
        <v>377</v>
      </c>
    </row>
    <row r="121" s="134" customFormat="1" ht="57" customHeight="1" spans="1:100">
      <c r="A121" s="134">
        <v>114</v>
      </c>
      <c r="C121" s="443">
        <v>45130</v>
      </c>
      <c r="D121" s="134">
        <v>20230006201</v>
      </c>
      <c r="E121" s="1006" t="s">
        <v>1086</v>
      </c>
      <c r="F121" s="429" t="s">
        <v>1087</v>
      </c>
      <c r="G121" s="143" t="s">
        <v>1088</v>
      </c>
      <c r="H121" s="128" t="s">
        <v>1089</v>
      </c>
      <c r="I121" s="134" t="s">
        <v>370</v>
      </c>
      <c r="J121" s="134">
        <v>1</v>
      </c>
      <c r="K121" s="134">
        <v>58.46</v>
      </c>
      <c r="L121" s="134">
        <v>58.46</v>
      </c>
      <c r="M121" s="134">
        <v>26290.01</v>
      </c>
      <c r="N121" s="441">
        <v>1536914</v>
      </c>
      <c r="O121" s="359">
        <v>26190</v>
      </c>
      <c r="P121" s="134"/>
      <c r="Q121" s="145">
        <v>1410012.84</v>
      </c>
      <c r="R121" s="1006" t="s">
        <v>1090</v>
      </c>
      <c r="S121" s="443">
        <v>45621</v>
      </c>
      <c r="T121" s="359"/>
      <c r="U121" s="413"/>
      <c r="V121" s="413" t="s">
        <v>1091</v>
      </c>
      <c r="W121" s="413" t="s">
        <v>1092</v>
      </c>
      <c r="X121" s="359">
        <f>5000+10000-10000+10000-10000</f>
        <v>5000</v>
      </c>
      <c r="Y121" s="413" t="s">
        <v>1093</v>
      </c>
      <c r="Z121" s="359">
        <v>100000</v>
      </c>
      <c r="AA121" s="413" t="s">
        <v>1094</v>
      </c>
      <c r="AB121" s="359">
        <v>1436651</v>
      </c>
      <c r="AC121" s="413" t="s">
        <v>1095</v>
      </c>
      <c r="AD121" s="359">
        <v>263</v>
      </c>
      <c r="AE121" s="413" t="s">
        <v>957</v>
      </c>
      <c r="AL121" s="359">
        <f t="shared" si="28"/>
        <v>1541914</v>
      </c>
      <c r="AO121" s="418">
        <f t="shared" si="35"/>
        <v>-5000</v>
      </c>
      <c r="AT121" s="419">
        <f t="shared" si="33"/>
        <v>3200</v>
      </c>
      <c r="AU121" s="419">
        <f>200</f>
        <v>200</v>
      </c>
      <c r="AV121" s="359"/>
      <c r="AW121" s="359">
        <f>200+200+200+200</f>
        <v>800</v>
      </c>
      <c r="AX121" s="359"/>
      <c r="AY121" s="359">
        <f>200+200+200+200+200+200</f>
        <v>1200</v>
      </c>
      <c r="AZ121" s="359">
        <f>200+200</f>
        <v>400</v>
      </c>
      <c r="BA121" s="359">
        <f>300+300</f>
        <v>600</v>
      </c>
      <c r="BB121" s="359"/>
      <c r="BC121" s="359">
        <f t="shared" si="34"/>
        <v>1536651</v>
      </c>
      <c r="BD121" s="513">
        <f t="shared" si="37"/>
        <v>0.0143</v>
      </c>
      <c r="BE121" s="359">
        <v>1536651</v>
      </c>
      <c r="BF121" s="359"/>
      <c r="BG121" s="359"/>
      <c r="BH121" s="359"/>
      <c r="BI121" s="359"/>
      <c r="BJ121" s="359"/>
      <c r="BK121" s="359"/>
      <c r="BL121" s="359"/>
      <c r="BM121" s="359"/>
      <c r="BN121" s="359"/>
      <c r="BO121" s="359"/>
      <c r="BP121" s="359"/>
      <c r="BQ121" s="359"/>
      <c r="BR121" s="359"/>
      <c r="BS121" s="359"/>
      <c r="BT121" s="359"/>
      <c r="BU121" s="359"/>
      <c r="BV121" s="359"/>
      <c r="BW121" s="359"/>
      <c r="BX121" s="359"/>
      <c r="BY121" s="359"/>
      <c r="BZ121" s="359"/>
      <c r="CA121" s="359"/>
      <c r="CB121" s="359"/>
      <c r="CC121" s="359"/>
      <c r="CD121" s="359"/>
      <c r="CE121" s="359"/>
      <c r="CF121" s="359"/>
      <c r="CG121" s="359"/>
      <c r="CH121" s="359"/>
      <c r="CI121" s="134"/>
      <c r="CK121" s="134" t="s">
        <v>376</v>
      </c>
      <c r="CL121" s="134" t="s">
        <v>387</v>
      </c>
      <c r="CN121" s="134" t="s">
        <v>377</v>
      </c>
    </row>
    <row r="122" s="134" customFormat="1" ht="73" customHeight="1" spans="1:100">
      <c r="A122" s="134">
        <v>115</v>
      </c>
      <c r="C122" s="443">
        <v>45149</v>
      </c>
      <c r="D122" s="134">
        <v>20230006847</v>
      </c>
      <c r="E122" s="1006" t="s">
        <v>1096</v>
      </c>
      <c r="F122" s="429" t="s">
        <v>1097</v>
      </c>
      <c r="G122" s="143" t="s">
        <v>1098</v>
      </c>
      <c r="H122" s="128"/>
      <c r="I122" s="134" t="s">
        <v>370</v>
      </c>
      <c r="J122" s="134">
        <v>2</v>
      </c>
      <c r="K122" s="134">
        <v>41.69</v>
      </c>
      <c r="L122" s="134">
        <v>41.69</v>
      </c>
      <c r="M122" s="134">
        <v>24675</v>
      </c>
      <c r="N122" s="441">
        <v>1028701</v>
      </c>
      <c r="O122" s="359">
        <v>24475.1</v>
      </c>
      <c r="Q122" s="145">
        <v>943762.39</v>
      </c>
      <c r="R122" s="1006" t="s">
        <v>1099</v>
      </c>
      <c r="S122" s="443">
        <v>45768</v>
      </c>
      <c r="T122" s="359"/>
      <c r="U122" s="413"/>
      <c r="V122" s="413" t="s">
        <v>1100</v>
      </c>
      <c r="W122" s="413" t="s">
        <v>1101</v>
      </c>
      <c r="X122" s="359">
        <f>5000+5000+5000+85000</f>
        <v>100000</v>
      </c>
      <c r="Y122" s="413" t="s">
        <v>1102</v>
      </c>
      <c r="Z122" s="359">
        <f>360000+58454</f>
        <v>418454</v>
      </c>
      <c r="AA122" s="413" t="s">
        <v>1103</v>
      </c>
      <c r="AB122" s="359">
        <v>510000</v>
      </c>
      <c r="AC122" s="413" t="s">
        <v>1036</v>
      </c>
      <c r="AL122" s="359">
        <f t="shared" si="28"/>
        <v>1028454</v>
      </c>
      <c r="AO122" s="418">
        <f t="shared" si="35"/>
        <v>247</v>
      </c>
      <c r="AP122" s="134">
        <v>17399100888</v>
      </c>
      <c r="AT122" s="419">
        <f t="shared" si="33"/>
        <v>1600</v>
      </c>
      <c r="AU122" s="419">
        <f>200</f>
        <v>200</v>
      </c>
      <c r="AV122" s="359">
        <f>200+200</f>
        <v>400</v>
      </c>
      <c r="AW122" s="359"/>
      <c r="AX122" s="359"/>
      <c r="AY122" s="359">
        <v>200</v>
      </c>
      <c r="AZ122" s="359">
        <v>200</v>
      </c>
      <c r="BA122" s="359">
        <f>300+300</f>
        <v>600</v>
      </c>
      <c r="BB122" s="359"/>
      <c r="BC122" s="359">
        <f t="shared" si="34"/>
        <v>1028454</v>
      </c>
      <c r="BD122" s="513">
        <f>1%+0.25%</f>
        <v>0.0125</v>
      </c>
      <c r="BE122" s="359"/>
      <c r="BF122" s="359">
        <v>518454</v>
      </c>
      <c r="BG122" s="359">
        <v>510000</v>
      </c>
      <c r="BH122" s="359"/>
      <c r="BI122" s="359"/>
      <c r="BJ122" s="359"/>
      <c r="BK122" s="359"/>
      <c r="BL122" s="359"/>
      <c r="BM122" s="359"/>
      <c r="BN122" s="359"/>
      <c r="BO122" s="359"/>
      <c r="BP122" s="359"/>
      <c r="BQ122" s="359"/>
      <c r="BR122" s="359"/>
      <c r="BS122" s="359"/>
      <c r="BT122" s="359"/>
      <c r="BU122" s="359"/>
      <c r="BV122" s="359"/>
      <c r="BW122" s="359"/>
      <c r="BX122" s="359"/>
      <c r="BY122" s="359"/>
      <c r="BZ122" s="359"/>
      <c r="CA122" s="359"/>
      <c r="CB122" s="359"/>
      <c r="CC122" s="359"/>
      <c r="CD122" s="359"/>
      <c r="CE122" s="359"/>
      <c r="CF122" s="359"/>
      <c r="CG122" s="359"/>
      <c r="CH122" s="359"/>
      <c r="CI122" s="134"/>
      <c r="CK122" s="134" t="s">
        <v>376</v>
      </c>
      <c r="CL122" s="134" t="s">
        <v>387</v>
      </c>
      <c r="CN122" s="134" t="s">
        <v>377</v>
      </c>
    </row>
    <row r="123" s="134" customFormat="1" ht="66" customHeight="1" spans="1:100">
      <c r="A123" s="134">
        <v>116</v>
      </c>
      <c r="C123" s="443">
        <v>45149</v>
      </c>
      <c r="D123" s="134">
        <v>20230006849</v>
      </c>
      <c r="E123" s="1006" t="s">
        <v>1104</v>
      </c>
      <c r="F123" s="429" t="s">
        <v>1097</v>
      </c>
      <c r="G123" s="143" t="s">
        <v>1098</v>
      </c>
      <c r="H123" s="128"/>
      <c r="I123" s="134" t="s">
        <v>370</v>
      </c>
      <c r="J123" s="134">
        <v>3</v>
      </c>
      <c r="K123" s="134">
        <v>42.7</v>
      </c>
      <c r="L123" s="134">
        <v>42.7</v>
      </c>
      <c r="M123" s="134">
        <v>23799.7</v>
      </c>
      <c r="N123" s="441">
        <v>1016247</v>
      </c>
      <c r="O123" s="359">
        <v>23599.7</v>
      </c>
      <c r="P123" s="134"/>
      <c r="Q123" s="145">
        <v>932336.7</v>
      </c>
      <c r="R123" s="1006" t="s">
        <v>1105</v>
      </c>
      <c r="S123" s="443">
        <v>45768</v>
      </c>
      <c r="T123" s="359"/>
      <c r="U123" s="413"/>
      <c r="V123" s="413"/>
      <c r="W123" s="413" t="s">
        <v>1101</v>
      </c>
      <c r="X123" s="359">
        <f>5000-5000+100000</f>
        <v>100000</v>
      </c>
      <c r="Y123" s="413" t="s">
        <v>1106</v>
      </c>
      <c r="Z123" s="359">
        <f>416009</f>
        <v>416009</v>
      </c>
      <c r="AA123" s="413" t="s">
        <v>1103</v>
      </c>
      <c r="AB123" s="359">
        <v>500000</v>
      </c>
      <c r="AC123" s="413" t="s">
        <v>1036</v>
      </c>
      <c r="AL123" s="359">
        <f t="shared" si="28"/>
        <v>1016009</v>
      </c>
      <c r="AO123" s="418">
        <f t="shared" si="35"/>
        <v>238</v>
      </c>
      <c r="AT123" s="419">
        <f t="shared" si="33"/>
        <v>1100</v>
      </c>
      <c r="AU123" s="419"/>
      <c r="AV123" s="359">
        <f>200+200+200</f>
        <v>600</v>
      </c>
      <c r="AW123" s="359"/>
      <c r="AX123" s="359"/>
      <c r="AY123" s="359">
        <v>200</v>
      </c>
      <c r="AZ123" s="359"/>
      <c r="BA123" s="359">
        <v>300</v>
      </c>
      <c r="BB123" s="359"/>
      <c r="BC123" s="359">
        <f t="shared" si="34"/>
        <v>1016009</v>
      </c>
      <c r="BD123" s="513">
        <f>1%+0.25%</f>
        <v>0.0125</v>
      </c>
      <c r="BE123" s="359"/>
      <c r="BF123" s="359">
        <v>516009</v>
      </c>
      <c r="BG123" s="359">
        <v>500000</v>
      </c>
      <c r="BH123" s="359"/>
      <c r="BI123" s="359"/>
      <c r="BJ123" s="359"/>
      <c r="BK123" s="359"/>
      <c r="BL123" s="359"/>
      <c r="BM123" s="359"/>
      <c r="BN123" s="359"/>
      <c r="BO123" s="359"/>
      <c r="BP123" s="359"/>
      <c r="BQ123" s="359"/>
      <c r="BR123" s="359"/>
      <c r="BS123" s="359"/>
      <c r="BT123" s="359"/>
      <c r="BU123" s="359"/>
      <c r="BV123" s="359"/>
      <c r="BW123" s="359"/>
      <c r="BX123" s="359"/>
      <c r="BY123" s="359"/>
      <c r="BZ123" s="359"/>
      <c r="CA123" s="359"/>
      <c r="CB123" s="359"/>
      <c r="CC123" s="359"/>
      <c r="CD123" s="359"/>
      <c r="CE123" s="359"/>
      <c r="CF123" s="359"/>
      <c r="CG123" s="359"/>
      <c r="CH123" s="359"/>
      <c r="CI123" s="134"/>
      <c r="CK123" s="134" t="s">
        <v>376</v>
      </c>
      <c r="CL123" s="134" t="s">
        <v>387</v>
      </c>
      <c r="CN123" s="134" t="s">
        <v>377</v>
      </c>
    </row>
    <row r="124" s="134" customFormat="1" customHeight="1" spans="1:100">
      <c r="A124" s="134">
        <v>117</v>
      </c>
      <c r="C124" s="443">
        <v>45130</v>
      </c>
      <c r="D124" s="134">
        <v>20230006188</v>
      </c>
      <c r="E124" s="1006" t="s">
        <v>1107</v>
      </c>
      <c r="F124" s="429" t="s">
        <v>1108</v>
      </c>
      <c r="G124" s="143" t="s">
        <v>1109</v>
      </c>
      <c r="H124" s="128"/>
      <c r="I124" s="134" t="s">
        <v>370</v>
      </c>
      <c r="J124" s="134">
        <v>4</v>
      </c>
      <c r="K124" s="134">
        <v>42.7</v>
      </c>
      <c r="L124" s="134">
        <v>42.7</v>
      </c>
      <c r="M124" s="134">
        <v>23793.72</v>
      </c>
      <c r="N124" s="441">
        <v>1015992</v>
      </c>
      <c r="O124" s="359">
        <v>23693.72</v>
      </c>
      <c r="Q124" s="145">
        <v>932102.75</v>
      </c>
      <c r="R124" s="1006" t="s">
        <v>1110</v>
      </c>
      <c r="S124" s="443">
        <v>45618</v>
      </c>
      <c r="T124" s="359"/>
      <c r="U124" s="413"/>
      <c r="V124" s="413"/>
      <c r="W124" s="413" t="s">
        <v>1111</v>
      </c>
      <c r="X124" s="359">
        <f>100000</f>
        <v>100000</v>
      </c>
      <c r="Y124" s="413" t="s">
        <v>458</v>
      </c>
      <c r="Z124" s="359">
        <v>915754</v>
      </c>
      <c r="AA124" s="413" t="s">
        <v>1112</v>
      </c>
      <c r="AB124" s="359">
        <v>238</v>
      </c>
      <c r="AC124" s="413" t="s">
        <v>957</v>
      </c>
      <c r="AL124" s="359">
        <f t="shared" si="28"/>
        <v>1015992</v>
      </c>
      <c r="AO124" s="418">
        <f t="shared" si="35"/>
        <v>0</v>
      </c>
      <c r="AP124" s="134">
        <v>15209968666</v>
      </c>
      <c r="AT124" s="419">
        <f t="shared" si="33"/>
        <v>700</v>
      </c>
      <c r="AU124" s="419">
        <f>200</f>
        <v>200</v>
      </c>
      <c r="AV124" s="359">
        <v>200</v>
      </c>
      <c r="AW124" s="359"/>
      <c r="AX124" s="359"/>
      <c r="AY124" s="359"/>
      <c r="AZ124" s="359"/>
      <c r="BA124" s="359">
        <v>300</v>
      </c>
      <c r="BB124" s="359"/>
      <c r="BC124" s="359">
        <f t="shared" si="34"/>
        <v>1015754</v>
      </c>
      <c r="BD124" s="513">
        <f>1%+0.25%</f>
        <v>0.0125</v>
      </c>
      <c r="BE124" s="359">
        <v>1015754</v>
      </c>
      <c r="BF124" s="359"/>
      <c r="BG124" s="359"/>
      <c r="BH124" s="359"/>
      <c r="BI124" s="359"/>
      <c r="BJ124" s="359"/>
      <c r="BK124" s="359"/>
      <c r="BL124" s="359"/>
      <c r="BM124" s="359"/>
      <c r="BN124" s="359"/>
      <c r="BO124" s="359"/>
      <c r="BP124" s="359"/>
      <c r="BQ124" s="359"/>
      <c r="BR124" s="359"/>
      <c r="BS124" s="359"/>
      <c r="BT124" s="359"/>
      <c r="BU124" s="359"/>
      <c r="BV124" s="359"/>
      <c r="BW124" s="359"/>
      <c r="BX124" s="359"/>
      <c r="BY124" s="359"/>
      <c r="BZ124" s="359"/>
      <c r="CA124" s="359"/>
      <c r="CB124" s="359"/>
      <c r="CC124" s="359"/>
      <c r="CD124" s="359"/>
      <c r="CE124" s="359"/>
      <c r="CF124" s="359"/>
      <c r="CG124" s="359"/>
      <c r="CH124" s="359"/>
      <c r="CI124" s="134"/>
      <c r="CK124" s="134" t="s">
        <v>376</v>
      </c>
      <c r="CL124" s="134" t="s">
        <v>387</v>
      </c>
      <c r="CN124" s="134" t="s">
        <v>377</v>
      </c>
    </row>
    <row r="125" s="134" customFormat="1" ht="72" customHeight="1" spans="1:100">
      <c r="A125" s="134">
        <v>118</v>
      </c>
      <c r="C125" s="443">
        <v>45130</v>
      </c>
      <c r="D125" s="134">
        <v>20230006199</v>
      </c>
      <c r="E125" s="1006" t="s">
        <v>1113</v>
      </c>
      <c r="F125" s="429" t="s">
        <v>1114</v>
      </c>
      <c r="G125" s="143" t="s">
        <v>1115</v>
      </c>
      <c r="H125" s="128"/>
      <c r="I125" s="134" t="s">
        <v>370</v>
      </c>
      <c r="J125" s="134">
        <v>5</v>
      </c>
      <c r="K125" s="134">
        <v>42.7</v>
      </c>
      <c r="L125" s="134">
        <v>42.7</v>
      </c>
      <c r="M125" s="134">
        <v>23887.75</v>
      </c>
      <c r="N125" s="441">
        <v>1020007</v>
      </c>
      <c r="O125" s="359">
        <v>23787.75</v>
      </c>
      <c r="Q125" s="145">
        <v>935786.24</v>
      </c>
      <c r="R125" s="1006" t="s">
        <v>1116</v>
      </c>
      <c r="S125" s="443">
        <v>45618</v>
      </c>
      <c r="T125" s="359"/>
      <c r="U125" s="138"/>
      <c r="V125" s="413" t="s">
        <v>1117</v>
      </c>
      <c r="W125" s="413" t="s">
        <v>1111</v>
      </c>
      <c r="X125" s="359">
        <f>10000+60000+10000+10000+10000</f>
        <v>100000</v>
      </c>
      <c r="Y125" s="413" t="s">
        <v>1118</v>
      </c>
      <c r="Z125" s="359">
        <v>919768</v>
      </c>
      <c r="AA125" s="138" t="s">
        <v>1112</v>
      </c>
      <c r="AB125" s="359">
        <v>239</v>
      </c>
      <c r="AC125" s="138" t="s">
        <v>957</v>
      </c>
      <c r="AL125" s="359">
        <f t="shared" ref="AL125:AL150" si="38">X125+Z125+AB125+AD125+AF125+AH125+AJ125</f>
        <v>1020007</v>
      </c>
      <c r="AO125" s="418">
        <f t="shared" si="35"/>
        <v>0</v>
      </c>
      <c r="AT125" s="419">
        <f t="shared" si="33"/>
        <v>1300</v>
      </c>
      <c r="AU125" s="419">
        <f>200</f>
        <v>200</v>
      </c>
      <c r="AV125" s="359"/>
      <c r="AW125" s="359">
        <v>200</v>
      </c>
      <c r="AX125" s="359"/>
      <c r="AY125" s="359"/>
      <c r="AZ125" s="359"/>
      <c r="BA125" s="359">
        <f>300+300+300</f>
        <v>900</v>
      </c>
      <c r="BB125" s="359"/>
      <c r="BC125" s="359">
        <f t="shared" si="34"/>
        <v>1019768</v>
      </c>
      <c r="BD125" s="513">
        <f>1%+0.25%</f>
        <v>0.0125</v>
      </c>
      <c r="BE125" s="359">
        <v>1019768</v>
      </c>
      <c r="BF125" s="359"/>
      <c r="BG125" s="359"/>
      <c r="BH125" s="359"/>
      <c r="BI125" s="359"/>
      <c r="BJ125" s="359"/>
      <c r="BK125" s="359"/>
      <c r="BL125" s="359"/>
      <c r="BM125" s="359"/>
      <c r="BN125" s="359"/>
      <c r="BO125" s="359"/>
      <c r="BP125" s="359"/>
      <c r="BQ125" s="359"/>
      <c r="BR125" s="359"/>
      <c r="BS125" s="359"/>
      <c r="BT125" s="359"/>
      <c r="BU125" s="359"/>
      <c r="BV125" s="359"/>
      <c r="BW125" s="359"/>
      <c r="BX125" s="359"/>
      <c r="BY125" s="359"/>
      <c r="BZ125" s="359"/>
      <c r="CA125" s="359"/>
      <c r="CB125" s="359"/>
      <c r="CC125" s="359"/>
      <c r="CD125" s="359"/>
      <c r="CE125" s="359"/>
      <c r="CF125" s="359"/>
      <c r="CG125" s="359"/>
      <c r="CH125" s="359"/>
      <c r="CI125" s="134"/>
      <c r="CK125" s="134" t="s">
        <v>376</v>
      </c>
      <c r="CL125" s="134" t="s">
        <v>387</v>
      </c>
      <c r="CN125" s="134" t="s">
        <v>377</v>
      </c>
    </row>
    <row r="126" s="134" customFormat="1" ht="87" customHeight="1" spans="1:100">
      <c r="A126" s="134">
        <v>119</v>
      </c>
      <c r="C126" s="443">
        <v>45110</v>
      </c>
      <c r="D126" s="134">
        <v>20230005506</v>
      </c>
      <c r="E126" s="1006" t="s">
        <v>1119</v>
      </c>
      <c r="F126" s="429" t="s">
        <v>1120</v>
      </c>
      <c r="G126" s="143" t="s">
        <v>1121</v>
      </c>
      <c r="H126" s="128"/>
      <c r="I126" s="134" t="s">
        <v>370</v>
      </c>
      <c r="J126" s="134">
        <v>6</v>
      </c>
      <c r="K126" s="134">
        <v>42.7</v>
      </c>
      <c r="L126" s="134">
        <v>42.7</v>
      </c>
      <c r="M126" s="134">
        <v>24181.76</v>
      </c>
      <c r="N126" s="441">
        <v>1032561</v>
      </c>
      <c r="O126" s="359">
        <v>23881.77</v>
      </c>
      <c r="Q126" s="145">
        <v>947303.67</v>
      </c>
      <c r="R126" s="1006" t="s">
        <v>1122</v>
      </c>
      <c r="S126" s="443">
        <v>45768</v>
      </c>
      <c r="T126" s="359"/>
      <c r="U126" s="413"/>
      <c r="V126" s="413" t="s">
        <v>1123</v>
      </c>
      <c r="W126" s="413" t="s">
        <v>1124</v>
      </c>
      <c r="X126" s="359">
        <f>5000-5000+5000+5000+5000+5000</f>
        <v>20000</v>
      </c>
      <c r="Y126" s="413" t="s">
        <v>1125</v>
      </c>
      <c r="Z126" s="359">
        <v>80000</v>
      </c>
      <c r="AA126" s="417" t="s">
        <v>1126</v>
      </c>
      <c r="AB126" s="359">
        <v>212319</v>
      </c>
      <c r="AC126" s="417">
        <v>2023.7</v>
      </c>
      <c r="AD126" s="359">
        <f>200000+10000</f>
        <v>210000</v>
      </c>
      <c r="AE126" s="413" t="s">
        <v>1127</v>
      </c>
      <c r="AF126" s="359">
        <v>360000</v>
      </c>
      <c r="AG126" s="413" t="s">
        <v>1128</v>
      </c>
      <c r="AH126" s="134">
        <v>150000</v>
      </c>
      <c r="AI126" s="134" t="s">
        <v>1128</v>
      </c>
      <c r="AJ126" s="359">
        <v>242</v>
      </c>
      <c r="AK126" s="413" t="s">
        <v>1129</v>
      </c>
      <c r="AL126" s="359">
        <f t="shared" si="38"/>
        <v>1032561</v>
      </c>
      <c r="AO126" s="418">
        <f t="shared" si="35"/>
        <v>0</v>
      </c>
      <c r="AP126" s="134">
        <v>13899005378</v>
      </c>
      <c r="AT126" s="419">
        <f t="shared" si="33"/>
        <v>2000</v>
      </c>
      <c r="AU126" s="419">
        <f>200</f>
        <v>200</v>
      </c>
      <c r="AV126" s="359">
        <f>200+200+200</f>
        <v>600</v>
      </c>
      <c r="AW126" s="359">
        <v>200</v>
      </c>
      <c r="AX126" s="359">
        <v>200</v>
      </c>
      <c r="AY126" s="359">
        <v>200</v>
      </c>
      <c r="AZ126" s="359"/>
      <c r="BA126" s="359">
        <f>300+300</f>
        <v>600</v>
      </c>
      <c r="BB126" s="359"/>
      <c r="BC126" s="359">
        <f t="shared" si="34"/>
        <v>1032319</v>
      </c>
      <c r="BD126" s="513">
        <f>1%+0.18%+0.25%</f>
        <v>0.0143</v>
      </c>
      <c r="BE126" s="359"/>
      <c r="BF126" s="359"/>
      <c r="BG126" s="359"/>
      <c r="BH126" s="359"/>
      <c r="BI126" s="359"/>
      <c r="BJ126" s="359">
        <v>1032319</v>
      </c>
      <c r="BK126" s="359"/>
      <c r="BL126" s="359"/>
      <c r="BM126" s="359"/>
      <c r="BN126" s="359"/>
      <c r="BO126" s="359"/>
      <c r="BP126" s="359"/>
      <c r="BQ126" s="359"/>
      <c r="BR126" s="359"/>
      <c r="BS126" s="359"/>
      <c r="BT126" s="359"/>
      <c r="BU126" s="359"/>
      <c r="BV126" s="359"/>
      <c r="BW126" s="359"/>
      <c r="BX126" s="359"/>
      <c r="BY126" s="359"/>
      <c r="BZ126" s="359"/>
      <c r="CA126" s="359"/>
      <c r="CB126" s="359"/>
      <c r="CC126" s="359"/>
      <c r="CD126" s="359"/>
      <c r="CE126" s="359"/>
      <c r="CF126" s="359"/>
      <c r="CG126" s="359"/>
      <c r="CH126" s="359"/>
      <c r="CI126" s="134"/>
      <c r="CK126" s="134" t="s">
        <v>376</v>
      </c>
      <c r="CL126" s="134" t="s">
        <v>387</v>
      </c>
      <c r="CN126" s="134" t="s">
        <v>377</v>
      </c>
    </row>
    <row r="127" s="134" customFormat="1" ht="39" customHeight="1" spans="1:100">
      <c r="A127" s="134">
        <v>120</v>
      </c>
      <c r="C127" s="443">
        <v>45120</v>
      </c>
      <c r="D127" s="134">
        <v>20230005811</v>
      </c>
      <c r="E127" s="1006" t="s">
        <v>1130</v>
      </c>
      <c r="F127" s="429" t="s">
        <v>1131</v>
      </c>
      <c r="G127" s="143" t="s">
        <v>1132</v>
      </c>
      <c r="H127" s="128"/>
      <c r="I127" s="134" t="s">
        <v>370</v>
      </c>
      <c r="J127" s="134">
        <v>7</v>
      </c>
      <c r="K127" s="134">
        <v>42.7</v>
      </c>
      <c r="L127" s="134">
        <v>42.7</v>
      </c>
      <c r="M127" s="134">
        <v>23799.7</v>
      </c>
      <c r="N127" s="441">
        <v>1016247</v>
      </c>
      <c r="O127" s="359">
        <v>23599.7</v>
      </c>
      <c r="Q127" s="145">
        <v>932336.7</v>
      </c>
      <c r="R127" s="1006" t="s">
        <v>1133</v>
      </c>
      <c r="S127" s="443">
        <v>45768</v>
      </c>
      <c r="T127" s="359"/>
      <c r="U127" s="413"/>
      <c r="V127" s="413" t="s">
        <v>1134</v>
      </c>
      <c r="W127" s="413" t="s">
        <v>1135</v>
      </c>
      <c r="X127" s="359">
        <f>5000-5000+10000-10000+5000+95000</f>
        <v>100000</v>
      </c>
      <c r="Y127" s="413" t="s">
        <v>1136</v>
      </c>
      <c r="Z127" s="359">
        <v>316009</v>
      </c>
      <c r="AA127" s="413" t="s">
        <v>1137</v>
      </c>
      <c r="AB127" s="359">
        <f>410000+190000</f>
        <v>600000</v>
      </c>
      <c r="AC127" s="417" t="s">
        <v>944</v>
      </c>
      <c r="AL127" s="359">
        <f t="shared" si="38"/>
        <v>1016009</v>
      </c>
      <c r="AO127" s="418">
        <f t="shared" si="35"/>
        <v>238</v>
      </c>
      <c r="AP127" s="134">
        <v>15739856132</v>
      </c>
      <c r="AT127" s="419">
        <f t="shared" si="33"/>
        <v>600</v>
      </c>
      <c r="AU127" s="419"/>
      <c r="AV127" s="359">
        <f>200+200</f>
        <v>400</v>
      </c>
      <c r="AW127" s="359"/>
      <c r="AX127" s="359"/>
      <c r="AY127" s="359"/>
      <c r="AZ127" s="359">
        <v>200</v>
      </c>
      <c r="BA127" s="359"/>
      <c r="BB127" s="359"/>
      <c r="BC127" s="359">
        <f t="shared" si="34"/>
        <v>1016009</v>
      </c>
      <c r="BD127" s="513">
        <f>1%+0.25%</f>
        <v>0.0125</v>
      </c>
      <c r="BE127" s="359">
        <v>1016009</v>
      </c>
      <c r="BF127" s="359"/>
      <c r="BG127" s="359"/>
      <c r="BH127" s="359"/>
      <c r="BI127" s="359"/>
      <c r="BJ127" s="359"/>
      <c r="BK127" s="359"/>
      <c r="BL127" s="359"/>
      <c r="BM127" s="359"/>
      <c r="BN127" s="359"/>
      <c r="BO127" s="359"/>
      <c r="BP127" s="359"/>
      <c r="BQ127" s="359"/>
      <c r="BR127" s="359"/>
      <c r="BS127" s="359"/>
      <c r="BT127" s="359"/>
      <c r="BU127" s="359"/>
      <c r="BV127" s="359"/>
      <c r="BW127" s="359"/>
      <c r="BX127" s="359"/>
      <c r="BY127" s="359"/>
      <c r="BZ127" s="359"/>
      <c r="CA127" s="359"/>
      <c r="CB127" s="359"/>
      <c r="CC127" s="359"/>
      <c r="CD127" s="359"/>
      <c r="CE127" s="359"/>
      <c r="CF127" s="359"/>
      <c r="CG127" s="359"/>
      <c r="CH127" s="359"/>
      <c r="CI127" s="134"/>
      <c r="CK127" s="134" t="s">
        <v>376</v>
      </c>
      <c r="CL127" s="134" t="s">
        <v>387</v>
      </c>
      <c r="CN127" s="134" t="s">
        <v>377</v>
      </c>
    </row>
    <row r="128" s="134" customFormat="1" ht="39" customHeight="1" spans="1:100">
      <c r="A128" s="134">
        <v>121</v>
      </c>
      <c r="C128" s="443">
        <v>45117</v>
      </c>
      <c r="D128" s="134">
        <v>20230005770</v>
      </c>
      <c r="E128" s="1006" t="s">
        <v>1138</v>
      </c>
      <c r="F128" s="429" t="s">
        <v>1139</v>
      </c>
      <c r="G128" s="143" t="s">
        <v>1140</v>
      </c>
      <c r="H128" s="128"/>
      <c r="I128" s="134" t="s">
        <v>370</v>
      </c>
      <c r="J128" s="134">
        <v>8</v>
      </c>
      <c r="K128" s="134">
        <v>42.7</v>
      </c>
      <c r="L128" s="134">
        <v>42.7</v>
      </c>
      <c r="M128" s="134">
        <v>24475.79</v>
      </c>
      <c r="N128" s="441">
        <v>1045116</v>
      </c>
      <c r="O128" s="359">
        <v>23975.79</v>
      </c>
      <c r="P128" s="134"/>
      <c r="Q128" s="145">
        <v>958822.02</v>
      </c>
      <c r="R128" s="1006" t="s">
        <v>1141</v>
      </c>
      <c r="S128" s="443">
        <v>45768</v>
      </c>
      <c r="T128" s="359"/>
      <c r="U128" s="413"/>
      <c r="V128" s="413" t="s">
        <v>1142</v>
      </c>
      <c r="W128" s="413" t="s">
        <v>1143</v>
      </c>
      <c r="X128" s="359">
        <f>5000+5000-5000+5000+95000-5000</f>
        <v>100000</v>
      </c>
      <c r="Y128" s="413" t="s">
        <v>1144</v>
      </c>
      <c r="Z128" s="359">
        <v>944872</v>
      </c>
      <c r="AA128" s="413" t="s">
        <v>1145</v>
      </c>
      <c r="AB128" s="359">
        <v>245</v>
      </c>
      <c r="AC128" s="413" t="s">
        <v>1146</v>
      </c>
      <c r="AJ128" s="134">
        <v>-1</v>
      </c>
      <c r="AK128" s="561"/>
      <c r="AL128" s="359">
        <f t="shared" si="38"/>
        <v>1045116</v>
      </c>
      <c r="AO128" s="418">
        <f t="shared" si="35"/>
        <v>0</v>
      </c>
      <c r="AP128" s="134">
        <v>15099460058</v>
      </c>
      <c r="AT128" s="419">
        <f t="shared" si="33"/>
        <v>800</v>
      </c>
      <c r="AU128" s="419">
        <f>200+200+200</f>
        <v>600</v>
      </c>
      <c r="AV128" s="359">
        <v>200</v>
      </c>
      <c r="AW128" s="359"/>
      <c r="AX128" s="359"/>
      <c r="AY128" s="359"/>
      <c r="AZ128" s="359"/>
      <c r="BA128" s="359"/>
      <c r="BB128" s="359"/>
      <c r="BC128" s="359">
        <f t="shared" si="34"/>
        <v>1044872</v>
      </c>
      <c r="BD128" s="513">
        <f>0.8%+0.18%+0.25%</f>
        <v>0.0123</v>
      </c>
      <c r="BE128" s="359">
        <v>1044872</v>
      </c>
      <c r="BF128" s="359"/>
      <c r="BG128" s="359"/>
      <c r="BH128" s="359"/>
      <c r="BI128" s="359"/>
      <c r="BJ128" s="359"/>
      <c r="BK128" s="359"/>
      <c r="BL128" s="359"/>
      <c r="BM128" s="359"/>
      <c r="BN128" s="359"/>
      <c r="BO128" s="359"/>
      <c r="BP128" s="359"/>
      <c r="BQ128" s="359"/>
      <c r="BR128" s="359"/>
      <c r="BS128" s="359"/>
      <c r="BT128" s="359"/>
      <c r="BU128" s="359"/>
      <c r="BV128" s="359"/>
      <c r="BW128" s="359"/>
      <c r="BX128" s="359"/>
      <c r="BY128" s="359"/>
      <c r="BZ128" s="359"/>
      <c r="CA128" s="359"/>
      <c r="CB128" s="359"/>
      <c r="CC128" s="359"/>
      <c r="CD128" s="359"/>
      <c r="CE128" s="359"/>
      <c r="CF128" s="359"/>
      <c r="CG128" s="359"/>
      <c r="CH128" s="359"/>
      <c r="CI128" s="134"/>
      <c r="CK128" s="134" t="s">
        <v>376</v>
      </c>
      <c r="CL128" s="134" t="s">
        <v>387</v>
      </c>
      <c r="CN128" s="134" t="s">
        <v>377</v>
      </c>
    </row>
    <row r="129" s="134" customFormat="1" ht="35" customHeight="1" spans="1:92">
      <c r="A129" s="134">
        <v>122</v>
      </c>
      <c r="C129" s="443">
        <v>45138</v>
      </c>
      <c r="D129" s="134">
        <v>20230006480</v>
      </c>
      <c r="E129" s="1006" t="s">
        <v>1147</v>
      </c>
      <c r="F129" s="429" t="s">
        <v>1148</v>
      </c>
      <c r="G129" s="143" t="s">
        <v>1149</v>
      </c>
      <c r="H129" s="128"/>
      <c r="I129" s="134" t="s">
        <v>370</v>
      </c>
      <c r="J129" s="134">
        <v>9</v>
      </c>
      <c r="K129" s="134">
        <v>42.7</v>
      </c>
      <c r="L129" s="134">
        <v>42.7</v>
      </c>
      <c r="M129" s="134">
        <v>24633.96</v>
      </c>
      <c r="N129" s="441">
        <v>1051871</v>
      </c>
      <c r="O129" s="359">
        <v>24633.96</v>
      </c>
      <c r="Q129" s="145">
        <v>965019.27</v>
      </c>
      <c r="R129" s="1006" t="s">
        <v>1150</v>
      </c>
      <c r="S129" s="443">
        <v>45768</v>
      </c>
      <c r="T129" s="359"/>
      <c r="U129" s="413"/>
      <c r="V129" s="413" t="s">
        <v>1151</v>
      </c>
      <c r="W129" s="413" t="s">
        <v>1152</v>
      </c>
      <c r="X129" s="359">
        <f>5000-5000+10000+40000</f>
        <v>50000</v>
      </c>
      <c r="Y129" s="413" t="s">
        <v>1153</v>
      </c>
      <c r="Z129" s="359">
        <v>481624</v>
      </c>
      <c r="AA129" s="417" t="s">
        <v>976</v>
      </c>
      <c r="AB129" s="359">
        <v>520000</v>
      </c>
      <c r="AC129" s="413" t="s">
        <v>471</v>
      </c>
      <c r="AD129" s="359">
        <v>247</v>
      </c>
      <c r="AE129" s="413" t="s">
        <v>957</v>
      </c>
      <c r="AL129" s="359">
        <f t="shared" si="38"/>
        <v>1051871</v>
      </c>
      <c r="AO129" s="418">
        <f t="shared" si="35"/>
        <v>0</v>
      </c>
      <c r="AP129" s="134">
        <v>13779673130</v>
      </c>
      <c r="AT129" s="419">
        <f t="shared" si="33"/>
        <v>1500</v>
      </c>
      <c r="AU129" s="419">
        <f>200</f>
        <v>200</v>
      </c>
      <c r="AV129" s="359">
        <f>200+200+200+200</f>
        <v>800</v>
      </c>
      <c r="AW129" s="359"/>
      <c r="AX129" s="359">
        <v>200</v>
      </c>
      <c r="AY129" s="359"/>
      <c r="AZ129" s="359"/>
      <c r="BA129" s="359">
        <v>300</v>
      </c>
      <c r="BB129" s="359"/>
      <c r="BC129" s="359">
        <f t="shared" si="34"/>
        <v>1051624</v>
      </c>
      <c r="BD129" s="513">
        <f>0.8%+0.13%+0.25%</f>
        <v>0.0118</v>
      </c>
      <c r="BE129" s="359">
        <v>531624</v>
      </c>
      <c r="BF129" s="359"/>
      <c r="BG129" s="359"/>
      <c r="BH129" s="359"/>
      <c r="BI129" s="359"/>
      <c r="BJ129" s="359">
        <v>520000</v>
      </c>
      <c r="BK129" s="359"/>
      <c r="BL129" s="359"/>
      <c r="BM129" s="359"/>
      <c r="BN129" s="359"/>
      <c r="BO129" s="359"/>
      <c r="BP129" s="359"/>
      <c r="BQ129" s="359"/>
      <c r="BR129" s="359"/>
      <c r="BS129" s="359"/>
      <c r="BT129" s="359"/>
      <c r="BU129" s="359"/>
      <c r="BV129" s="359"/>
      <c r="BW129" s="359"/>
      <c r="BX129" s="359"/>
      <c r="BY129" s="359"/>
      <c r="BZ129" s="359"/>
      <c r="CA129" s="359"/>
      <c r="CB129" s="359"/>
      <c r="CC129" s="359"/>
      <c r="CD129" s="359"/>
      <c r="CE129" s="359"/>
      <c r="CF129" s="359"/>
      <c r="CG129" s="359"/>
      <c r="CH129" s="359"/>
      <c r="CI129" s="134"/>
      <c r="CK129" s="134" t="s">
        <v>376</v>
      </c>
      <c r="CL129" s="134" t="s">
        <v>387</v>
      </c>
      <c r="CN129" s="134" t="s">
        <v>377</v>
      </c>
    </row>
    <row r="130" s="134" customFormat="1" ht="32" customHeight="1" spans="1:92">
      <c r="A130" s="134">
        <v>123</v>
      </c>
      <c r="C130" s="443">
        <v>45166</v>
      </c>
      <c r="D130" s="134">
        <v>20230007366</v>
      </c>
      <c r="E130" s="1006" t="s">
        <v>1154</v>
      </c>
      <c r="F130" s="429" t="s">
        <v>1155</v>
      </c>
      <c r="G130" s="143" t="s">
        <v>1156</v>
      </c>
      <c r="H130" s="128"/>
      <c r="I130" s="134" t="s">
        <v>370</v>
      </c>
      <c r="J130" s="134">
        <v>10</v>
      </c>
      <c r="K130" s="134">
        <v>42.7</v>
      </c>
      <c r="L130" s="134">
        <v>42.7</v>
      </c>
      <c r="M130" s="134">
        <v>25532.91</v>
      </c>
      <c r="N130" s="441">
        <v>1090255</v>
      </c>
      <c r="O130" s="359">
        <v>25386.13</v>
      </c>
      <c r="Q130" s="145">
        <v>1000233.94</v>
      </c>
      <c r="R130" s="1006" t="s">
        <v>1157</v>
      </c>
      <c r="S130" s="443">
        <v>45618</v>
      </c>
      <c r="T130" s="359"/>
      <c r="U130" s="138"/>
      <c r="V130" s="413" t="s">
        <v>1158</v>
      </c>
      <c r="W130" s="413" t="s">
        <v>1159</v>
      </c>
      <c r="X130" s="359">
        <f>5000-5000+5000+95000</f>
        <v>100000</v>
      </c>
      <c r="Y130" s="413" t="s">
        <v>1160</v>
      </c>
      <c r="Z130" s="359">
        <v>30000</v>
      </c>
      <c r="AA130" s="138" t="s">
        <v>628</v>
      </c>
      <c r="AB130" s="359">
        <v>960000</v>
      </c>
      <c r="AC130" s="138" t="s">
        <v>954</v>
      </c>
      <c r="AD130" s="359">
        <v>255</v>
      </c>
      <c r="AE130" s="138" t="s">
        <v>1161</v>
      </c>
      <c r="AL130" s="359">
        <f t="shared" si="38"/>
        <v>1090255</v>
      </c>
      <c r="AO130" s="418">
        <f t="shared" si="35"/>
        <v>0</v>
      </c>
      <c r="AP130" s="134">
        <v>13899061155</v>
      </c>
      <c r="AT130" s="419">
        <f t="shared" si="33"/>
        <v>1000</v>
      </c>
      <c r="AU130" s="419"/>
      <c r="AV130" s="359">
        <f>200</f>
        <v>200</v>
      </c>
      <c r="AW130" s="359">
        <v>200</v>
      </c>
      <c r="AX130" s="359">
        <v>200</v>
      </c>
      <c r="AY130" s="359">
        <f>200+200</f>
        <v>400</v>
      </c>
      <c r="AZ130" s="359"/>
      <c r="BA130" s="359"/>
      <c r="BB130" s="359"/>
      <c r="BC130" s="359">
        <f t="shared" si="34"/>
        <v>1090000</v>
      </c>
      <c r="BD130" s="513">
        <f>1%+0.18%+0.25%</f>
        <v>0.0143</v>
      </c>
      <c r="BE130" s="359"/>
      <c r="BF130" s="359">
        <v>1090000</v>
      </c>
      <c r="BG130" s="359"/>
      <c r="BH130" s="359"/>
      <c r="BI130" s="359"/>
      <c r="BJ130" s="359"/>
      <c r="BK130" s="359"/>
      <c r="BL130" s="359"/>
      <c r="BM130" s="359"/>
      <c r="BN130" s="359"/>
      <c r="BO130" s="359"/>
      <c r="BP130" s="359"/>
      <c r="BQ130" s="359"/>
      <c r="BR130" s="359"/>
      <c r="BS130" s="359"/>
      <c r="BT130" s="359"/>
      <c r="BU130" s="359"/>
      <c r="BV130" s="359"/>
      <c r="BW130" s="359"/>
      <c r="BX130" s="359"/>
      <c r="BY130" s="359"/>
      <c r="BZ130" s="359"/>
      <c r="CA130" s="359"/>
      <c r="CB130" s="359"/>
      <c r="CC130" s="359"/>
      <c r="CD130" s="359"/>
      <c r="CE130" s="359"/>
      <c r="CF130" s="359"/>
      <c r="CG130" s="359"/>
      <c r="CH130" s="359"/>
      <c r="CI130" s="134"/>
      <c r="CK130" s="134" t="s">
        <v>376</v>
      </c>
      <c r="CL130" s="134" t="s">
        <v>387</v>
      </c>
      <c r="CN130" s="134" t="s">
        <v>377</v>
      </c>
    </row>
    <row r="131" s="134" customFormat="1" ht="35" customHeight="1" spans="1:92">
      <c r="A131" s="134">
        <v>124</v>
      </c>
      <c r="C131" s="443">
        <v>45527</v>
      </c>
      <c r="D131" s="134">
        <v>20240004827</v>
      </c>
      <c r="E131" s="1006" t="s">
        <v>1162</v>
      </c>
      <c r="F131" s="429" t="s">
        <v>1163</v>
      </c>
      <c r="G131" s="143" t="s">
        <v>1164</v>
      </c>
      <c r="H131" s="128"/>
      <c r="I131" s="134" t="s">
        <v>370</v>
      </c>
      <c r="J131" s="134">
        <v>11</v>
      </c>
      <c r="K131" s="134">
        <v>55.92</v>
      </c>
      <c r="L131" s="134">
        <v>55.92</v>
      </c>
      <c r="M131" s="134">
        <v>26917.71</v>
      </c>
      <c r="N131" s="441">
        <v>1505238</v>
      </c>
      <c r="O131" s="359">
        <v>26136.28</v>
      </c>
      <c r="P131" s="134"/>
      <c r="Q131" s="145">
        <v>1380952.29</v>
      </c>
      <c r="R131" s="1006" t="s">
        <v>1165</v>
      </c>
      <c r="S131" s="443">
        <v>45618</v>
      </c>
      <c r="T131" s="359"/>
      <c r="U131" s="413"/>
      <c r="V131" s="413"/>
      <c r="W131" s="413"/>
      <c r="X131" s="359">
        <f>853633+30000+30000+240000+200000</f>
        <v>1353633</v>
      </c>
      <c r="Y131" s="413" t="s">
        <v>1166</v>
      </c>
      <c r="Z131" s="359">
        <v>151336</v>
      </c>
      <c r="AA131" s="417" t="s">
        <v>1167</v>
      </c>
      <c r="AB131" s="359">
        <v>269</v>
      </c>
      <c r="AC131" s="413" t="s">
        <v>957</v>
      </c>
      <c r="AD131" s="134"/>
      <c r="AE131" s="134"/>
      <c r="AF131" s="359"/>
      <c r="AG131" s="413"/>
      <c r="AH131" s="134"/>
      <c r="AI131" s="134"/>
      <c r="AJ131" s="359"/>
      <c r="AK131" s="413"/>
      <c r="AL131" s="359">
        <f t="shared" si="38"/>
        <v>1505238</v>
      </c>
      <c r="AO131" s="418">
        <f t="shared" si="35"/>
        <v>0</v>
      </c>
      <c r="AP131" s="134">
        <v>13779245999</v>
      </c>
      <c r="AT131" s="419">
        <f t="shared" si="33"/>
        <v>1900</v>
      </c>
      <c r="AU131" s="419">
        <f>200+200</f>
        <v>400</v>
      </c>
      <c r="AV131" s="359">
        <v>200</v>
      </c>
      <c r="AW131" s="359">
        <v>200</v>
      </c>
      <c r="AX131" s="359">
        <v>200</v>
      </c>
      <c r="AY131" s="359">
        <f>200+200+200</f>
        <v>600</v>
      </c>
      <c r="AZ131" s="359"/>
      <c r="BA131" s="359">
        <v>300</v>
      </c>
      <c r="BB131" s="359"/>
      <c r="BC131" s="359">
        <f t="shared" si="34"/>
        <v>1504969</v>
      </c>
      <c r="BD131" s="513">
        <f>1%+0.14%</f>
        <v>0.0114</v>
      </c>
      <c r="BE131" s="359"/>
      <c r="BF131" s="359"/>
      <c r="BG131" s="359"/>
      <c r="BH131" s="359"/>
      <c r="BI131" s="359"/>
      <c r="BJ131" s="359"/>
      <c r="BK131" s="359"/>
      <c r="BL131" s="359"/>
      <c r="BM131" s="359"/>
      <c r="BN131" s="359"/>
      <c r="BO131" s="359"/>
      <c r="BP131" s="359"/>
      <c r="BQ131" s="359"/>
      <c r="BR131" s="359"/>
      <c r="BS131" s="359">
        <v>1504969</v>
      </c>
      <c r="BT131" s="359"/>
      <c r="BU131" s="359"/>
      <c r="BV131" s="359"/>
      <c r="BW131" s="359"/>
      <c r="BX131" s="359"/>
      <c r="BY131" s="359"/>
      <c r="BZ131" s="359"/>
      <c r="CA131" s="359"/>
      <c r="CB131" s="359"/>
      <c r="CC131" s="359"/>
      <c r="CD131" s="359"/>
      <c r="CE131" s="359"/>
      <c r="CF131" s="359"/>
      <c r="CG131" s="359"/>
      <c r="CH131" s="359"/>
      <c r="CI131" s="134"/>
      <c r="CK131" s="134" t="s">
        <v>376</v>
      </c>
      <c r="CN131" s="134" t="s">
        <v>377</v>
      </c>
    </row>
    <row r="132" s="134" customFormat="1" ht="97" customHeight="1" spans="1:92">
      <c r="A132" s="134">
        <v>125</v>
      </c>
      <c r="C132" s="443">
        <v>45114</v>
      </c>
      <c r="D132" s="134">
        <v>20230005679</v>
      </c>
      <c r="E132" s="1006" t="s">
        <v>1168</v>
      </c>
      <c r="F132" s="474" t="s">
        <v>1169</v>
      </c>
      <c r="G132" s="143" t="s">
        <v>1170</v>
      </c>
      <c r="H132" s="128"/>
      <c r="I132" s="134" t="s">
        <v>370</v>
      </c>
      <c r="J132" s="134">
        <v>12</v>
      </c>
      <c r="K132" s="134">
        <v>42.19</v>
      </c>
      <c r="L132" s="134">
        <v>42.19</v>
      </c>
      <c r="M132" s="134">
        <v>33084.45</v>
      </c>
      <c r="N132" s="441">
        <v>1395833</v>
      </c>
      <c r="O132" s="359">
        <v>33000</v>
      </c>
      <c r="Q132" s="145">
        <v>1280580.73</v>
      </c>
      <c r="R132" s="1006" t="s">
        <v>1171</v>
      </c>
      <c r="S132" s="443">
        <v>45768</v>
      </c>
      <c r="T132" s="359"/>
      <c r="U132" s="413"/>
      <c r="V132" s="413" t="s">
        <v>1172</v>
      </c>
      <c r="W132" s="413" t="s">
        <v>1173</v>
      </c>
      <c r="X132" s="359">
        <f>5000+5000-5000</f>
        <v>5000</v>
      </c>
      <c r="Y132" s="413" t="s">
        <v>1174</v>
      </c>
      <c r="Z132" s="359">
        <v>95000</v>
      </c>
      <c r="AA132" s="417" t="s">
        <v>1094</v>
      </c>
      <c r="AB132" s="359">
        <v>598833</v>
      </c>
      <c r="AC132" s="413" t="s">
        <v>1175</v>
      </c>
      <c r="AD132" s="359">
        <v>697000</v>
      </c>
      <c r="AE132" s="413" t="s">
        <v>562</v>
      </c>
      <c r="AL132" s="359">
        <f t="shared" si="38"/>
        <v>1395833</v>
      </c>
      <c r="AO132" s="418">
        <f t="shared" si="35"/>
        <v>0</v>
      </c>
      <c r="AP132" s="143">
        <v>18449693333</v>
      </c>
      <c r="AT132" s="419">
        <f t="shared" si="33"/>
        <v>3400</v>
      </c>
      <c r="AU132" s="419">
        <f>200+200+200+200+200</f>
        <v>1000</v>
      </c>
      <c r="AV132" s="359">
        <f>200+200</f>
        <v>400</v>
      </c>
      <c r="AW132" s="359">
        <f>200+200</f>
        <v>400</v>
      </c>
      <c r="AX132" s="359">
        <v>200</v>
      </c>
      <c r="AY132" s="359">
        <f>200+200+200+200</f>
        <v>800</v>
      </c>
      <c r="AZ132" s="359"/>
      <c r="BA132" s="359">
        <f>300+300</f>
        <v>600</v>
      </c>
      <c r="BB132" s="359"/>
      <c r="BC132" s="359">
        <f t="shared" si="34"/>
        <v>1395833</v>
      </c>
      <c r="BD132" s="513">
        <f t="shared" ref="BD132:BD139" si="39">1%+0.18%+0.25%</f>
        <v>0.0143</v>
      </c>
      <c r="BE132" s="359">
        <v>698833</v>
      </c>
      <c r="BF132" s="359">
        <v>697000</v>
      </c>
      <c r="BG132" s="359"/>
      <c r="BH132" s="359"/>
      <c r="BI132" s="359"/>
      <c r="BJ132" s="359"/>
      <c r="BK132" s="359"/>
      <c r="BL132" s="359"/>
      <c r="BM132" s="359"/>
      <c r="BN132" s="359"/>
      <c r="BO132" s="359"/>
      <c r="BP132" s="359"/>
      <c r="BQ132" s="359"/>
      <c r="BR132" s="359"/>
      <c r="BS132" s="359"/>
      <c r="BT132" s="359"/>
      <c r="BU132" s="359"/>
      <c r="BV132" s="359"/>
      <c r="BW132" s="359"/>
      <c r="BX132" s="359"/>
      <c r="BY132" s="359"/>
      <c r="BZ132" s="359"/>
      <c r="CA132" s="359"/>
      <c r="CB132" s="359"/>
      <c r="CC132" s="359"/>
      <c r="CD132" s="359"/>
      <c r="CE132" s="359"/>
      <c r="CF132" s="359"/>
      <c r="CG132" s="359"/>
      <c r="CH132" s="359"/>
      <c r="CI132" s="134"/>
      <c r="CK132" s="134" t="s">
        <v>376</v>
      </c>
      <c r="CL132" s="134" t="s">
        <v>387</v>
      </c>
      <c r="CN132" s="134" t="s">
        <v>377</v>
      </c>
    </row>
    <row r="133" s="134" customFormat="1" ht="18" customHeight="1" spans="1:92">
      <c r="A133" s="134">
        <v>126</v>
      </c>
      <c r="C133" s="443">
        <v>45114</v>
      </c>
      <c r="D133" s="134">
        <v>20230005680</v>
      </c>
      <c r="E133" s="1006" t="s">
        <v>1168</v>
      </c>
      <c r="F133" s="474" t="s">
        <v>1169</v>
      </c>
      <c r="G133" s="143" t="s">
        <v>1176</v>
      </c>
      <c r="H133" s="128"/>
      <c r="I133" s="134" t="s">
        <v>370</v>
      </c>
      <c r="J133" s="134">
        <v>13</v>
      </c>
      <c r="K133" s="134">
        <v>42.19</v>
      </c>
      <c r="L133" s="134">
        <v>42.19</v>
      </c>
      <c r="M133" s="134">
        <v>26171.3</v>
      </c>
      <c r="N133" s="441">
        <v>1104167</v>
      </c>
      <c r="O133" s="359">
        <v>26000</v>
      </c>
      <c r="Q133" s="145">
        <v>1012997.25</v>
      </c>
      <c r="R133" s="1006" t="s">
        <v>1177</v>
      </c>
      <c r="S133" s="443">
        <v>45768</v>
      </c>
      <c r="T133" s="359"/>
      <c r="U133" s="413"/>
      <c r="V133" s="413"/>
      <c r="W133" s="413" t="s">
        <v>1178</v>
      </c>
      <c r="X133" s="359">
        <v>100000</v>
      </c>
      <c r="Y133" s="417" t="s">
        <v>1094</v>
      </c>
      <c r="Z133" s="359">
        <f>61167+110000+76000+70000+100000+35000</f>
        <v>452167</v>
      </c>
      <c r="AA133" s="413" t="s">
        <v>1175</v>
      </c>
      <c r="AB133" s="359">
        <v>552000</v>
      </c>
      <c r="AC133" s="413" t="s">
        <v>562</v>
      </c>
      <c r="AL133" s="359">
        <f t="shared" si="38"/>
        <v>1104167</v>
      </c>
      <c r="AO133" s="418">
        <f t="shared" si="35"/>
        <v>0</v>
      </c>
      <c r="AT133" s="419">
        <f t="shared" si="33"/>
        <v>1100</v>
      </c>
      <c r="AU133" s="419">
        <f>200+200</f>
        <v>400</v>
      </c>
      <c r="AV133" s="359"/>
      <c r="AW133" s="359">
        <v>200</v>
      </c>
      <c r="AX133" s="359"/>
      <c r="AY133" s="359">
        <v>200</v>
      </c>
      <c r="AZ133" s="359"/>
      <c r="BA133" s="359">
        <v>300</v>
      </c>
      <c r="BB133" s="359"/>
      <c r="BC133" s="359">
        <f t="shared" si="34"/>
        <v>1104167</v>
      </c>
      <c r="BD133" s="513">
        <f t="shared" si="39"/>
        <v>0.0143</v>
      </c>
      <c r="BE133" s="359">
        <v>552167</v>
      </c>
      <c r="BF133" s="359">
        <v>552000</v>
      </c>
      <c r="BG133" s="359"/>
      <c r="BH133" s="359"/>
      <c r="BI133" s="359"/>
      <c r="BJ133" s="359"/>
      <c r="BK133" s="359"/>
      <c r="BL133" s="359"/>
      <c r="BM133" s="359"/>
      <c r="BN133" s="359"/>
      <c r="BO133" s="359"/>
      <c r="BP133" s="359"/>
      <c r="BQ133" s="359"/>
      <c r="BR133" s="359"/>
      <c r="BS133" s="359"/>
      <c r="BT133" s="359"/>
      <c r="BU133" s="359"/>
      <c r="BV133" s="359"/>
      <c r="BW133" s="359"/>
      <c r="BX133" s="359"/>
      <c r="BY133" s="359"/>
      <c r="BZ133" s="359"/>
      <c r="CA133" s="359"/>
      <c r="CB133" s="359"/>
      <c r="CC133" s="359"/>
      <c r="CD133" s="359"/>
      <c r="CE133" s="359"/>
      <c r="CF133" s="359"/>
      <c r="CG133" s="359"/>
      <c r="CH133" s="359"/>
      <c r="CI133" s="134"/>
      <c r="CK133" s="134" t="s">
        <v>376</v>
      </c>
      <c r="CL133" s="134" t="s">
        <v>387</v>
      </c>
      <c r="CN133" s="134" t="s">
        <v>377</v>
      </c>
    </row>
    <row r="134" s="134" customFormat="1" ht="36" customHeight="1" spans="1:92">
      <c r="A134" s="134">
        <v>127</v>
      </c>
      <c r="C134" s="443">
        <v>45527</v>
      </c>
      <c r="D134" s="134">
        <v>20240004828</v>
      </c>
      <c r="E134" s="1006" t="s">
        <v>1179</v>
      </c>
      <c r="F134" s="429" t="s">
        <v>1180</v>
      </c>
      <c r="G134" s="143" t="s">
        <v>1164</v>
      </c>
      <c r="H134" s="128"/>
      <c r="I134" s="134" t="s">
        <v>370</v>
      </c>
      <c r="J134" s="134">
        <v>14</v>
      </c>
      <c r="K134" s="134">
        <v>55.92</v>
      </c>
      <c r="L134" s="134">
        <v>55.92</v>
      </c>
      <c r="M134" s="134">
        <v>20781.43</v>
      </c>
      <c r="N134" s="441">
        <v>1162098</v>
      </c>
      <c r="O134" s="359">
        <v>20000</v>
      </c>
      <c r="P134" s="134"/>
      <c r="Q134" s="145">
        <v>1066144.95</v>
      </c>
      <c r="R134" s="1006" t="s">
        <v>1181</v>
      </c>
      <c r="S134" s="443">
        <v>45618</v>
      </c>
      <c r="T134" s="359"/>
      <c r="U134" s="413"/>
      <c r="V134" s="413"/>
      <c r="W134" s="413"/>
      <c r="X134" s="359">
        <v>315000</v>
      </c>
      <c r="Y134" s="413" t="s">
        <v>1182</v>
      </c>
      <c r="Z134" s="359">
        <v>168000</v>
      </c>
      <c r="AA134" s="413">
        <v>45536</v>
      </c>
      <c r="AB134" s="134">
        <v>678890</v>
      </c>
      <c r="AC134" s="138">
        <v>45541</v>
      </c>
      <c r="AD134" s="359">
        <v>208</v>
      </c>
      <c r="AE134" s="413" t="s">
        <v>957</v>
      </c>
      <c r="AF134" s="134"/>
      <c r="AG134" s="138"/>
      <c r="AL134" s="359">
        <f t="shared" si="38"/>
        <v>1162098</v>
      </c>
      <c r="AO134" s="418">
        <f t="shared" si="35"/>
        <v>0</v>
      </c>
      <c r="AP134" s="134">
        <v>13779245999</v>
      </c>
      <c r="AT134" s="419">
        <f t="shared" si="33"/>
        <v>800</v>
      </c>
      <c r="AU134" s="419">
        <f>200</f>
        <v>200</v>
      </c>
      <c r="AV134" s="359"/>
      <c r="AW134" s="359">
        <f>200+200</f>
        <v>400</v>
      </c>
      <c r="AX134" s="359">
        <v>200</v>
      </c>
      <c r="AY134" s="359"/>
      <c r="AZ134" s="359"/>
      <c r="BA134" s="359"/>
      <c r="BB134" s="359"/>
      <c r="BC134" s="359">
        <f t="shared" si="34"/>
        <v>1161890</v>
      </c>
      <c r="BD134" s="513">
        <f>1%+0.14%</f>
        <v>0.0114</v>
      </c>
      <c r="BE134" s="359"/>
      <c r="BF134" s="359"/>
      <c r="BG134" s="359"/>
      <c r="BH134" s="359"/>
      <c r="BI134" s="359"/>
      <c r="BJ134" s="359"/>
      <c r="BK134" s="359"/>
      <c r="BL134" s="359"/>
      <c r="BM134" s="359"/>
      <c r="BN134" s="359"/>
      <c r="BO134" s="359"/>
      <c r="BP134" s="359"/>
      <c r="BQ134" s="359"/>
      <c r="BR134" s="359"/>
      <c r="BS134" s="359">
        <v>1161890</v>
      </c>
      <c r="BT134" s="359"/>
      <c r="BU134" s="359"/>
      <c r="BV134" s="359"/>
      <c r="BW134" s="359"/>
      <c r="BX134" s="359"/>
      <c r="BY134" s="359"/>
      <c r="BZ134" s="359"/>
      <c r="CA134" s="359"/>
      <c r="CB134" s="359"/>
      <c r="CC134" s="359"/>
      <c r="CD134" s="359"/>
      <c r="CE134" s="359"/>
      <c r="CF134" s="359"/>
      <c r="CG134" s="359"/>
      <c r="CH134" s="359"/>
      <c r="CI134" s="134"/>
      <c r="CK134" s="134" t="s">
        <v>376</v>
      </c>
      <c r="CN134" s="134" t="s">
        <v>377</v>
      </c>
    </row>
    <row r="135" s="134" customFormat="1" ht="72" customHeight="1" spans="1:92">
      <c r="A135" s="134">
        <v>128</v>
      </c>
      <c r="C135" s="443">
        <v>45114</v>
      </c>
      <c r="D135" s="134">
        <v>20230005699</v>
      </c>
      <c r="E135" s="1006" t="s">
        <v>1183</v>
      </c>
      <c r="F135" s="429" t="s">
        <v>1184</v>
      </c>
      <c r="G135" s="143" t="s">
        <v>1185</v>
      </c>
      <c r="H135" s="128"/>
      <c r="I135" s="134" t="s">
        <v>370</v>
      </c>
      <c r="J135" s="134">
        <v>15</v>
      </c>
      <c r="K135" s="134">
        <v>42.7</v>
      </c>
      <c r="L135" s="134">
        <v>42.7</v>
      </c>
      <c r="M135" s="134">
        <v>17880.15</v>
      </c>
      <c r="N135" s="441">
        <v>763483</v>
      </c>
      <c r="O135" s="359">
        <v>17680.15</v>
      </c>
      <c r="Q135" s="145">
        <v>700443.12</v>
      </c>
      <c r="R135" s="1006" t="s">
        <v>1186</v>
      </c>
      <c r="S135" s="443">
        <v>45768</v>
      </c>
      <c r="T135" s="359"/>
      <c r="U135" s="413"/>
      <c r="V135" s="413" t="s">
        <v>1187</v>
      </c>
      <c r="W135" s="413" t="s">
        <v>1188</v>
      </c>
      <c r="X135" s="359">
        <f>5000-5000+5000</f>
        <v>5000</v>
      </c>
      <c r="Y135" s="413" t="s">
        <v>1189</v>
      </c>
      <c r="Z135" s="359">
        <v>95000</v>
      </c>
      <c r="AA135" s="417" t="s">
        <v>458</v>
      </c>
      <c r="AB135" s="359">
        <f>563304+100000</f>
        <v>663304</v>
      </c>
      <c r="AC135" s="417" t="s">
        <v>1175</v>
      </c>
      <c r="AD135" s="359">
        <v>179</v>
      </c>
      <c r="AE135" s="413" t="s">
        <v>1146</v>
      </c>
      <c r="AL135" s="359">
        <f t="shared" si="38"/>
        <v>763483</v>
      </c>
      <c r="AO135" s="418">
        <f t="shared" si="35"/>
        <v>0</v>
      </c>
      <c r="AP135" s="134">
        <v>13999605768</v>
      </c>
      <c r="AT135" s="419">
        <f t="shared" si="33"/>
        <v>600</v>
      </c>
      <c r="AU135" s="419"/>
      <c r="AV135" s="359"/>
      <c r="AW135" s="359">
        <f>200+200+200</f>
        <v>600</v>
      </c>
      <c r="AX135" s="359"/>
      <c r="AY135" s="359"/>
      <c r="AZ135" s="359"/>
      <c r="BA135" s="359"/>
      <c r="BB135" s="359"/>
      <c r="BC135" s="359">
        <f t="shared" si="34"/>
        <v>763304</v>
      </c>
      <c r="BD135" s="513">
        <f>0.8%+0.18%+0.25%</f>
        <v>0.0123</v>
      </c>
      <c r="BE135" s="359">
        <v>763304</v>
      </c>
      <c r="BF135" s="359"/>
      <c r="BG135" s="359"/>
      <c r="BH135" s="359"/>
      <c r="BI135" s="359"/>
      <c r="BJ135" s="359"/>
      <c r="BK135" s="359"/>
      <c r="BL135" s="359"/>
      <c r="BM135" s="359"/>
      <c r="BN135" s="359"/>
      <c r="BO135" s="359"/>
      <c r="BP135" s="359"/>
      <c r="BQ135" s="359"/>
      <c r="BR135" s="359"/>
      <c r="BS135" s="359"/>
      <c r="BT135" s="359"/>
      <c r="BU135" s="359"/>
      <c r="BV135" s="359"/>
      <c r="BW135" s="359"/>
      <c r="BX135" s="359"/>
      <c r="BY135" s="359"/>
      <c r="BZ135" s="359"/>
      <c r="CA135" s="359"/>
      <c r="CB135" s="359"/>
      <c r="CC135" s="359"/>
      <c r="CD135" s="359"/>
      <c r="CE135" s="359"/>
      <c r="CF135" s="359"/>
      <c r="CG135" s="359"/>
      <c r="CH135" s="359"/>
      <c r="CI135" s="134"/>
      <c r="CK135" s="134" t="s">
        <v>376</v>
      </c>
      <c r="CL135" s="134" t="s">
        <v>387</v>
      </c>
      <c r="CN135" s="134" t="s">
        <v>377</v>
      </c>
    </row>
    <row r="136" s="134" customFormat="1" ht="28" customHeight="1" spans="1:92">
      <c r="A136" s="134">
        <v>129</v>
      </c>
      <c r="C136" s="443">
        <v>45204</v>
      </c>
      <c r="D136" s="134">
        <v>20230008663</v>
      </c>
      <c r="E136" s="1006" t="s">
        <v>1190</v>
      </c>
      <c r="F136" s="429" t="s">
        <v>1191</v>
      </c>
      <c r="G136" s="143" t="s">
        <v>1192</v>
      </c>
      <c r="H136" s="128"/>
      <c r="I136" s="134" t="s">
        <v>370</v>
      </c>
      <c r="J136" s="134">
        <v>16</v>
      </c>
      <c r="K136" s="134">
        <v>42.7</v>
      </c>
      <c r="L136" s="134">
        <v>42.7</v>
      </c>
      <c r="M136" s="134">
        <v>17214.88</v>
      </c>
      <c r="N136" s="441">
        <v>735076</v>
      </c>
      <c r="O136" s="359">
        <v>17214.88</v>
      </c>
      <c r="Q136" s="145">
        <v>674381.65</v>
      </c>
      <c r="R136" s="1006" t="s">
        <v>1193</v>
      </c>
      <c r="S136" s="443">
        <v>45768</v>
      </c>
      <c r="T136" s="359"/>
      <c r="U136" s="138"/>
      <c r="V136" s="413" t="s">
        <v>1194</v>
      </c>
      <c r="W136" s="413" t="s">
        <v>1195</v>
      </c>
      <c r="X136" s="359">
        <f>10000</f>
        <v>10000</v>
      </c>
      <c r="Y136" s="413" t="s">
        <v>964</v>
      </c>
      <c r="Z136" s="359">
        <v>90000</v>
      </c>
      <c r="AA136" s="417" t="s">
        <v>448</v>
      </c>
      <c r="AB136" s="359">
        <v>267903</v>
      </c>
      <c r="AC136" s="138" t="s">
        <v>587</v>
      </c>
      <c r="AD136" s="359">
        <v>67000</v>
      </c>
      <c r="AE136" s="138" t="s">
        <v>1015</v>
      </c>
      <c r="AF136" s="359">
        <v>300000</v>
      </c>
      <c r="AG136" s="138" t="s">
        <v>1196</v>
      </c>
      <c r="AL136" s="359">
        <f t="shared" si="38"/>
        <v>734903</v>
      </c>
      <c r="AO136" s="418">
        <f t="shared" si="35"/>
        <v>173</v>
      </c>
      <c r="AP136" s="134">
        <v>13565086261</v>
      </c>
      <c r="AT136" s="419">
        <f t="shared" si="33"/>
        <v>200</v>
      </c>
      <c r="AU136" s="419">
        <f>200</f>
        <v>200</v>
      </c>
      <c r="AV136" s="359"/>
      <c r="AW136" s="359"/>
      <c r="AX136" s="359"/>
      <c r="AY136" s="359"/>
      <c r="AZ136" s="359"/>
      <c r="BA136" s="359"/>
      <c r="BB136" s="359"/>
      <c r="BC136" s="359">
        <f t="shared" si="34"/>
        <v>734903</v>
      </c>
      <c r="BD136" s="513">
        <f>1%+0.25%</f>
        <v>0.0125</v>
      </c>
      <c r="BE136" s="359"/>
      <c r="BF136" s="359"/>
      <c r="BG136" s="359"/>
      <c r="BH136" s="359"/>
      <c r="BI136" s="359"/>
      <c r="BJ136" s="359"/>
      <c r="BK136" s="359"/>
      <c r="BL136" s="359"/>
      <c r="BM136" s="359">
        <v>734903</v>
      </c>
      <c r="BN136" s="359"/>
      <c r="BO136" s="359"/>
      <c r="BP136" s="359"/>
      <c r="BQ136" s="359"/>
      <c r="BR136" s="359"/>
      <c r="BS136" s="359"/>
      <c r="BT136" s="359"/>
      <c r="BU136" s="359"/>
      <c r="BV136" s="359"/>
      <c r="BW136" s="359"/>
      <c r="BX136" s="359"/>
      <c r="BY136" s="359"/>
      <c r="BZ136" s="359"/>
      <c r="CA136" s="359"/>
      <c r="CB136" s="359"/>
      <c r="CC136" s="359"/>
      <c r="CD136" s="359"/>
      <c r="CE136" s="359"/>
      <c r="CF136" s="359"/>
      <c r="CG136" s="359"/>
      <c r="CH136" s="359"/>
      <c r="CI136" s="134"/>
      <c r="CK136" s="134" t="s">
        <v>376</v>
      </c>
      <c r="CL136" s="134" t="s">
        <v>387</v>
      </c>
      <c r="CN136" s="134" t="s">
        <v>377</v>
      </c>
    </row>
    <row r="137" s="134" customFormat="1" ht="28" customHeight="1" spans="1:92">
      <c r="A137" s="134">
        <v>130</v>
      </c>
      <c r="C137" s="443">
        <v>45109</v>
      </c>
      <c r="D137" s="134">
        <v>20230005464</v>
      </c>
      <c r="E137" s="1006" t="s">
        <v>1197</v>
      </c>
      <c r="F137" s="429" t="s">
        <v>1198</v>
      </c>
      <c r="G137" s="143" t="s">
        <v>1199</v>
      </c>
      <c r="H137" s="128"/>
      <c r="I137" s="134" t="s">
        <v>370</v>
      </c>
      <c r="J137" s="134">
        <v>17</v>
      </c>
      <c r="K137" s="134">
        <v>42.7</v>
      </c>
      <c r="L137" s="134">
        <v>42.7</v>
      </c>
      <c r="M137" s="134">
        <v>17621.83</v>
      </c>
      <c r="N137" s="441">
        <v>752453</v>
      </c>
      <c r="O137" s="359">
        <v>17121.83</v>
      </c>
      <c r="P137" s="134"/>
      <c r="Q137" s="145">
        <v>690323.85</v>
      </c>
      <c r="R137" s="1006" t="s">
        <v>1200</v>
      </c>
      <c r="S137" s="443">
        <v>45712</v>
      </c>
      <c r="T137" s="359"/>
      <c r="U137" s="138"/>
      <c r="V137" s="440" t="s">
        <v>1201</v>
      </c>
      <c r="W137" s="413" t="s">
        <v>1202</v>
      </c>
      <c r="X137" s="359">
        <f>5000</f>
        <v>5000</v>
      </c>
      <c r="Y137" s="138" t="s">
        <v>926</v>
      </c>
      <c r="Z137" s="359">
        <v>95000</v>
      </c>
      <c r="AA137" s="417" t="s">
        <v>458</v>
      </c>
      <c r="AB137" s="359">
        <v>652276</v>
      </c>
      <c r="AC137" s="417" t="s">
        <v>994</v>
      </c>
      <c r="AD137" s="359">
        <v>177</v>
      </c>
      <c r="AE137" s="138" t="s">
        <v>489</v>
      </c>
      <c r="AL137" s="359">
        <f t="shared" si="38"/>
        <v>752453</v>
      </c>
      <c r="AO137" s="418">
        <f t="shared" si="35"/>
        <v>0</v>
      </c>
      <c r="AP137" s="134">
        <v>13779237535</v>
      </c>
      <c r="AT137" s="419">
        <f t="shared" si="33"/>
        <v>200</v>
      </c>
      <c r="AU137" s="419"/>
      <c r="AV137" s="359"/>
      <c r="AW137" s="359">
        <v>200</v>
      </c>
      <c r="AX137" s="359"/>
      <c r="AY137" s="359"/>
      <c r="AZ137" s="359"/>
      <c r="BA137" s="359"/>
      <c r="BB137" s="359"/>
      <c r="BC137" s="359">
        <f t="shared" si="34"/>
        <v>752276</v>
      </c>
      <c r="BD137" s="513">
        <f t="shared" si="39"/>
        <v>0.0143</v>
      </c>
      <c r="BE137" s="359">
        <v>752276</v>
      </c>
      <c r="BF137" s="359"/>
      <c r="BG137" s="359"/>
      <c r="BH137" s="359"/>
      <c r="BI137" s="359"/>
      <c r="BJ137" s="359"/>
      <c r="BK137" s="359"/>
      <c r="BL137" s="359"/>
      <c r="BM137" s="359"/>
      <c r="BN137" s="359"/>
      <c r="BO137" s="359"/>
      <c r="BP137" s="359"/>
      <c r="BQ137" s="359"/>
      <c r="BR137" s="359"/>
      <c r="BS137" s="359"/>
      <c r="BT137" s="359"/>
      <c r="BU137" s="359"/>
      <c r="BV137" s="359"/>
      <c r="BW137" s="359"/>
      <c r="BX137" s="359"/>
      <c r="BY137" s="359"/>
      <c r="BZ137" s="359"/>
      <c r="CA137" s="359"/>
      <c r="CB137" s="359"/>
      <c r="CC137" s="359"/>
      <c r="CD137" s="359"/>
      <c r="CE137" s="359"/>
      <c r="CF137" s="359"/>
      <c r="CG137" s="359"/>
      <c r="CH137" s="359"/>
      <c r="CI137" s="134"/>
      <c r="CK137" s="134" t="s">
        <v>376</v>
      </c>
      <c r="CL137" s="134" t="s">
        <v>387</v>
      </c>
      <c r="CN137" s="134" t="s">
        <v>377</v>
      </c>
    </row>
    <row r="138" s="134" customFormat="1" ht="53" customHeight="1" spans="1:92">
      <c r="A138" s="134">
        <v>131</v>
      </c>
      <c r="C138" s="443">
        <v>45107</v>
      </c>
      <c r="D138" s="134">
        <v>20230005448</v>
      </c>
      <c r="E138" s="1006" t="s">
        <v>1203</v>
      </c>
      <c r="F138" s="429" t="s">
        <v>1204</v>
      </c>
      <c r="G138" s="143" t="s">
        <v>1205</v>
      </c>
      <c r="H138" s="128"/>
      <c r="I138" s="134" t="s">
        <v>370</v>
      </c>
      <c r="J138" s="134">
        <v>18</v>
      </c>
      <c r="K138" s="134">
        <v>42.8</v>
      </c>
      <c r="L138" s="134">
        <v>42.8</v>
      </c>
      <c r="M138" s="134">
        <v>17400</v>
      </c>
      <c r="N138" s="441">
        <v>744720</v>
      </c>
      <c r="O138" s="359">
        <v>17026.06</v>
      </c>
      <c r="Q138" s="145">
        <v>683229.36</v>
      </c>
      <c r="R138" s="1006" t="s">
        <v>1206</v>
      </c>
      <c r="S138" s="443">
        <v>45618</v>
      </c>
      <c r="T138" s="359"/>
      <c r="U138" s="138"/>
      <c r="V138" s="413"/>
      <c r="W138" s="413" t="s">
        <v>1207</v>
      </c>
      <c r="X138" s="359">
        <v>100000</v>
      </c>
      <c r="Y138" s="417" t="s">
        <v>448</v>
      </c>
      <c r="Z138" s="359">
        <v>644546</v>
      </c>
      <c r="AA138" s="417" t="s">
        <v>1208</v>
      </c>
      <c r="AB138" s="359">
        <v>174</v>
      </c>
      <c r="AC138" s="138" t="s">
        <v>1209</v>
      </c>
      <c r="AL138" s="359">
        <f t="shared" si="38"/>
        <v>744720</v>
      </c>
      <c r="AO138" s="418">
        <f t="shared" si="35"/>
        <v>0</v>
      </c>
      <c r="AP138" s="134">
        <v>15899013998</v>
      </c>
      <c r="AT138" s="419">
        <f t="shared" si="33"/>
        <v>800</v>
      </c>
      <c r="AU138" s="419"/>
      <c r="AV138" s="359">
        <v>200</v>
      </c>
      <c r="AW138" s="359">
        <f>200+200</f>
        <v>400</v>
      </c>
      <c r="AX138" s="359"/>
      <c r="AY138" s="359"/>
      <c r="AZ138" s="359">
        <v>200</v>
      </c>
      <c r="BA138" s="359"/>
      <c r="BB138" s="359"/>
      <c r="BC138" s="359">
        <f t="shared" si="34"/>
        <v>0</v>
      </c>
      <c r="BD138" s="513">
        <f t="shared" si="39"/>
        <v>0.0143</v>
      </c>
      <c r="BE138" s="359"/>
      <c r="BF138" s="359"/>
      <c r="BG138" s="359"/>
      <c r="BH138" s="359"/>
      <c r="BI138" s="359"/>
      <c r="BJ138" s="359"/>
      <c r="BK138" s="359"/>
      <c r="BL138" s="359"/>
      <c r="BM138" s="359"/>
      <c r="BN138" s="359"/>
      <c r="BO138" s="359"/>
      <c r="BP138" s="359"/>
      <c r="BQ138" s="359"/>
      <c r="BR138" s="359"/>
      <c r="BS138" s="359"/>
      <c r="BT138" s="359"/>
      <c r="BU138" s="359"/>
      <c r="BV138" s="359"/>
      <c r="BW138" s="359"/>
      <c r="BX138" s="359"/>
      <c r="BY138" s="359"/>
      <c r="BZ138" s="359"/>
      <c r="CA138" s="359"/>
      <c r="CB138" s="359"/>
      <c r="CC138" s="359"/>
      <c r="CD138" s="359"/>
      <c r="CE138" s="359"/>
      <c r="CF138" s="359"/>
      <c r="CG138" s="359"/>
      <c r="CH138" s="359"/>
      <c r="CI138" s="134"/>
      <c r="CK138" s="134" t="s">
        <v>376</v>
      </c>
      <c r="CL138" s="134" t="s">
        <v>387</v>
      </c>
      <c r="CN138" s="134" t="s">
        <v>377</v>
      </c>
    </row>
    <row r="139" s="134" customFormat="1" ht="36" customHeight="1" spans="1:92">
      <c r="A139" s="134">
        <v>132</v>
      </c>
      <c r="C139" s="443">
        <v>45110</v>
      </c>
      <c r="D139" s="134">
        <v>20230005507</v>
      </c>
      <c r="E139" s="1006" t="s">
        <v>1210</v>
      </c>
      <c r="F139" s="429" t="s">
        <v>1120</v>
      </c>
      <c r="G139" s="143" t="s">
        <v>1211</v>
      </c>
      <c r="H139" s="128"/>
      <c r="I139" s="134" t="s">
        <v>370</v>
      </c>
      <c r="J139" s="134">
        <v>19</v>
      </c>
      <c r="K139" s="134">
        <v>42.7</v>
      </c>
      <c r="L139" s="134">
        <v>42.7</v>
      </c>
      <c r="M139" s="134">
        <v>16956.55</v>
      </c>
      <c r="N139" s="441">
        <v>724045</v>
      </c>
      <c r="O139" s="359">
        <v>16656.57</v>
      </c>
      <c r="Q139" s="145">
        <v>664261.47</v>
      </c>
      <c r="R139" s="1006" t="s">
        <v>1212</v>
      </c>
      <c r="S139" s="443">
        <v>45768</v>
      </c>
      <c r="T139" s="359"/>
      <c r="U139" s="138"/>
      <c r="V139" s="413"/>
      <c r="W139" s="413" t="s">
        <v>1213</v>
      </c>
      <c r="X139" s="359">
        <f>10000-10000+100000</f>
        <v>100000</v>
      </c>
      <c r="Y139" s="413" t="s">
        <v>1214</v>
      </c>
      <c r="Z139" s="359">
        <v>123875</v>
      </c>
      <c r="AA139" s="417" t="s">
        <v>1215</v>
      </c>
      <c r="AB139" s="359">
        <v>200000</v>
      </c>
      <c r="AC139" s="138" t="s">
        <v>1127</v>
      </c>
      <c r="AD139" s="134">
        <v>300000</v>
      </c>
      <c r="AE139" s="134" t="s">
        <v>1077</v>
      </c>
      <c r="AF139" s="359">
        <v>170</v>
      </c>
      <c r="AG139" s="138" t="s">
        <v>1129</v>
      </c>
      <c r="AL139" s="359">
        <f t="shared" si="38"/>
        <v>724045</v>
      </c>
      <c r="AO139" s="418">
        <f t="shared" si="35"/>
        <v>0</v>
      </c>
      <c r="AP139" s="134">
        <v>13899005378</v>
      </c>
      <c r="AT139" s="419">
        <f t="shared" si="33"/>
        <v>1100</v>
      </c>
      <c r="AU139" s="419"/>
      <c r="AV139" s="359">
        <v>200</v>
      </c>
      <c r="AW139" s="359">
        <v>200</v>
      </c>
      <c r="AX139" s="359">
        <v>200</v>
      </c>
      <c r="AY139" s="359">
        <v>200</v>
      </c>
      <c r="AZ139" s="359"/>
      <c r="BA139" s="359">
        <v>300</v>
      </c>
      <c r="BB139" s="359"/>
      <c r="BC139" s="359">
        <f t="shared" si="34"/>
        <v>723875</v>
      </c>
      <c r="BD139" s="513">
        <f t="shared" si="39"/>
        <v>0.0143</v>
      </c>
      <c r="BE139" s="359"/>
      <c r="BF139" s="359"/>
      <c r="BG139" s="359"/>
      <c r="BH139" s="359">
        <v>723875</v>
      </c>
      <c r="BI139" s="359"/>
      <c r="BJ139" s="359"/>
      <c r="BK139" s="359"/>
      <c r="BL139" s="359"/>
      <c r="BM139" s="359"/>
      <c r="BN139" s="359"/>
      <c r="BO139" s="359"/>
      <c r="BP139" s="359"/>
      <c r="BQ139" s="359"/>
      <c r="BR139" s="359"/>
      <c r="BS139" s="359"/>
      <c r="BT139" s="359"/>
      <c r="BU139" s="359"/>
      <c r="BV139" s="359"/>
      <c r="BW139" s="359"/>
      <c r="BX139" s="359"/>
      <c r="BY139" s="359"/>
      <c r="BZ139" s="359"/>
      <c r="CA139" s="359"/>
      <c r="CB139" s="359"/>
      <c r="CC139" s="359"/>
      <c r="CD139" s="359"/>
      <c r="CE139" s="359"/>
      <c r="CF139" s="359"/>
      <c r="CG139" s="359"/>
      <c r="CH139" s="359"/>
      <c r="CI139" s="134"/>
      <c r="CK139" s="134" t="s">
        <v>376</v>
      </c>
      <c r="CL139" s="134" t="s">
        <v>387</v>
      </c>
      <c r="CN139" s="134" t="s">
        <v>377</v>
      </c>
    </row>
    <row r="140" s="134" customFormat="1" ht="23" customHeight="1" spans="1:92">
      <c r="A140" s="134">
        <v>133</v>
      </c>
      <c r="C140" s="443">
        <v>45130</v>
      </c>
      <c r="D140" s="134">
        <v>20230006200</v>
      </c>
      <c r="E140" s="1006" t="s">
        <v>1216</v>
      </c>
      <c r="F140" s="429" t="s">
        <v>1114</v>
      </c>
      <c r="G140" s="143" t="s">
        <v>1115</v>
      </c>
      <c r="H140" s="128"/>
      <c r="I140" s="134" t="s">
        <v>370</v>
      </c>
      <c r="J140" s="134">
        <v>20</v>
      </c>
      <c r="K140" s="134">
        <v>42.7</v>
      </c>
      <c r="L140" s="134">
        <v>42.7</v>
      </c>
      <c r="M140" s="134">
        <v>16942.67</v>
      </c>
      <c r="N140" s="441">
        <v>723452</v>
      </c>
      <c r="O140" s="359">
        <v>16842.67</v>
      </c>
      <c r="Q140" s="145">
        <v>663717.43</v>
      </c>
      <c r="R140" s="1006" t="s">
        <v>1217</v>
      </c>
      <c r="S140" s="443">
        <v>45618</v>
      </c>
      <c r="T140" s="359"/>
      <c r="U140" s="413"/>
      <c r="V140" s="413"/>
      <c r="W140" s="413" t="s">
        <v>1218</v>
      </c>
      <c r="X140" s="359">
        <f>100000</f>
        <v>100000</v>
      </c>
      <c r="Y140" s="413" t="s">
        <v>458</v>
      </c>
      <c r="Z140" s="359">
        <v>623283</v>
      </c>
      <c r="AA140" s="413" t="s">
        <v>1112</v>
      </c>
      <c r="AB140" s="359">
        <v>169</v>
      </c>
      <c r="AC140" s="413" t="s">
        <v>957</v>
      </c>
      <c r="AL140" s="359">
        <f t="shared" si="38"/>
        <v>723452</v>
      </c>
      <c r="AO140" s="418">
        <f t="shared" si="35"/>
        <v>0</v>
      </c>
      <c r="AP140" s="134">
        <v>15209968666</v>
      </c>
      <c r="AT140" s="419">
        <f t="shared" si="33"/>
        <v>1200</v>
      </c>
      <c r="AU140" s="419">
        <f>200</f>
        <v>200</v>
      </c>
      <c r="AV140" s="359">
        <v>200</v>
      </c>
      <c r="AW140" s="359">
        <v>200</v>
      </c>
      <c r="AX140" s="359"/>
      <c r="AY140" s="359"/>
      <c r="AZ140" s="359"/>
      <c r="BA140" s="359">
        <f>300+300</f>
        <v>600</v>
      </c>
      <c r="BB140" s="359"/>
      <c r="BC140" s="359">
        <f t="shared" si="34"/>
        <v>723283</v>
      </c>
      <c r="BD140" s="513">
        <f>1%+0.25%</f>
        <v>0.0125</v>
      </c>
      <c r="BE140" s="359">
        <v>723283</v>
      </c>
      <c r="BF140" s="359"/>
      <c r="BG140" s="359"/>
      <c r="BH140" s="359"/>
      <c r="BI140" s="359"/>
      <c r="BJ140" s="359"/>
      <c r="BK140" s="359"/>
      <c r="BL140" s="359"/>
      <c r="BM140" s="359"/>
      <c r="BN140" s="359"/>
      <c r="BO140" s="359"/>
      <c r="BP140" s="359"/>
      <c r="BQ140" s="359"/>
      <c r="BR140" s="359"/>
      <c r="BS140" s="359"/>
      <c r="BT140" s="359"/>
      <c r="BU140" s="359"/>
      <c r="BV140" s="359"/>
      <c r="BW140" s="359"/>
      <c r="BX140" s="359"/>
      <c r="BY140" s="359"/>
      <c r="BZ140" s="359"/>
      <c r="CA140" s="359"/>
      <c r="CB140" s="359"/>
      <c r="CC140" s="359"/>
      <c r="CD140" s="359"/>
      <c r="CE140" s="359"/>
      <c r="CF140" s="359"/>
      <c r="CG140" s="359"/>
      <c r="CH140" s="359"/>
      <c r="CI140" s="134"/>
      <c r="CK140" s="134" t="s">
        <v>376</v>
      </c>
      <c r="CL140" s="134" t="s">
        <v>387</v>
      </c>
      <c r="CN140" s="134" t="s">
        <v>377</v>
      </c>
    </row>
    <row r="141" s="134" customFormat="1" ht="54" customHeight="1" spans="1:92">
      <c r="A141" s="134">
        <v>134</v>
      </c>
      <c r="C141" s="443">
        <v>45130</v>
      </c>
      <c r="D141" s="134">
        <v>20230006190</v>
      </c>
      <c r="E141" s="1006" t="s">
        <v>1219</v>
      </c>
      <c r="F141" s="429" t="s">
        <v>1108</v>
      </c>
      <c r="G141" s="143" t="s">
        <v>1109</v>
      </c>
      <c r="H141" s="128"/>
      <c r="I141" s="134" t="s">
        <v>370</v>
      </c>
      <c r="J141" s="134">
        <v>21</v>
      </c>
      <c r="K141" s="134">
        <v>42.7</v>
      </c>
      <c r="L141" s="134">
        <v>42.7</v>
      </c>
      <c r="M141" s="134">
        <v>16849.62</v>
      </c>
      <c r="N141" s="441">
        <v>719479</v>
      </c>
      <c r="O141" s="359">
        <v>16749.62</v>
      </c>
      <c r="Q141" s="145">
        <v>660072.48</v>
      </c>
      <c r="R141" s="1006" t="s">
        <v>1220</v>
      </c>
      <c r="S141" s="443">
        <v>45618</v>
      </c>
      <c r="T141" s="359"/>
      <c r="U141" s="138"/>
      <c r="V141" s="413"/>
      <c r="W141" s="413" t="s">
        <v>1111</v>
      </c>
      <c r="X141" s="359">
        <v>100000</v>
      </c>
      <c r="Y141" s="413" t="s">
        <v>458</v>
      </c>
      <c r="Z141" s="359">
        <v>619310</v>
      </c>
      <c r="AA141" s="138" t="s">
        <v>1112</v>
      </c>
      <c r="AB141" s="359">
        <v>169</v>
      </c>
      <c r="AC141" s="138" t="s">
        <v>957</v>
      </c>
      <c r="AL141" s="359">
        <f t="shared" si="38"/>
        <v>719479</v>
      </c>
      <c r="AO141" s="418">
        <f t="shared" si="35"/>
        <v>0</v>
      </c>
      <c r="AP141" s="134">
        <v>1520998666</v>
      </c>
      <c r="AT141" s="419">
        <f t="shared" si="33"/>
        <v>200</v>
      </c>
      <c r="AU141" s="419"/>
      <c r="AV141" s="359"/>
      <c r="AW141" s="359">
        <v>200</v>
      </c>
      <c r="AX141" s="359"/>
      <c r="AY141" s="359"/>
      <c r="AZ141" s="359"/>
      <c r="BA141" s="359"/>
      <c r="BB141" s="359"/>
      <c r="BC141" s="359">
        <f t="shared" si="34"/>
        <v>719310</v>
      </c>
      <c r="BD141" s="513">
        <f>1%+0.25%</f>
        <v>0.0125</v>
      </c>
      <c r="BE141" s="359">
        <v>719310</v>
      </c>
      <c r="BF141" s="359"/>
      <c r="BG141" s="359"/>
      <c r="BH141" s="359"/>
      <c r="BI141" s="359"/>
      <c r="BJ141" s="359"/>
      <c r="BK141" s="359"/>
      <c r="BL141" s="359"/>
      <c r="BM141" s="359"/>
      <c r="BN141" s="359"/>
      <c r="BO141" s="359"/>
      <c r="BP141" s="359"/>
      <c r="BQ141" s="359"/>
      <c r="BR141" s="359"/>
      <c r="BS141" s="359"/>
      <c r="BT141" s="359"/>
      <c r="BU141" s="359"/>
      <c r="BV141" s="359"/>
      <c r="BW141" s="359"/>
      <c r="BX141" s="359"/>
      <c r="BY141" s="359"/>
      <c r="BZ141" s="359"/>
      <c r="CA141" s="359"/>
      <c r="CB141" s="359"/>
      <c r="CC141" s="359"/>
      <c r="CD141" s="359"/>
      <c r="CE141" s="359"/>
      <c r="CF141" s="359"/>
      <c r="CG141" s="359"/>
      <c r="CH141" s="359"/>
      <c r="CI141" s="134"/>
      <c r="CK141" s="134" t="s">
        <v>376</v>
      </c>
      <c r="CL141" s="134" t="s">
        <v>387</v>
      </c>
      <c r="CN141" s="134" t="s">
        <v>377</v>
      </c>
    </row>
    <row r="142" s="134" customFormat="1" customHeight="1" spans="1:92">
      <c r="A142" s="134">
        <v>135</v>
      </c>
      <c r="C142" s="443">
        <v>45149</v>
      </c>
      <c r="D142" s="134">
        <v>20230006850</v>
      </c>
      <c r="E142" s="1006" t="s">
        <v>1221</v>
      </c>
      <c r="F142" s="429" t="s">
        <v>1097</v>
      </c>
      <c r="G142" s="143" t="s">
        <v>1098</v>
      </c>
      <c r="H142" s="128"/>
      <c r="I142" s="134" t="s">
        <v>370</v>
      </c>
      <c r="J142" s="134">
        <v>22</v>
      </c>
      <c r="K142" s="134">
        <v>42.7</v>
      </c>
      <c r="L142" s="134">
        <v>42.7</v>
      </c>
      <c r="M142" s="134">
        <v>17135</v>
      </c>
      <c r="N142" s="441">
        <v>731665</v>
      </c>
      <c r="O142" s="359">
        <v>16935.72</v>
      </c>
      <c r="Q142" s="145">
        <v>671252.29</v>
      </c>
      <c r="R142" s="1006" t="s">
        <v>1222</v>
      </c>
      <c r="S142" s="443">
        <v>45768</v>
      </c>
      <c r="T142" s="359"/>
      <c r="U142" s="138"/>
      <c r="V142" s="138"/>
      <c r="W142" s="413" t="s">
        <v>1101</v>
      </c>
      <c r="X142" s="359">
        <v>100000</v>
      </c>
      <c r="Y142" s="413" t="s">
        <v>458</v>
      </c>
      <c r="Z142" s="359">
        <f>120000+151493</f>
        <v>271493</v>
      </c>
      <c r="AA142" s="138" t="s">
        <v>1223</v>
      </c>
      <c r="AB142" s="359">
        <v>360000</v>
      </c>
      <c r="AC142" s="138" t="s">
        <v>1036</v>
      </c>
      <c r="AL142" s="359">
        <f t="shared" si="38"/>
        <v>731493</v>
      </c>
      <c r="AO142" s="418">
        <f t="shared" si="35"/>
        <v>172</v>
      </c>
      <c r="AT142" s="419">
        <f t="shared" si="33"/>
        <v>200</v>
      </c>
      <c r="AU142" s="419"/>
      <c r="AV142" s="359"/>
      <c r="AW142" s="359">
        <v>200</v>
      </c>
      <c r="AX142" s="359"/>
      <c r="AY142" s="359"/>
      <c r="AZ142" s="359"/>
      <c r="BA142" s="359"/>
      <c r="BB142" s="359"/>
      <c r="BC142" s="359">
        <f t="shared" si="34"/>
        <v>731493</v>
      </c>
      <c r="BD142" s="513">
        <f>1%+0.25%</f>
        <v>0.0125</v>
      </c>
      <c r="BE142" s="359"/>
      <c r="BF142" s="359">
        <v>371493</v>
      </c>
      <c r="BG142" s="359">
        <v>360000</v>
      </c>
      <c r="BH142" s="359"/>
      <c r="BI142" s="359"/>
      <c r="BJ142" s="359"/>
      <c r="BK142" s="359"/>
      <c r="BL142" s="359"/>
      <c r="BM142" s="359"/>
      <c r="BN142" s="359"/>
      <c r="BO142" s="359"/>
      <c r="BP142" s="359"/>
      <c r="BQ142" s="359"/>
      <c r="BR142" s="359"/>
      <c r="BS142" s="359"/>
      <c r="BT142" s="359"/>
      <c r="BU142" s="359"/>
      <c r="BV142" s="359"/>
      <c r="BW142" s="359"/>
      <c r="BX142" s="359"/>
      <c r="BY142" s="359"/>
      <c r="BZ142" s="359"/>
      <c r="CA142" s="359"/>
      <c r="CB142" s="359"/>
      <c r="CC142" s="359"/>
      <c r="CD142" s="359"/>
      <c r="CE142" s="359"/>
      <c r="CF142" s="359"/>
      <c r="CG142" s="359"/>
      <c r="CH142" s="359"/>
      <c r="CI142" s="134"/>
      <c r="CK142" s="134" t="s">
        <v>376</v>
      </c>
      <c r="CL142" s="134" t="s">
        <v>387</v>
      </c>
      <c r="CN142" s="134" t="s">
        <v>377</v>
      </c>
    </row>
    <row r="143" s="134" customFormat="1" ht="68" customHeight="1" spans="1:92">
      <c r="A143" s="134">
        <v>136</v>
      </c>
      <c r="C143" s="443">
        <v>45149</v>
      </c>
      <c r="D143" s="134">
        <v>20230006852</v>
      </c>
      <c r="E143" s="1006" t="s">
        <v>1224</v>
      </c>
      <c r="F143" s="429" t="s">
        <v>1097</v>
      </c>
      <c r="G143" s="143" t="s">
        <v>1098</v>
      </c>
      <c r="H143" s="128"/>
      <c r="I143" s="134" t="s">
        <v>370</v>
      </c>
      <c r="J143" s="134">
        <v>23</v>
      </c>
      <c r="K143" s="134">
        <v>41.69</v>
      </c>
      <c r="L143" s="134">
        <v>41.69</v>
      </c>
      <c r="M143" s="134">
        <v>17201.58</v>
      </c>
      <c r="N143" s="441">
        <v>717135</v>
      </c>
      <c r="O143" s="359">
        <v>17121.41</v>
      </c>
      <c r="Q143" s="145">
        <v>657922.02</v>
      </c>
      <c r="R143" s="1006" t="s">
        <v>1225</v>
      </c>
      <c r="S143" s="443">
        <v>45768</v>
      </c>
      <c r="T143" s="359"/>
      <c r="U143" s="138"/>
      <c r="V143" s="143"/>
      <c r="W143" s="143" t="s">
        <v>1226</v>
      </c>
      <c r="X143" s="359">
        <f>5000-5000+100000</f>
        <v>100000</v>
      </c>
      <c r="Y143" s="413" t="s">
        <v>1227</v>
      </c>
      <c r="Z143" s="359">
        <f>165537+1425</f>
        <v>166962</v>
      </c>
      <c r="AA143" s="138" t="s">
        <v>1103</v>
      </c>
      <c r="AB143" s="359">
        <v>100000</v>
      </c>
      <c r="AC143" s="138" t="s">
        <v>1223</v>
      </c>
      <c r="AD143" s="359">
        <v>350000</v>
      </c>
      <c r="AE143" s="138" t="s">
        <v>1036</v>
      </c>
      <c r="AL143" s="359">
        <f t="shared" si="38"/>
        <v>716962</v>
      </c>
      <c r="AO143" s="418">
        <f t="shared" si="35"/>
        <v>173</v>
      </c>
      <c r="AT143" s="419">
        <f t="shared" si="33"/>
        <v>400</v>
      </c>
      <c r="AU143" s="419"/>
      <c r="AV143" s="359"/>
      <c r="AW143" s="359">
        <f>200+200</f>
        <v>400</v>
      </c>
      <c r="AX143" s="359"/>
      <c r="AY143" s="359"/>
      <c r="AZ143" s="359"/>
      <c r="BA143" s="359"/>
      <c r="BB143" s="359"/>
      <c r="BC143" s="359">
        <f t="shared" si="34"/>
        <v>716962</v>
      </c>
      <c r="BD143" s="513">
        <f>1%+0.25%</f>
        <v>0.0125</v>
      </c>
      <c r="BE143" s="359"/>
      <c r="BF143" s="359">
        <v>366962</v>
      </c>
      <c r="BG143" s="359">
        <v>350000</v>
      </c>
      <c r="BH143" s="359"/>
      <c r="BI143" s="359"/>
      <c r="BJ143" s="359"/>
      <c r="BK143" s="359"/>
      <c r="BL143" s="359"/>
      <c r="BM143" s="359"/>
      <c r="BN143" s="359"/>
      <c r="BO143" s="359"/>
      <c r="BP143" s="359"/>
      <c r="BQ143" s="359"/>
      <c r="BR143" s="359"/>
      <c r="BS143" s="359"/>
      <c r="BT143" s="359"/>
      <c r="BU143" s="359"/>
      <c r="BV143" s="359"/>
      <c r="BW143" s="359"/>
      <c r="BX143" s="359"/>
      <c r="BY143" s="359"/>
      <c r="BZ143" s="359"/>
      <c r="CA143" s="359"/>
      <c r="CB143" s="359"/>
      <c r="CC143" s="359"/>
      <c r="CD143" s="359"/>
      <c r="CE143" s="359"/>
      <c r="CF143" s="359"/>
      <c r="CG143" s="359"/>
      <c r="CH143" s="359"/>
      <c r="CI143" s="134"/>
      <c r="CK143" s="134" t="s">
        <v>376</v>
      </c>
      <c r="CL143" s="134" t="s">
        <v>387</v>
      </c>
      <c r="CN143" s="134" t="s">
        <v>377</v>
      </c>
    </row>
    <row r="144" s="134" customFormat="1" customHeight="1" spans="1:92">
      <c r="A144" s="134">
        <v>137</v>
      </c>
      <c r="C144" s="443">
        <v>45130</v>
      </c>
      <c r="D144" s="134">
        <v>20230006202</v>
      </c>
      <c r="E144" s="1006" t="s">
        <v>1228</v>
      </c>
      <c r="F144" s="429" t="s">
        <v>1087</v>
      </c>
      <c r="G144" s="143" t="s">
        <v>1229</v>
      </c>
      <c r="H144" s="128"/>
      <c r="I144" s="134" t="s">
        <v>370</v>
      </c>
      <c r="J144" s="134">
        <v>24</v>
      </c>
      <c r="K144" s="134">
        <v>58.46</v>
      </c>
      <c r="L144" s="134">
        <v>58.46</v>
      </c>
      <c r="M144" s="134">
        <v>19436.81</v>
      </c>
      <c r="N144" s="441">
        <v>1136276</v>
      </c>
      <c r="O144" s="359">
        <v>19336.81</v>
      </c>
      <c r="Q144" s="145">
        <v>1042455.05</v>
      </c>
      <c r="R144" s="1006" t="s">
        <v>1230</v>
      </c>
      <c r="S144" s="443">
        <v>45621</v>
      </c>
      <c r="T144" s="359"/>
      <c r="U144" s="413"/>
      <c r="V144" s="138"/>
      <c r="W144" s="413" t="s">
        <v>1231</v>
      </c>
      <c r="X144" s="359">
        <v>100000</v>
      </c>
      <c r="Y144" s="413" t="s">
        <v>1094</v>
      </c>
      <c r="Z144" s="359">
        <v>1036082</v>
      </c>
      <c r="AA144" s="413" t="s">
        <v>1095</v>
      </c>
      <c r="AB144" s="359">
        <v>194</v>
      </c>
      <c r="AC144" s="413" t="s">
        <v>957</v>
      </c>
      <c r="AL144" s="359">
        <f t="shared" si="38"/>
        <v>1136276</v>
      </c>
      <c r="AO144" s="418">
        <f t="shared" si="35"/>
        <v>0</v>
      </c>
      <c r="AT144" s="419">
        <f t="shared" si="33"/>
        <v>200</v>
      </c>
      <c r="AU144" s="419"/>
      <c r="AV144" s="359"/>
      <c r="AW144" s="359"/>
      <c r="AX144" s="359"/>
      <c r="AY144" s="359"/>
      <c r="AZ144" s="359">
        <v>200</v>
      </c>
      <c r="BA144" s="359"/>
      <c r="BB144" s="359"/>
      <c r="BC144" s="359">
        <f t="shared" si="34"/>
        <v>1136082</v>
      </c>
      <c r="BD144" s="513">
        <f t="shared" ref="BD144:BD146" si="40">1%+0.18%+0.25%</f>
        <v>0.0143</v>
      </c>
      <c r="BE144" s="359">
        <v>1136082</v>
      </c>
      <c r="BF144" s="359"/>
      <c r="BG144" s="359"/>
      <c r="BH144" s="359"/>
      <c r="BI144" s="359"/>
      <c r="BJ144" s="359"/>
      <c r="BK144" s="359"/>
      <c r="BL144" s="359"/>
      <c r="BM144" s="359"/>
      <c r="BN144" s="359"/>
      <c r="BO144" s="359"/>
      <c r="BP144" s="359"/>
      <c r="BQ144" s="359"/>
      <c r="BR144" s="359"/>
      <c r="BS144" s="359"/>
      <c r="BT144" s="359"/>
      <c r="BU144" s="359"/>
      <c r="BV144" s="359"/>
      <c r="BW144" s="359"/>
      <c r="BX144" s="359"/>
      <c r="BY144" s="359"/>
      <c r="BZ144" s="359"/>
      <c r="CA144" s="359"/>
      <c r="CB144" s="359"/>
      <c r="CC144" s="359"/>
      <c r="CD144" s="359"/>
      <c r="CE144" s="359"/>
      <c r="CF144" s="359"/>
      <c r="CG144" s="359"/>
      <c r="CH144" s="359"/>
      <c r="CI144" s="134"/>
      <c r="CK144" s="134" t="s">
        <v>376</v>
      </c>
      <c r="CL144" s="134" t="s">
        <v>387</v>
      </c>
      <c r="CN144" s="134" t="s">
        <v>377</v>
      </c>
    </row>
    <row r="145" s="134" customFormat="1" customHeight="1" spans="1:100">
      <c r="A145" s="134">
        <v>138</v>
      </c>
      <c r="C145" s="443">
        <v>45566</v>
      </c>
      <c r="D145" s="134">
        <v>20240005476</v>
      </c>
      <c r="F145" s="429" t="s">
        <v>1232</v>
      </c>
      <c r="G145" s="134" t="s">
        <v>1233</v>
      </c>
      <c r="H145" s="128"/>
      <c r="I145" s="134" t="s">
        <v>477</v>
      </c>
      <c r="J145" s="134">
        <v>1</v>
      </c>
      <c r="K145" s="134">
        <v>351.53</v>
      </c>
      <c r="L145" s="134">
        <v>351.53</v>
      </c>
      <c r="M145" s="134">
        <v>9925</v>
      </c>
      <c r="N145" s="441">
        <v>3488935</v>
      </c>
      <c r="O145" s="359">
        <v>9439.37</v>
      </c>
      <c r="Q145" s="145">
        <v>3200857.8</v>
      </c>
      <c r="R145" s="1006" t="s">
        <v>1234</v>
      </c>
      <c r="S145" s="443">
        <v>45590</v>
      </c>
      <c r="T145" s="359"/>
      <c r="U145" s="138"/>
      <c r="V145" s="138"/>
      <c r="W145" s="138"/>
      <c r="X145" s="359">
        <v>10000</v>
      </c>
      <c r="Y145" s="138" t="s">
        <v>1235</v>
      </c>
      <c r="Z145" s="359">
        <v>30000</v>
      </c>
      <c r="AA145" s="138" t="s">
        <v>1236</v>
      </c>
      <c r="AB145" s="359">
        <v>1720298</v>
      </c>
      <c r="AC145" s="138">
        <v>45538</v>
      </c>
      <c r="AD145" s="359">
        <v>900000</v>
      </c>
      <c r="AE145" s="138">
        <v>45563</v>
      </c>
      <c r="AF145" s="359">
        <v>860000</v>
      </c>
      <c r="AG145" s="138" t="s">
        <v>1237</v>
      </c>
      <c r="AH145" s="359">
        <v>-31363</v>
      </c>
      <c r="AI145" s="138"/>
      <c r="AL145" s="359">
        <f t="shared" si="38"/>
        <v>3488935</v>
      </c>
      <c r="AO145" s="418">
        <f t="shared" si="35"/>
        <v>0</v>
      </c>
      <c r="AT145" s="419">
        <f t="shared" si="33"/>
        <v>0</v>
      </c>
      <c r="AU145" s="419"/>
      <c r="AV145" s="359"/>
      <c r="AW145" s="359"/>
      <c r="AX145" s="359"/>
      <c r="AY145" s="359"/>
      <c r="AZ145" s="359"/>
      <c r="BA145" s="359"/>
      <c r="BB145" s="359"/>
      <c r="BC145" s="359">
        <f t="shared" si="34"/>
        <v>3488935</v>
      </c>
      <c r="BD145" s="513">
        <f>1%+0.18%+0.2%</f>
        <v>0.0138</v>
      </c>
      <c r="BE145" s="359"/>
      <c r="BF145" s="359"/>
      <c r="BG145" s="359"/>
      <c r="BH145" s="359"/>
      <c r="BI145" s="359"/>
      <c r="BJ145" s="359"/>
      <c r="BK145" s="359"/>
      <c r="BL145" s="359"/>
      <c r="BM145" s="359"/>
      <c r="BN145" s="359"/>
      <c r="BO145" s="359"/>
      <c r="BP145" s="359"/>
      <c r="BQ145" s="359"/>
      <c r="BR145" s="359"/>
      <c r="BS145" s="359"/>
      <c r="BT145" s="359">
        <v>3488935</v>
      </c>
      <c r="BU145" s="359"/>
      <c r="BV145" s="359"/>
      <c r="BW145" s="359"/>
      <c r="BX145" s="359"/>
      <c r="BY145" s="359"/>
      <c r="BZ145" s="359"/>
      <c r="CA145" s="359"/>
      <c r="CB145" s="359"/>
      <c r="CC145" s="359"/>
      <c r="CD145" s="359"/>
      <c r="CE145" s="359"/>
      <c r="CF145" s="359"/>
      <c r="CG145" s="359"/>
      <c r="CH145" s="359"/>
      <c r="CI145" s="134"/>
      <c r="CK145" s="134" t="s">
        <v>376</v>
      </c>
      <c r="CN145" s="134" t="s">
        <v>377</v>
      </c>
    </row>
    <row r="146" s="149" customFormat="1" ht="39" customHeight="1" spans="1:100">
      <c r="A146" s="149">
        <v>139</v>
      </c>
      <c r="B146" s="149"/>
      <c r="C146" s="407"/>
      <c r="F146" s="451" t="s">
        <v>1238</v>
      </c>
      <c r="G146" s="401" t="s">
        <v>1239</v>
      </c>
      <c r="H146" s="101"/>
      <c r="I146" s="149" t="s">
        <v>477</v>
      </c>
      <c r="J146" s="149">
        <v>2</v>
      </c>
      <c r="K146" s="149">
        <v>312.83</v>
      </c>
      <c r="L146" s="149"/>
      <c r="M146" s="149"/>
      <c r="N146" s="491"/>
      <c r="O146" s="403">
        <v>9439.46</v>
      </c>
      <c r="P146" s="149"/>
      <c r="Q146" s="404"/>
      <c r="T146" s="403"/>
      <c r="U146" s="456"/>
      <c r="W146" s="401" t="s">
        <v>383</v>
      </c>
      <c r="X146" s="403">
        <f>100000-100000</f>
        <v>0</v>
      </c>
      <c r="Y146" s="456" t="s">
        <v>1240</v>
      </c>
      <c r="Z146" s="403"/>
      <c r="AA146" s="456"/>
      <c r="AC146" s="408"/>
      <c r="AL146" s="403">
        <f t="shared" si="38"/>
        <v>0</v>
      </c>
      <c r="AO146" s="547">
        <f t="shared" si="35"/>
        <v>0</v>
      </c>
      <c r="AP146" s="149">
        <v>15001560828</v>
      </c>
      <c r="AQ146" s="149" t="s">
        <v>690</v>
      </c>
      <c r="AT146" s="411">
        <f t="shared" si="33"/>
        <v>200</v>
      </c>
      <c r="AU146" s="411"/>
      <c r="AV146" s="403">
        <v>200</v>
      </c>
      <c r="AW146" s="403"/>
      <c r="AX146" s="403"/>
      <c r="AY146" s="403"/>
      <c r="AZ146" s="403"/>
      <c r="BA146" s="403"/>
      <c r="BB146" s="403"/>
      <c r="BC146" s="403">
        <f t="shared" si="34"/>
        <v>0</v>
      </c>
      <c r="BD146" s="566"/>
      <c r="BE146" s="403"/>
      <c r="BF146" s="403"/>
      <c r="BG146" s="403"/>
      <c r="BH146" s="403"/>
      <c r="BI146" s="403"/>
      <c r="BJ146" s="403"/>
      <c r="BK146" s="403"/>
      <c r="BL146" s="403"/>
      <c r="BM146" s="403"/>
      <c r="BN146" s="403"/>
      <c r="BO146" s="403"/>
      <c r="BP146" s="403"/>
      <c r="BQ146" s="403"/>
      <c r="BR146" s="403"/>
      <c r="BS146" s="403"/>
      <c r="BT146" s="403"/>
      <c r="BU146" s="403"/>
      <c r="BV146" s="403"/>
      <c r="BW146" s="403"/>
      <c r="BX146" s="403"/>
      <c r="BY146" s="403"/>
      <c r="BZ146" s="403"/>
      <c r="CA146" s="403"/>
      <c r="CB146" s="403"/>
      <c r="CC146" s="403"/>
      <c r="CD146" s="403"/>
      <c r="CE146" s="403"/>
      <c r="CF146" s="403"/>
      <c r="CG146" s="403"/>
      <c r="CH146" s="403"/>
      <c r="CK146" s="149" t="s">
        <v>376</v>
      </c>
    </row>
    <row r="147" s="149" customFormat="1" ht="35" customHeight="1" spans="1:100">
      <c r="A147" s="149">
        <v>140</v>
      </c>
      <c r="C147" s="407"/>
      <c r="F147" s="451"/>
      <c r="G147" s="149"/>
      <c r="H147" s="128"/>
      <c r="I147" s="149" t="s">
        <v>477</v>
      </c>
      <c r="J147" s="149">
        <v>3</v>
      </c>
      <c r="K147" s="149">
        <v>312.6</v>
      </c>
      <c r="N147" s="491"/>
      <c r="O147" s="403">
        <v>9994.46</v>
      </c>
      <c r="P147" s="149"/>
      <c r="Q147" s="404"/>
      <c r="T147" s="403"/>
      <c r="U147" s="456"/>
      <c r="V147" s="456"/>
      <c r="W147" s="456"/>
      <c r="X147" s="403"/>
      <c r="Y147" s="456"/>
      <c r="Z147" s="403"/>
      <c r="AA147" s="408"/>
      <c r="AC147" s="408"/>
      <c r="AL147" s="403">
        <f t="shared" si="38"/>
        <v>0</v>
      </c>
      <c r="AO147" s="547">
        <f t="shared" si="35"/>
        <v>0</v>
      </c>
      <c r="AT147" s="411">
        <f t="shared" si="33"/>
        <v>0</v>
      </c>
      <c r="AU147" s="401"/>
      <c r="BC147" s="403">
        <f t="shared" si="34"/>
        <v>0</v>
      </c>
      <c r="CS147" s="134"/>
      <c r="CV147" s="134"/>
    </row>
    <row r="148" s="134" customFormat="1" ht="35" customHeight="1" spans="1:100">
      <c r="A148" s="134">
        <v>141</v>
      </c>
      <c r="B148" s="134"/>
      <c r="C148" s="443">
        <v>46057</v>
      </c>
      <c r="D148" s="134">
        <v>20260000726</v>
      </c>
      <c r="F148" s="429" t="s">
        <v>1241</v>
      </c>
      <c r="G148" s="143" t="s">
        <v>1242</v>
      </c>
      <c r="H148" s="128"/>
      <c r="I148" s="134" t="s">
        <v>477</v>
      </c>
      <c r="J148" s="134">
        <v>4</v>
      </c>
      <c r="K148" s="134">
        <v>346.53</v>
      </c>
      <c r="L148" s="134">
        <v>346.53</v>
      </c>
      <c r="M148" s="134">
        <v>11000</v>
      </c>
      <c r="N148" s="441">
        <v>3811830</v>
      </c>
      <c r="O148" s="359">
        <v>11031</v>
      </c>
      <c r="P148" s="134"/>
      <c r="Q148" s="145"/>
      <c r="T148" s="359"/>
      <c r="U148" s="138"/>
      <c r="V148" s="420"/>
      <c r="W148" s="138" t="s">
        <v>840</v>
      </c>
      <c r="X148" s="359">
        <v>213551</v>
      </c>
      <c r="Y148" s="138" t="s">
        <v>1243</v>
      </c>
      <c r="Z148" s="359">
        <v>500000</v>
      </c>
      <c r="AA148" s="138">
        <v>46057</v>
      </c>
      <c r="AB148" s="359">
        <v>498279</v>
      </c>
      <c r="AC148" s="138" t="s">
        <v>1244</v>
      </c>
      <c r="AL148" s="359">
        <f t="shared" si="38"/>
        <v>1211830</v>
      </c>
      <c r="AO148" s="418">
        <f t="shared" si="35"/>
        <v>2600000</v>
      </c>
      <c r="AP148" s="134">
        <v>17799966228</v>
      </c>
      <c r="AT148" s="419">
        <f t="shared" si="33"/>
        <v>200</v>
      </c>
      <c r="AU148" s="419"/>
      <c r="AV148" s="359"/>
      <c r="AW148" s="359"/>
      <c r="AX148" s="359"/>
      <c r="AY148" s="359">
        <v>200</v>
      </c>
      <c r="AZ148" s="359"/>
      <c r="BA148" s="359"/>
      <c r="BB148" s="359"/>
      <c r="BC148" s="359">
        <f t="shared" si="34"/>
        <v>1211830</v>
      </c>
      <c r="BD148" s="140">
        <f>1%+0.25%+0.03%</f>
        <v>0.0128</v>
      </c>
      <c r="BE148" s="359"/>
      <c r="BF148" s="359"/>
      <c r="BG148" s="359"/>
      <c r="BH148" s="359"/>
      <c r="BI148" s="359"/>
      <c r="BJ148" s="359"/>
      <c r="BK148" s="359"/>
      <c r="BL148" s="359"/>
      <c r="BM148" s="359"/>
      <c r="BN148" s="359"/>
      <c r="BO148" s="359"/>
      <c r="BP148" s="359"/>
      <c r="BQ148" s="359"/>
      <c r="BR148" s="359"/>
      <c r="BS148" s="359"/>
      <c r="BT148" s="359"/>
      <c r="BU148" s="359"/>
      <c r="BV148" s="359"/>
      <c r="BW148" s="359"/>
      <c r="BX148" s="359"/>
      <c r="BY148" s="359"/>
      <c r="BZ148" s="359"/>
      <c r="CA148" s="359"/>
      <c r="CB148" s="359"/>
      <c r="CC148" s="359"/>
      <c r="CD148" s="359"/>
      <c r="CE148" s="359"/>
      <c r="CF148" s="359"/>
      <c r="CG148" s="359">
        <v>1211830</v>
      </c>
      <c r="CH148" s="359"/>
      <c r="CI148" s="134"/>
      <c r="CK148" s="134" t="s">
        <v>376</v>
      </c>
      <c r="CN148" s="134" t="s">
        <v>377</v>
      </c>
    </row>
    <row r="149" s="149" customFormat="1" ht="35" customHeight="1" spans="1:100">
      <c r="C149" s="407"/>
      <c r="F149" s="451"/>
      <c r="G149" s="401"/>
      <c r="H149" s="149"/>
      <c r="I149" s="149"/>
      <c r="J149" s="451"/>
      <c r="N149" s="491"/>
      <c r="O149" s="403"/>
      <c r="Q149" s="404"/>
      <c r="T149" s="403"/>
      <c r="U149" s="456"/>
      <c r="V149" s="456"/>
      <c r="W149" s="456"/>
      <c r="X149" s="403"/>
      <c r="Y149" s="456"/>
      <c r="Z149" s="403"/>
      <c r="AA149" s="456"/>
      <c r="AB149" s="403"/>
      <c r="AC149" s="456"/>
      <c r="AL149" s="403">
        <f t="shared" si="38"/>
        <v>0</v>
      </c>
      <c r="AO149" s="547"/>
      <c r="AT149" s="411">
        <f t="shared" si="33"/>
        <v>0</v>
      </c>
      <c r="AU149" s="401"/>
      <c r="BC149" s="403">
        <f t="shared" si="34"/>
        <v>0</v>
      </c>
      <c r="CS149" s="134"/>
      <c r="CV149" s="134"/>
    </row>
    <row r="150" s="149" customFormat="1" ht="35" customHeight="1" spans="1:100">
      <c r="C150" s="407"/>
      <c r="F150" s="451"/>
      <c r="J150" s="452"/>
      <c r="K150" s="149"/>
      <c r="N150" s="491"/>
      <c r="O150" s="403"/>
      <c r="Q150" s="404"/>
      <c r="T150" s="403"/>
      <c r="U150" s="456"/>
      <c r="X150" s="403"/>
      <c r="Y150" s="456"/>
      <c r="Z150" s="403"/>
      <c r="AA150" s="408"/>
      <c r="AC150" s="408"/>
      <c r="AL150" s="403">
        <f t="shared" si="38"/>
        <v>0</v>
      </c>
      <c r="AO150" s="547"/>
      <c r="AT150" s="411">
        <f t="shared" si="33"/>
        <v>200</v>
      </c>
      <c r="AU150" s="411"/>
      <c r="AV150" s="403"/>
      <c r="AW150" s="403">
        <v>200</v>
      </c>
      <c r="AX150" s="403"/>
      <c r="AY150" s="403"/>
      <c r="AZ150" s="403"/>
      <c r="BA150" s="403"/>
      <c r="BB150" s="403"/>
      <c r="BC150" s="403">
        <f t="shared" si="34"/>
        <v>0</v>
      </c>
      <c r="BD150" s="566"/>
      <c r="BE150" s="403"/>
      <c r="BF150" s="403"/>
      <c r="BG150" s="403"/>
      <c r="BH150" s="403"/>
      <c r="BI150" s="403"/>
      <c r="BJ150" s="403"/>
      <c r="BK150" s="403"/>
      <c r="BL150" s="403"/>
      <c r="BM150" s="403"/>
      <c r="BN150" s="403"/>
      <c r="BO150" s="403"/>
      <c r="BP150" s="403"/>
      <c r="BQ150" s="403"/>
      <c r="BR150" s="403"/>
      <c r="BS150" s="403"/>
      <c r="BT150" s="403"/>
      <c r="BU150" s="403"/>
      <c r="BV150" s="403"/>
      <c r="BW150" s="403"/>
      <c r="BX150" s="403"/>
      <c r="BY150" s="403"/>
      <c r="BZ150" s="403"/>
      <c r="CA150" s="403"/>
      <c r="CB150" s="403"/>
      <c r="CC150" s="403"/>
      <c r="CD150" s="403"/>
      <c r="CE150" s="403"/>
      <c r="CF150" s="403"/>
      <c r="CG150" s="403"/>
      <c r="CH150" s="403"/>
      <c r="CV150" s="134"/>
    </row>
    <row r="151" s="152" customFormat="1" ht="35" customHeight="1" spans="1:100">
      <c r="A151" s="550" t="s">
        <v>70</v>
      </c>
      <c r="B151" s="152">
        <f>SUM(B4:B150)</f>
        <v>0</v>
      </c>
      <c r="K151" s="152">
        <f>SUM(K4:K150)</f>
        <v>15319.5</v>
      </c>
      <c r="L151" s="152">
        <f>SUM(L4:L150)</f>
        <v>12409.42</v>
      </c>
      <c r="N151" s="152">
        <f>SUM(N4:N150)</f>
        <v>179684584</v>
      </c>
      <c r="Q151" s="152">
        <f>SUM(Q4:Q150)</f>
        <v>154446958.67</v>
      </c>
      <c r="T151" s="152">
        <f>SUM(T4:T150)</f>
        <v>250000</v>
      </c>
      <c r="X151" s="152">
        <f>SUM(X4:X150)</f>
        <v>13652906</v>
      </c>
      <c r="Z151" s="152">
        <f t="shared" ref="Z151:AE151" si="41">SUM(Z4:Z150)</f>
        <v>52187415</v>
      </c>
      <c r="AB151" s="152">
        <f t="shared" si="41"/>
        <v>55494959</v>
      </c>
      <c r="AD151" s="152">
        <f t="shared" si="41"/>
        <v>29042697</v>
      </c>
      <c r="AF151" s="152">
        <f t="shared" ref="AF151:AJ151" si="42">SUM(AF4:AF150)</f>
        <v>11499184</v>
      </c>
      <c r="AH151" s="152">
        <f t="shared" si="42"/>
        <v>5509619</v>
      </c>
      <c r="AJ151" s="152">
        <f t="shared" si="42"/>
        <v>7459166</v>
      </c>
      <c r="AL151" s="152">
        <f>SUM(AL4:AL150)</f>
        <v>174845946</v>
      </c>
      <c r="AM151" s="152">
        <f>SUM(AM4:AM150)</f>
        <v>0</v>
      </c>
      <c r="AN151" s="152">
        <f>SUM(AN4:AN150)</f>
        <v>0</v>
      </c>
      <c r="AO151" s="152">
        <f>SUM(AO4:AO150)</f>
        <v>4838638</v>
      </c>
      <c r="AS151" s="152">
        <f t="shared" ref="AS151:BC151" si="43">SUM(AS4:AS150)</f>
        <v>0</v>
      </c>
      <c r="AT151" s="152">
        <f t="shared" si="43"/>
        <v>52000</v>
      </c>
      <c r="AU151" s="152">
        <f t="shared" si="43"/>
        <v>7400</v>
      </c>
      <c r="AV151" s="152">
        <f t="shared" si="43"/>
        <v>11400</v>
      </c>
      <c r="AW151" s="152">
        <f t="shared" si="43"/>
        <v>8200</v>
      </c>
      <c r="AX151" s="152">
        <f t="shared" si="43"/>
        <v>2600</v>
      </c>
      <c r="AY151" s="152">
        <f t="shared" si="43"/>
        <v>7600</v>
      </c>
      <c r="AZ151" s="152">
        <f t="shared" si="43"/>
        <v>2200</v>
      </c>
      <c r="BA151" s="152">
        <f t="shared" si="43"/>
        <v>9900</v>
      </c>
      <c r="BB151" s="152">
        <f t="shared" si="43"/>
        <v>2700</v>
      </c>
      <c r="BC151" s="152">
        <f t="shared" si="43"/>
        <v>165341689</v>
      </c>
      <c r="BD151" s="567"/>
      <c r="BE151" s="152">
        <f t="shared" ref="BE151:CG151" si="44">SUM(BE4:BE150)</f>
        <v>17730216</v>
      </c>
      <c r="BF151" s="152">
        <f t="shared" si="44"/>
        <v>4111918</v>
      </c>
      <c r="BG151" s="152">
        <f t="shared" si="44"/>
        <v>4770516</v>
      </c>
      <c r="BH151" s="152">
        <f t="shared" si="44"/>
        <v>13604163</v>
      </c>
      <c r="BI151" s="152">
        <f t="shared" si="44"/>
        <v>3089045</v>
      </c>
      <c r="BJ151" s="152">
        <f t="shared" si="44"/>
        <v>8641180</v>
      </c>
      <c r="BK151" s="152">
        <f t="shared" si="44"/>
        <v>5030501</v>
      </c>
      <c r="BL151" s="152">
        <f t="shared" si="44"/>
        <v>2121800</v>
      </c>
      <c r="BM151" s="152">
        <f t="shared" si="44"/>
        <v>5955540</v>
      </c>
      <c r="BN151" s="152">
        <f t="shared" si="44"/>
        <v>4557422</v>
      </c>
      <c r="BO151" s="152">
        <f t="shared" si="44"/>
        <v>7398416</v>
      </c>
      <c r="BP151" s="152">
        <f t="shared" si="44"/>
        <v>4449700</v>
      </c>
      <c r="BQ151" s="152">
        <f t="shared" si="44"/>
        <v>10016139</v>
      </c>
      <c r="BR151" s="152">
        <f t="shared" si="44"/>
        <v>6940511</v>
      </c>
      <c r="BS151" s="152">
        <f t="shared" si="44"/>
        <v>13715313</v>
      </c>
      <c r="BT151" s="152">
        <f t="shared" si="44"/>
        <v>9258296</v>
      </c>
      <c r="BU151" s="152">
        <f t="shared" si="44"/>
        <v>15515679</v>
      </c>
      <c r="BV151" s="152">
        <f t="shared" si="44"/>
        <v>4606113</v>
      </c>
      <c r="BW151" s="152">
        <f t="shared" si="44"/>
        <v>4931738</v>
      </c>
      <c r="BX151" s="152">
        <f t="shared" si="44"/>
        <v>2789468</v>
      </c>
      <c r="BY151" s="152">
        <f t="shared" si="44"/>
        <v>2168070</v>
      </c>
      <c r="BZ151" s="152">
        <f t="shared" si="44"/>
        <v>2085040</v>
      </c>
      <c r="CA151" s="152">
        <f t="shared" si="44"/>
        <v>990722</v>
      </c>
      <c r="CB151" s="152">
        <f t="shared" si="44"/>
        <v>-520071</v>
      </c>
      <c r="CC151" s="152">
        <f t="shared" si="44"/>
        <v>5265780</v>
      </c>
      <c r="CD151" s="152">
        <f t="shared" si="44"/>
        <v>859005</v>
      </c>
      <c r="CE151" s="152">
        <f t="shared" si="44"/>
        <v>3614720</v>
      </c>
      <c r="CF151" s="152">
        <f t="shared" si="44"/>
        <v>432919</v>
      </c>
      <c r="CG151" s="152">
        <f t="shared" si="44"/>
        <v>1211830</v>
      </c>
      <c r="CI151" s="152">
        <f>SUM(CI4:CI150)</f>
        <v>0</v>
      </c>
      <c r="CN151" s="152">
        <f>SUM(CN4:CN150)</f>
        <v>0</v>
      </c>
      <c r="CO151" s="152">
        <f>SUM(CO4:CO150)</f>
        <v>0</v>
      </c>
      <c r="CP151" s="152">
        <f>SUM(CP4:CP150)</f>
        <v>1981.444</v>
      </c>
      <c r="CQ151" s="152">
        <f>SUM(CQ4:CQ150)</f>
        <v>1387.0108</v>
      </c>
      <c r="CR151" s="152">
        <f>SUM(CR4:CR150)</f>
        <v>594.4332</v>
      </c>
    </row>
    <row r="152" s="149" customFormat="1" ht="14.25" spans="1:100">
      <c r="F152" s="451"/>
      <c r="J152" s="451"/>
      <c r="N152" s="491"/>
      <c r="O152" s="403"/>
      <c r="P152" s="547"/>
      <c r="Q152" s="404"/>
      <c r="R152" s="547"/>
      <c r="S152" s="547" t="s">
        <v>1245</v>
      </c>
      <c r="T152" s="403"/>
      <c r="X152" s="403"/>
      <c r="Z152" s="403"/>
      <c r="AA152" s="408"/>
      <c r="AC152" s="408"/>
      <c r="AL152" s="403"/>
      <c r="AO152" s="547"/>
      <c r="AT152" s="403"/>
      <c r="AU152" s="403"/>
      <c r="AV152" s="403"/>
      <c r="AW152" s="403"/>
      <c r="AX152" s="403"/>
      <c r="AY152" s="403"/>
      <c r="AZ152" s="403"/>
      <c r="BA152" s="403"/>
      <c r="BB152" s="403"/>
      <c r="BC152" s="403"/>
      <c r="BD152" s="566"/>
      <c r="BE152" s="403"/>
      <c r="BF152" s="403"/>
      <c r="BG152" s="403"/>
      <c r="BH152" s="403"/>
      <c r="BI152" s="403"/>
      <c r="BJ152" s="403"/>
      <c r="BK152" s="403"/>
      <c r="BL152" s="403"/>
      <c r="BM152" s="403"/>
      <c r="BN152" s="403"/>
      <c r="BO152" s="403"/>
      <c r="BP152" s="403"/>
      <c r="BQ152" s="403"/>
      <c r="BR152" s="403"/>
      <c r="BS152" s="403"/>
      <c r="BT152" s="403"/>
      <c r="BU152" s="403"/>
      <c r="BV152" s="403"/>
      <c r="BW152" s="403"/>
      <c r="BX152" s="403">
        <f>BX151+'画堂春锦苑商业16#19#'!AT64</f>
        <v>6397540</v>
      </c>
      <c r="BY152" s="403"/>
      <c r="BZ152" s="403"/>
      <c r="CA152" s="403"/>
      <c r="CB152" s="403"/>
      <c r="CC152" s="403"/>
      <c r="CD152" s="403"/>
      <c r="CE152" s="403"/>
      <c r="CF152" s="403"/>
      <c r="CG152" s="403"/>
      <c r="CH152" s="403"/>
    </row>
    <row r="153" s="149" customFormat="1" ht="14.25" spans="1:100">
      <c r="F153" s="451"/>
      <c r="J153" s="451"/>
      <c r="N153" s="491"/>
      <c r="O153" s="403"/>
      <c r="P153" s="547"/>
      <c r="Q153" s="404"/>
      <c r="R153" s="547"/>
      <c r="S153" s="547" t="s">
        <v>1246</v>
      </c>
      <c r="T153" s="404">
        <v>250000</v>
      </c>
      <c r="X153" s="403"/>
      <c r="Z153" s="403"/>
      <c r="AA153" s="408"/>
      <c r="AC153" s="408"/>
      <c r="AL153" s="403"/>
      <c r="AO153" s="547"/>
      <c r="AT153" s="403"/>
      <c r="AU153" s="403"/>
      <c r="AV153" s="403"/>
      <c r="AW153" s="403"/>
      <c r="AX153" s="403"/>
      <c r="AY153" s="403"/>
      <c r="AZ153" s="403"/>
      <c r="BA153" s="403"/>
      <c r="BB153" s="403"/>
      <c r="BC153" s="403"/>
      <c r="BD153" s="566"/>
      <c r="BE153" s="403"/>
      <c r="BF153" s="403"/>
      <c r="BG153" s="403"/>
      <c r="BH153" s="403"/>
      <c r="BI153" s="403"/>
      <c r="BJ153" s="403"/>
      <c r="BK153" s="403"/>
      <c r="BL153" s="403"/>
      <c r="BM153" s="403"/>
      <c r="BN153" s="403"/>
      <c r="BO153" s="403"/>
      <c r="BP153" s="403"/>
      <c r="BQ153" s="403"/>
      <c r="BR153" s="403"/>
      <c r="BS153" s="403"/>
      <c r="BT153" s="403"/>
      <c r="BU153" s="403"/>
      <c r="BV153" s="403"/>
      <c r="BW153" s="403"/>
      <c r="BX153" s="403"/>
      <c r="BY153" s="403"/>
      <c r="BZ153" s="403"/>
      <c r="CA153" s="403"/>
      <c r="CB153" s="403"/>
      <c r="CC153" s="403"/>
      <c r="CD153" s="403"/>
      <c r="CE153" s="403"/>
      <c r="CF153" s="403"/>
      <c r="CG153" s="403"/>
      <c r="CH153" s="403"/>
    </row>
    <row r="154" s="149" customFormat="1" ht="14.25" spans="1:100">
      <c r="F154" s="451"/>
      <c r="J154" s="451"/>
      <c r="K154" s="149" t="s">
        <v>1247</v>
      </c>
      <c r="N154" s="491"/>
      <c r="O154" s="403"/>
      <c r="P154" s="547"/>
      <c r="Q154" s="404"/>
      <c r="R154" s="547"/>
      <c r="S154" s="149" t="s">
        <v>73</v>
      </c>
      <c r="T154" s="491"/>
      <c r="X154" s="465"/>
      <c r="Z154" s="403"/>
      <c r="AA154" s="408"/>
      <c r="AC154" s="408"/>
      <c r="AL154" s="403"/>
      <c r="AO154" s="547"/>
      <c r="AT154" s="403"/>
      <c r="AU154" s="403"/>
      <c r="AV154" s="403"/>
      <c r="AW154" s="403"/>
      <c r="AX154" s="403"/>
      <c r="AY154" s="403"/>
      <c r="AZ154" s="403"/>
      <c r="BA154" s="403"/>
      <c r="BB154" s="403"/>
      <c r="BC154" s="403"/>
      <c r="BD154" s="566"/>
      <c r="BE154" s="403"/>
      <c r="BF154" s="403"/>
      <c r="BG154" s="403"/>
      <c r="BH154" s="403"/>
      <c r="BI154" s="403"/>
      <c r="BJ154" s="403"/>
      <c r="BK154" s="403"/>
      <c r="BL154" s="403"/>
      <c r="BM154" s="403"/>
      <c r="BN154" s="403"/>
      <c r="BO154" s="403"/>
      <c r="BP154" s="403"/>
      <c r="BQ154" s="403"/>
      <c r="BR154" s="403"/>
      <c r="BS154" s="403"/>
      <c r="BT154" s="403"/>
      <c r="BU154" s="403"/>
      <c r="BV154" s="403"/>
      <c r="BW154" s="403"/>
      <c r="BX154" s="403"/>
      <c r="BY154" s="403"/>
      <c r="BZ154" s="403"/>
      <c r="CA154" s="403"/>
      <c r="CB154" s="403"/>
      <c r="CC154" s="403"/>
      <c r="CD154" s="403"/>
      <c r="CE154" s="403"/>
      <c r="CF154" s="403"/>
      <c r="CG154" s="403"/>
      <c r="CH154" s="403"/>
    </row>
    <row r="155" s="149" customFormat="1" ht="14.25" spans="1:100">
      <c r="F155" s="451"/>
      <c r="J155" s="451"/>
      <c r="N155" s="491"/>
      <c r="O155" s="403"/>
      <c r="P155" s="547"/>
      <c r="Q155" s="404"/>
      <c r="R155" s="547"/>
      <c r="S155" s="403"/>
      <c r="T155" s="404">
        <f>T153+T154</f>
        <v>250000</v>
      </c>
      <c r="X155" s="403"/>
      <c r="Z155" s="403"/>
      <c r="AA155" s="408"/>
      <c r="AB155" s="403"/>
      <c r="AC155" s="408"/>
      <c r="AL155" s="403"/>
      <c r="AO155" s="547"/>
      <c r="AT155" s="403"/>
      <c r="AU155" s="403"/>
      <c r="AV155" s="403"/>
      <c r="AW155" s="403"/>
      <c r="AX155" s="403"/>
      <c r="AY155" s="403"/>
      <c r="AZ155" s="403"/>
      <c r="BA155" s="403"/>
      <c r="BB155" s="403"/>
      <c r="BC155" s="403"/>
      <c r="BD155" s="566"/>
      <c r="BE155" s="403"/>
      <c r="BF155" s="403"/>
      <c r="BG155" s="403"/>
      <c r="BH155" s="403"/>
      <c r="BI155" s="403"/>
      <c r="BJ155" s="403"/>
      <c r="BK155" s="403"/>
      <c r="BL155" s="403"/>
      <c r="BM155" s="403"/>
      <c r="BN155" s="403"/>
      <c r="BO155" s="403"/>
      <c r="BP155" s="403"/>
      <c r="BQ155" s="403"/>
      <c r="BR155" s="403"/>
      <c r="BS155" s="403"/>
      <c r="BT155" s="403"/>
      <c r="BU155" s="403"/>
      <c r="BV155" s="403"/>
      <c r="BW155" s="403"/>
      <c r="BX155" s="403"/>
      <c r="BY155" s="403"/>
      <c r="BZ155" s="403"/>
      <c r="CA155" s="403"/>
      <c r="CB155" s="403"/>
      <c r="CC155" s="403"/>
      <c r="CD155" s="403"/>
      <c r="CE155" s="403"/>
      <c r="CF155" s="403"/>
      <c r="CG155" s="403"/>
      <c r="CH155" s="403"/>
    </row>
    <row r="156" ht="14.25" spans="1:100">
      <c r="S156" s="403"/>
      <c r="T156" s="149"/>
      <c r="U156" s="568"/>
      <c r="BD156" s="566"/>
    </row>
    <row r="157" ht="14.25" spans="1:100">
      <c r="S157" s="403"/>
      <c r="T157" s="149"/>
      <c r="U157" s="40"/>
      <c r="BD157" s="566"/>
    </row>
    <row r="158" ht="14.25" spans="1:100">
      <c r="T158" s="149"/>
      <c r="BD158" s="566"/>
    </row>
    <row r="159" ht="14.25" spans="1:100">
      <c r="T159" s="149"/>
    </row>
    <row r="160" ht="14.25" spans="1:100">
      <c r="T160" s="149"/>
    </row>
    <row r="161" ht="14.25" spans="20:88">
      <c r="T161" s="149"/>
    </row>
    <row r="162" ht="14.25" spans="20:88">
      <c r="T162" s="149"/>
    </row>
    <row r="163" ht="14.25" spans="20:88">
      <c r="T163" s="149"/>
    </row>
    <row r="164" ht="14.25" spans="20:88">
      <c r="T164" s="149"/>
    </row>
    <row r="165" ht="14.25" spans="20:88">
      <c r="T165" s="149"/>
      <c r="CI165" s="149" t="s">
        <v>1248</v>
      </c>
      <c r="CJ165" s="149">
        <v>52657.8</v>
      </c>
    </row>
    <row r="166" customHeight="1" spans="20:88">
      <c r="T166" s="149"/>
    </row>
  </sheetData>
  <autoFilter xmlns:etc="http://www.wps.cn/officeDocument/2017/etCustomData" ref="A3:CV165" etc:filterBottomFollowUsedRange="0">
    <extLst/>
  </autoFilter>
  <mergeCells count="82">
    <mergeCell ref="A1:AQ1"/>
    <mergeCell ref="Q2:R2"/>
    <mergeCell ref="X2:AE2"/>
    <mergeCell ref="AQ2:AS2"/>
    <mergeCell ref="A2:A3"/>
    <mergeCell ref="B2:B3"/>
    <mergeCell ref="C2:C3"/>
    <mergeCell ref="D2:D3"/>
    <mergeCell ref="E2:E3"/>
    <mergeCell ref="F2:F3"/>
    <mergeCell ref="G2:G3"/>
    <mergeCell ref="H2:H3"/>
    <mergeCell ref="H4:H26"/>
    <mergeCell ref="H27:H72"/>
    <mergeCell ref="H73:H92"/>
    <mergeCell ref="H93:H120"/>
    <mergeCell ref="H121:H148"/>
    <mergeCell ref="I2:I3"/>
    <mergeCell ref="J2:J3"/>
    <mergeCell ref="K2:K3"/>
    <mergeCell ref="L2:L3"/>
    <mergeCell ref="M2:M3"/>
    <mergeCell ref="M28:M31"/>
    <mergeCell ref="N2:N3"/>
    <mergeCell ref="O2:O3"/>
    <mergeCell ref="P2:P3"/>
    <mergeCell ref="S2:S3"/>
    <mergeCell ref="T2:T3"/>
    <mergeCell ref="U2:U3"/>
    <mergeCell ref="V2:V3"/>
    <mergeCell ref="W2:W3"/>
    <mergeCell ref="AL2:AL3"/>
    <mergeCell ref="AM2:AM3"/>
    <mergeCell ref="AN2:AN3"/>
    <mergeCell ref="AO2:AO3"/>
    <mergeCell ref="AP2:AP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I2:CI3"/>
    <mergeCell ref="CK2:CK3"/>
    <mergeCell ref="CL2:CL3"/>
    <mergeCell ref="CM2:CM3"/>
    <mergeCell ref="CO2:CO3"/>
    <mergeCell ref="CP2:CP3"/>
  </mergeCells>
  <pageMargins left="0.275" right="0.196527777777778" top="0.156944444444444" bottom="0.0388888888888889" header="0.236111111111111" footer="0.0784722222222222"/>
  <pageSetup paperSize="8" scale="10" orientation="portrait" horizontalDpi="300" verticalDpi="300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7" t="s">
        <v>1249</v>
      </c>
    </row>
    <row r="2" ht="15" spans="1:3">
      <c r="A2" s="537" t="s">
        <v>1250</v>
      </c>
    </row>
    <row r="3" ht="15" spans="1:3">
      <c r="A3" s="538" t="s">
        <v>1251</v>
      </c>
      <c r="C3" s="539" t="s">
        <v>1252</v>
      </c>
    </row>
    <row r="4" spans="1:3">
      <c r="A4" s="538" t="e">
        <v>#N/A</v>
      </c>
    </row>
    <row r="6" ht="15"/>
    <row r="7" spans="1:3">
      <c r="A7" s="540" t="s">
        <v>1253</v>
      </c>
    </row>
    <row r="8" spans="1:3">
      <c r="A8" s="541" t="s">
        <v>1254</v>
      </c>
    </row>
    <row r="9" spans="1:3">
      <c r="A9" s="542" t="s">
        <v>1255</v>
      </c>
    </row>
    <row r="10" spans="1:3">
      <c r="A10" s="541" t="s">
        <v>1256</v>
      </c>
    </row>
    <row r="11" ht="15" spans="1:3">
      <c r="A11" s="543" t="s">
        <v>1257</v>
      </c>
    </row>
    <row r="13" ht="15"/>
    <row r="14" ht="15" spans="1:3">
      <c r="A14" s="539" t="s">
        <v>1258</v>
      </c>
    </row>
    <row r="16" ht="15"/>
    <row r="17" ht="15" spans="1:3">
      <c r="C17" s="539" t="s">
        <v>1259</v>
      </c>
    </row>
    <row r="20" spans="1:3">
      <c r="A20" s="544" t="s">
        <v>1260</v>
      </c>
    </row>
    <row r="26" ht="15" spans="1:3">
      <c r="C26" s="545" t="s">
        <v>1261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7" t="s">
        <v>1249</v>
      </c>
    </row>
    <row r="2" ht="15" spans="1:3">
      <c r="A2" s="537" t="s">
        <v>1250</v>
      </c>
    </row>
    <row r="3" ht="15" spans="1:3">
      <c r="A3" s="538" t="s">
        <v>1251</v>
      </c>
      <c r="C3" s="539" t="s">
        <v>1252</v>
      </c>
    </row>
    <row r="4" spans="1:3">
      <c r="A4" s="538">
        <v>3</v>
      </c>
    </row>
    <row r="6" ht="15"/>
    <row r="7" spans="1:3">
      <c r="A7" s="540" t="s">
        <v>1253</v>
      </c>
    </row>
    <row r="8" spans="1:3">
      <c r="A8" s="541" t="s">
        <v>1254</v>
      </c>
    </row>
    <row r="9" spans="1:3">
      <c r="A9" s="542" t="s">
        <v>1255</v>
      </c>
    </row>
    <row r="10" spans="1:3">
      <c r="A10" s="541" t="s">
        <v>1256</v>
      </c>
    </row>
    <row r="11" ht="15" spans="1:3">
      <c r="A11" s="543" t="s">
        <v>1257</v>
      </c>
    </row>
    <row r="13" ht="15"/>
    <row r="14" ht="15" spans="1:3">
      <c r="A14" s="539" t="s">
        <v>1258</v>
      </c>
    </row>
    <row r="16" ht="15"/>
    <row r="17" ht="15" spans="1:3">
      <c r="C17" s="539" t="s">
        <v>1259</v>
      </c>
    </row>
    <row r="20" spans="1:3">
      <c r="A20" s="544" t="s">
        <v>1260</v>
      </c>
    </row>
    <row r="26" ht="15" spans="1:3">
      <c r="C26" s="545" t="s">
        <v>1261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7" t="s">
        <v>1249</v>
      </c>
    </row>
    <row r="2" ht="15" spans="1:3">
      <c r="A2" s="537" t="s">
        <v>1250</v>
      </c>
    </row>
    <row r="3" ht="15" spans="1:3">
      <c r="A3" s="538" t="s">
        <v>1251</v>
      </c>
      <c r="C3" s="539" t="s">
        <v>1252</v>
      </c>
    </row>
    <row r="4" spans="1:3">
      <c r="A4" s="538" t="e">
        <v>#N/A</v>
      </c>
    </row>
    <row r="6" ht="15"/>
    <row r="7" spans="1:3">
      <c r="A7" s="540" t="s">
        <v>1253</v>
      </c>
    </row>
    <row r="8" spans="1:3">
      <c r="A8" s="541" t="s">
        <v>1254</v>
      </c>
    </row>
    <row r="9" spans="1:3">
      <c r="A9" s="542" t="s">
        <v>1255</v>
      </c>
    </row>
    <row r="10" spans="1:3">
      <c r="A10" s="541" t="s">
        <v>1256</v>
      </c>
    </row>
    <row r="11" ht="15" spans="1:3">
      <c r="A11" s="543" t="s">
        <v>1257</v>
      </c>
    </row>
    <row r="13" ht="15"/>
    <row r="14" ht="15" spans="1:3">
      <c r="A14" s="539" t="s">
        <v>1258</v>
      </c>
    </row>
    <row r="16" ht="15"/>
    <row r="17" ht="15" spans="1:3">
      <c r="C17" s="539" t="s">
        <v>1259</v>
      </c>
    </row>
    <row r="20" spans="1:3">
      <c r="A20" s="544" t="s">
        <v>1260</v>
      </c>
    </row>
    <row r="26" ht="15" spans="1:3">
      <c r="C26" s="545" t="s">
        <v>1261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7" t="s">
        <v>1249</v>
      </c>
    </row>
    <row r="2" ht="15" spans="1:3">
      <c r="A2" s="537" t="s">
        <v>1250</v>
      </c>
    </row>
    <row r="3" ht="15" spans="1:3">
      <c r="A3" s="538" t="s">
        <v>1251</v>
      </c>
      <c r="C3" s="539" t="s">
        <v>1252</v>
      </c>
    </row>
    <row r="4" spans="1:3">
      <c r="A4" s="538">
        <v>3</v>
      </c>
    </row>
    <row r="6" ht="15"/>
    <row r="7" spans="1:3">
      <c r="A7" s="540" t="s">
        <v>1253</v>
      </c>
    </row>
    <row r="8" spans="1:3">
      <c r="A8" s="541" t="s">
        <v>1254</v>
      </c>
    </row>
    <row r="9" spans="1:3">
      <c r="A9" s="542" t="s">
        <v>1255</v>
      </c>
    </row>
    <row r="10" spans="1:3">
      <c r="A10" s="541" t="s">
        <v>1256</v>
      </c>
    </row>
    <row r="11" ht="15" spans="1:3">
      <c r="A11" s="543" t="s">
        <v>1257</v>
      </c>
    </row>
    <row r="13" ht="15"/>
    <row r="14" ht="15" spans="1:3">
      <c r="A14" s="539" t="s">
        <v>1258</v>
      </c>
    </row>
    <row r="16" ht="15"/>
    <row r="17" ht="15" spans="1:3">
      <c r="C17" s="539" t="s">
        <v>1259</v>
      </c>
    </row>
    <row r="20" spans="1:3">
      <c r="A20" s="544" t="s">
        <v>1260</v>
      </c>
    </row>
    <row r="26" ht="15" spans="1:3">
      <c r="C26" s="545" t="s">
        <v>1261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7" t="s">
        <v>1249</v>
      </c>
    </row>
    <row r="2" ht="15" spans="1:3">
      <c r="A2" s="537" t="s">
        <v>1250</v>
      </c>
    </row>
    <row r="3" ht="15" spans="1:3">
      <c r="A3" s="538" t="s">
        <v>1251</v>
      </c>
      <c r="C3" s="539" t="s">
        <v>1252</v>
      </c>
    </row>
    <row r="4" spans="1:3">
      <c r="A4" s="538">
        <v>3</v>
      </c>
    </row>
    <row r="6" ht="15"/>
    <row r="7" spans="1:3">
      <c r="A7" s="540" t="s">
        <v>1253</v>
      </c>
    </row>
    <row r="8" spans="1:3">
      <c r="A8" s="541" t="s">
        <v>1254</v>
      </c>
    </row>
    <row r="9" spans="1:3">
      <c r="A9" s="542" t="s">
        <v>1255</v>
      </c>
    </row>
    <row r="10" spans="1:3">
      <c r="A10" s="541" t="s">
        <v>1256</v>
      </c>
    </row>
    <row r="11" ht="15" spans="1:3">
      <c r="A11" s="543" t="s">
        <v>1257</v>
      </c>
    </row>
    <row r="13" ht="15"/>
    <row r="14" ht="15" spans="1:3">
      <c r="A14" s="539" t="s">
        <v>1258</v>
      </c>
    </row>
    <row r="16" ht="15"/>
    <row r="17" ht="15" spans="1:3">
      <c r="C17" s="539" t="s">
        <v>1259</v>
      </c>
    </row>
    <row r="20" spans="1:3">
      <c r="A20" s="544" t="s">
        <v>1260</v>
      </c>
    </row>
    <row r="26" ht="15" spans="1:3">
      <c r="C26" s="545" t="s">
        <v>1261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7" t="s">
        <v>1249</v>
      </c>
    </row>
    <row r="2" ht="15" spans="1:3">
      <c r="A2" s="537" t="s">
        <v>1250</v>
      </c>
    </row>
    <row r="3" ht="15" spans="1:3">
      <c r="A3" s="538" t="s">
        <v>1251</v>
      </c>
      <c r="C3" s="539" t="s">
        <v>1252</v>
      </c>
    </row>
    <row r="4" spans="1:3">
      <c r="A4" s="538">
        <v>3</v>
      </c>
    </row>
    <row r="6" ht="15"/>
    <row r="7" spans="1:3">
      <c r="A7" s="540" t="s">
        <v>1253</v>
      </c>
    </row>
    <row r="8" spans="1:3">
      <c r="A8" s="541" t="s">
        <v>1254</v>
      </c>
    </row>
    <row r="9" spans="1:3">
      <c r="A9" s="542" t="s">
        <v>1255</v>
      </c>
    </row>
    <row r="10" spans="1:3">
      <c r="A10" s="541" t="s">
        <v>1256</v>
      </c>
    </row>
    <row r="11" ht="15" spans="1:3">
      <c r="A11" s="543" t="s">
        <v>1257</v>
      </c>
    </row>
    <row r="13" ht="15"/>
    <row r="14" ht="15" spans="1:3">
      <c r="A14" s="539" t="s">
        <v>1258</v>
      </c>
    </row>
    <row r="16" ht="15"/>
    <row r="17" ht="15" spans="1:3">
      <c r="C17" s="539" t="s">
        <v>1259</v>
      </c>
    </row>
    <row r="20" spans="1:3">
      <c r="A20" s="544" t="s">
        <v>1260</v>
      </c>
    </row>
    <row r="26" ht="15" spans="1:3">
      <c r="C26" s="545" t="s">
        <v>1261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7" t="s">
        <v>1249</v>
      </c>
    </row>
    <row r="2" ht="15" spans="1:3">
      <c r="A2" s="537" t="s">
        <v>1250</v>
      </c>
    </row>
    <row r="3" ht="15" spans="1:3">
      <c r="A3" s="538" t="s">
        <v>1251</v>
      </c>
      <c r="C3" s="539" t="s">
        <v>1252</v>
      </c>
    </row>
    <row r="4" spans="1:3">
      <c r="A4" s="538">
        <v>3</v>
      </c>
    </row>
    <row r="6" ht="15"/>
    <row r="7" spans="1:3">
      <c r="A7" s="540" t="s">
        <v>1253</v>
      </c>
    </row>
    <row r="8" spans="1:3">
      <c r="A8" s="541" t="s">
        <v>1254</v>
      </c>
    </row>
    <row r="9" spans="1:3">
      <c r="A9" s="542" t="s">
        <v>1255</v>
      </c>
    </row>
    <row r="10" spans="1:3">
      <c r="A10" s="541" t="s">
        <v>1256</v>
      </c>
    </row>
    <row r="11" ht="15" spans="1:3">
      <c r="A11" s="543" t="s">
        <v>1257</v>
      </c>
    </row>
    <row r="13" ht="15"/>
    <row r="14" ht="15" spans="1:3">
      <c r="A14" s="539" t="s">
        <v>1258</v>
      </c>
    </row>
    <row r="16" ht="15"/>
    <row r="17" ht="15" spans="1:3">
      <c r="C17" s="539" t="s">
        <v>1259</v>
      </c>
    </row>
    <row r="20" spans="1:3">
      <c r="A20" s="544" t="s">
        <v>1260</v>
      </c>
    </row>
    <row r="26" ht="15" spans="1:3">
      <c r="C26" s="545" t="s">
        <v>1261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7" t="s">
        <v>1262</v>
      </c>
    </row>
    <row r="2" ht="15" spans="1:3">
      <c r="A2" s="537" t="s">
        <v>1250</v>
      </c>
    </row>
    <row r="3" ht="15" spans="1:3">
      <c r="A3" s="538" t="s">
        <v>1251</v>
      </c>
      <c r="C3" s="539" t="s">
        <v>1252</v>
      </c>
    </row>
    <row r="4" spans="1:3">
      <c r="A4" s="538" t="e">
        <v>#N/A</v>
      </c>
    </row>
    <row r="6" ht="15"/>
    <row r="7" spans="1:3">
      <c r="A7" s="540" t="s">
        <v>1253</v>
      </c>
    </row>
    <row r="8" spans="1:3">
      <c r="A8" s="541" t="s">
        <v>1254</v>
      </c>
    </row>
    <row r="9" spans="1:3">
      <c r="A9" s="542" t="s">
        <v>1255</v>
      </c>
    </row>
    <row r="10" spans="1:3">
      <c r="A10" s="541" t="s">
        <v>1256</v>
      </c>
    </row>
    <row r="11" ht="15" spans="1:3">
      <c r="A11" s="543" t="s">
        <v>1257</v>
      </c>
    </row>
    <row r="13" ht="15"/>
    <row r="14" ht="15" spans="1:3">
      <c r="A14" s="539" t="s">
        <v>1258</v>
      </c>
    </row>
    <row r="16" ht="15"/>
    <row r="17" ht="15" spans="1:3">
      <c r="C17" s="539" t="s">
        <v>1259</v>
      </c>
    </row>
    <row r="20" spans="1:3">
      <c r="A20" s="544" t="s">
        <v>1260</v>
      </c>
    </row>
    <row r="26" ht="15" spans="1:3">
      <c r="C26" s="545" t="s">
        <v>1261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7" t="s">
        <v>1262</v>
      </c>
    </row>
    <row r="2" ht="15" spans="1:3">
      <c r="A2" s="537" t="s">
        <v>1250</v>
      </c>
    </row>
    <row r="3" ht="15" spans="1:3">
      <c r="A3" s="538" t="s">
        <v>1251</v>
      </c>
      <c r="C3" s="539" t="s">
        <v>1252</v>
      </c>
    </row>
    <row r="4" spans="1:3">
      <c r="A4" s="538">
        <v>3</v>
      </c>
    </row>
    <row r="6" ht="15"/>
    <row r="7" spans="1:3">
      <c r="A7" s="540" t="s">
        <v>1253</v>
      </c>
    </row>
    <row r="8" spans="1:3">
      <c r="A8" s="541" t="s">
        <v>1254</v>
      </c>
    </row>
    <row r="9" spans="1:3">
      <c r="A9" s="542" t="s">
        <v>1255</v>
      </c>
    </row>
    <row r="10" spans="1:3">
      <c r="A10" s="541" t="s">
        <v>1256</v>
      </c>
    </row>
    <row r="11" ht="15" spans="1:3">
      <c r="A11" s="543" t="s">
        <v>1257</v>
      </c>
    </row>
    <row r="13" ht="15"/>
    <row r="14" ht="15" spans="1:3">
      <c r="A14" s="539" t="s">
        <v>1258</v>
      </c>
    </row>
    <row r="16" ht="15"/>
    <row r="17" ht="15" spans="1:3">
      <c r="C17" s="539" t="s">
        <v>1259</v>
      </c>
    </row>
    <row r="20" spans="1:3">
      <c r="A20" s="544" t="s">
        <v>1260</v>
      </c>
    </row>
    <row r="26" ht="15" spans="1:3">
      <c r="C26" s="545" t="s">
        <v>1261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7" t="s">
        <v>1262</v>
      </c>
    </row>
    <row r="2" ht="15" spans="1:3">
      <c r="A2" s="537" t="s">
        <v>1250</v>
      </c>
    </row>
    <row r="3" ht="15" spans="1:3">
      <c r="A3" s="538" t="s">
        <v>1251</v>
      </c>
      <c r="C3" s="539" t="s">
        <v>1252</v>
      </c>
    </row>
    <row r="4" spans="1:3">
      <c r="A4" s="538">
        <v>3</v>
      </c>
    </row>
    <row r="6" ht="15"/>
    <row r="7" spans="1:3">
      <c r="A7" s="540" t="s">
        <v>1253</v>
      </c>
    </row>
    <row r="8" spans="1:3">
      <c r="A8" s="541" t="s">
        <v>1254</v>
      </c>
    </row>
    <row r="9" spans="1:3">
      <c r="A9" s="542" t="s">
        <v>1255</v>
      </c>
    </row>
    <row r="10" spans="1:3">
      <c r="A10" s="541" t="s">
        <v>1256</v>
      </c>
    </row>
    <row r="11" ht="15" spans="1:3">
      <c r="A11" s="543" t="s">
        <v>1257</v>
      </c>
    </row>
    <row r="13" ht="15"/>
    <row r="14" ht="15" spans="1:3">
      <c r="A14" s="539" t="s">
        <v>1258</v>
      </c>
    </row>
    <row r="16" ht="15"/>
    <row r="17" ht="15" spans="1:3">
      <c r="C17" s="539" t="s">
        <v>1259</v>
      </c>
    </row>
    <row r="20" spans="1:3">
      <c r="A20" s="544" t="s">
        <v>1260</v>
      </c>
    </row>
    <row r="26" ht="15" spans="1:3">
      <c r="C26" s="545" t="s">
        <v>1261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7" t="s">
        <v>1262</v>
      </c>
    </row>
    <row r="2" ht="15" spans="1:3">
      <c r="A2" s="537" t="s">
        <v>1250</v>
      </c>
    </row>
    <row r="3" ht="15" spans="1:3">
      <c r="A3" s="538" t="s">
        <v>1251</v>
      </c>
      <c r="C3" s="539" t="s">
        <v>1252</v>
      </c>
    </row>
    <row r="4" spans="1:3">
      <c r="A4" s="538">
        <v>3</v>
      </c>
    </row>
    <row r="6" ht="15"/>
    <row r="7" spans="1:3">
      <c r="A7" s="540" t="s">
        <v>1253</v>
      </c>
    </row>
    <row r="8" spans="1:3">
      <c r="A8" s="541" t="s">
        <v>1254</v>
      </c>
    </row>
    <row r="9" spans="1:3">
      <c r="A9" s="542" t="s">
        <v>1255</v>
      </c>
    </row>
    <row r="10" spans="1:3">
      <c r="A10" s="541" t="s">
        <v>1256</v>
      </c>
    </row>
    <row r="11" ht="15" spans="1:3">
      <c r="A11" s="543" t="s">
        <v>1257</v>
      </c>
    </row>
    <row r="13" ht="15"/>
    <row r="14" ht="15" spans="1:3">
      <c r="A14" s="539" t="s">
        <v>1258</v>
      </c>
    </row>
    <row r="16" ht="15"/>
    <row r="17" ht="15" spans="1:3">
      <c r="C17" s="539" t="s">
        <v>1259</v>
      </c>
    </row>
    <row r="20" spans="1:3">
      <c r="A20" s="544" t="s">
        <v>1260</v>
      </c>
    </row>
    <row r="26" ht="15" spans="1:3">
      <c r="C26" s="545" t="s">
        <v>1261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7" t="s">
        <v>1262</v>
      </c>
    </row>
    <row r="2" ht="15" spans="1:3">
      <c r="A2" s="537" t="s">
        <v>1250</v>
      </c>
    </row>
    <row r="3" ht="15" spans="1:3">
      <c r="A3" s="538" t="s">
        <v>1251</v>
      </c>
      <c r="C3" s="539" t="s">
        <v>1252</v>
      </c>
    </row>
    <row r="4" spans="1:3">
      <c r="A4" s="538">
        <v>3</v>
      </c>
    </row>
    <row r="6" ht="15"/>
    <row r="7" spans="1:3">
      <c r="A7" s="540" t="s">
        <v>1253</v>
      </c>
    </row>
    <row r="8" spans="1:3">
      <c r="A8" s="541" t="s">
        <v>1254</v>
      </c>
    </row>
    <row r="9" spans="1:3">
      <c r="A9" s="542" t="s">
        <v>1255</v>
      </c>
    </row>
    <row r="10" spans="1:3">
      <c r="A10" s="541" t="s">
        <v>1256</v>
      </c>
    </row>
    <row r="11" ht="15" spans="1:3">
      <c r="A11" s="543" t="s">
        <v>1257</v>
      </c>
    </row>
    <row r="13" ht="15"/>
    <row r="14" ht="15" spans="1:3">
      <c r="A14" s="539" t="s">
        <v>1258</v>
      </c>
    </row>
    <row r="16" ht="15"/>
    <row r="17" ht="15" spans="1:3">
      <c r="C17" s="539" t="s">
        <v>1259</v>
      </c>
    </row>
    <row r="20" spans="1:3">
      <c r="A20" s="544" t="s">
        <v>1260</v>
      </c>
    </row>
    <row r="26" ht="15" spans="1:3">
      <c r="C26" s="545" t="s">
        <v>1261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7" t="s">
        <v>1262</v>
      </c>
    </row>
    <row r="2" ht="15" spans="1:3">
      <c r="A2" s="537" t="s">
        <v>1250</v>
      </c>
    </row>
    <row r="3" ht="15" spans="1:3">
      <c r="A3" s="538" t="s">
        <v>1251</v>
      </c>
      <c r="C3" s="539" t="s">
        <v>1252</v>
      </c>
    </row>
    <row r="4" spans="1:3">
      <c r="A4" s="538">
        <v>3</v>
      </c>
    </row>
    <row r="6" ht="15"/>
    <row r="7" spans="1:3">
      <c r="A7" s="540" t="s">
        <v>1253</v>
      </c>
    </row>
    <row r="8" spans="1:3">
      <c r="A8" s="541" t="s">
        <v>1254</v>
      </c>
    </row>
    <row r="9" spans="1:3">
      <c r="A9" s="542" t="s">
        <v>1255</v>
      </c>
    </row>
    <row r="10" spans="1:3">
      <c r="A10" s="541" t="s">
        <v>1256</v>
      </c>
    </row>
    <row r="11" ht="15" spans="1:3">
      <c r="A11" s="543" t="s">
        <v>1257</v>
      </c>
    </row>
    <row r="13" ht="15"/>
    <row r="14" ht="15" spans="1:3">
      <c r="A14" s="539" t="s">
        <v>1258</v>
      </c>
    </row>
    <row r="16" ht="15"/>
    <row r="17" ht="15" spans="1:3">
      <c r="C17" s="539" t="s">
        <v>1259</v>
      </c>
    </row>
    <row r="20" spans="1:3">
      <c r="A20" s="544" t="s">
        <v>1260</v>
      </c>
    </row>
    <row r="26" ht="15" spans="1:3">
      <c r="C26" s="545" t="s">
        <v>1261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K355"/>
  <sheetViews>
    <sheetView zoomScale="85" zoomScaleNormal="85" workbookViewId="0">
      <pane ySplit="3" topLeftCell="A148" activePane="bottomLeft" state="frozen"/>
      <selection/>
      <selection pane="bottomLeft" activeCell="BU155" sqref="BU155"/>
    </sheetView>
  </sheetViews>
  <sheetFormatPr defaultColWidth="9" defaultRowHeight="34" customHeight="1"/>
  <cols>
    <col min="1" max="2" width="6.55833333333333" style="134" customWidth="1"/>
    <col min="3" max="3" width="16.4083333333333" style="134" customWidth="1"/>
    <col min="4" max="4" width="16.025" style="134" customWidth="1"/>
    <col min="5" max="5" width="18.125" style="134" customWidth="1"/>
    <col min="6" max="6" width="25.6166666666667" style="134" customWidth="1"/>
    <col min="7" max="7" width="26.75" style="134" customWidth="1"/>
    <col min="8" max="8" width="13.25" style="134" customWidth="1"/>
    <col min="9" max="9" width="13.125" style="134" customWidth="1"/>
    <col min="10" max="10" width="11.3" style="134" customWidth="1"/>
    <col min="11" max="11" width="12.75" style="134" customWidth="1"/>
    <col min="12" max="12" width="10" style="134" customWidth="1"/>
    <col min="13" max="13" width="20.25" style="358" customWidth="1"/>
    <col min="14" max="14" width="13.125" style="359" customWidth="1"/>
    <col min="15" max="15" width="18.75" style="145" customWidth="1"/>
    <col min="16" max="16" width="19.125" style="360" customWidth="1"/>
    <col min="17" max="17" width="13.5" style="361" customWidth="1"/>
    <col min="18" max="18" width="18.75" style="359" customWidth="1"/>
    <col min="19" max="19" width="14.625" style="362" customWidth="1"/>
    <col min="20" max="20" width="22.1833333333333" style="363" customWidth="1"/>
    <col min="21" max="21" width="24.85" style="362" customWidth="1"/>
    <col min="22" max="22" width="20.1333333333333" style="359" customWidth="1"/>
    <col min="23" max="23" width="13.4333333333333" style="134" customWidth="1"/>
    <col min="24" max="24" width="18.0583333333333" style="359" customWidth="1"/>
    <col min="25" max="25" width="16.5" style="134" customWidth="1"/>
    <col min="26" max="26" width="18.25" style="359" customWidth="1"/>
    <col min="27" max="27" width="15.0166666666667" style="134" customWidth="1"/>
    <col min="28" max="28" width="17.375" style="359" customWidth="1"/>
    <col min="29" max="29" width="14.25" style="134" customWidth="1"/>
    <col min="30" max="30" width="17.5" style="134" customWidth="1"/>
    <col min="31" max="31" width="14.25" style="134" customWidth="1"/>
    <col min="32" max="32" width="17.875" style="134" customWidth="1"/>
    <col min="33" max="33" width="14.25" style="134" customWidth="1"/>
    <col min="34" max="34" width="18.875" style="359" customWidth="1"/>
    <col min="35" max="35" width="15.4" style="134" customWidth="1"/>
    <col min="36" max="36" width="13.6" style="134" customWidth="1"/>
    <col min="37" max="37" width="20.4666666666667" style="364" customWidth="1"/>
    <col min="38" max="38" width="26" style="134" customWidth="1"/>
    <col min="39" max="39" width="24.375" style="134" customWidth="1"/>
    <col min="40" max="42" width="17.9416666666667" style="134" customWidth="1"/>
    <col min="43" max="43" width="16.025" style="365" customWidth="1"/>
    <col min="44" max="44" width="19.25" style="359" customWidth="1"/>
    <col min="45" max="45" width="15.125" style="359" customWidth="1"/>
    <col min="46" max="46" width="15.75" style="359" customWidth="1"/>
    <col min="47" max="47" width="17.75" style="359" customWidth="1"/>
    <col min="48" max="48" width="19.5333333333333" style="359" customWidth="1"/>
    <col min="49" max="49" width="17" style="359" customWidth="1"/>
    <col min="50" max="50" width="16.75" style="359" customWidth="1"/>
    <col min="51" max="51" width="18" style="218" customWidth="1"/>
    <col min="52" max="52" width="18.125" style="128" customWidth="1"/>
    <col min="53" max="57" width="18.125" style="359" customWidth="1"/>
    <col min="58" max="73" width="16.7166666666667" style="134" customWidth="1"/>
    <col min="74" max="74" width="14.125" style="134" customWidth="1"/>
    <col min="75" max="75" width="11.5" style="134" customWidth="1"/>
    <col min="76" max="76" width="9.6" style="134" customWidth="1"/>
    <col min="77" max="78" width="9" style="134" customWidth="1"/>
    <col min="79" max="79" width="7.65833333333333" style="134" customWidth="1"/>
    <col min="80" max="80" width="9" style="134"/>
    <col min="81" max="82" width="9.375" style="134"/>
    <col min="83" max="87" width="9" style="134"/>
    <col min="88" max="89" width="9" style="106"/>
    <col min="90" max="16384" width="9" style="106" hidden="1" customWidth="1"/>
  </cols>
  <sheetData>
    <row r="1" s="354" customFormat="1" customHeight="1" spans="1:88">
      <c r="A1" s="354" t="s">
        <v>1263</v>
      </c>
      <c r="H1" s="366"/>
      <c r="J1" s="367"/>
      <c r="M1" s="368"/>
      <c r="N1" s="369"/>
      <c r="O1" s="370"/>
      <c r="P1" s="360"/>
      <c r="Q1" s="361"/>
      <c r="R1" s="369"/>
      <c r="S1" s="371"/>
      <c r="T1" s="372"/>
      <c r="U1" s="371"/>
      <c r="V1" s="369"/>
      <c r="X1" s="369"/>
      <c r="Y1" s="373"/>
      <c r="Z1" s="369"/>
      <c r="AB1" s="369"/>
      <c r="AH1" s="369"/>
      <c r="AI1" s="366"/>
      <c r="AJ1" s="366"/>
      <c r="AK1" s="374"/>
      <c r="AQ1" s="375"/>
      <c r="AR1" s="369"/>
      <c r="AS1" s="369"/>
      <c r="AT1" s="369"/>
      <c r="AU1" s="369"/>
      <c r="AV1" s="369"/>
      <c r="AW1" s="369"/>
      <c r="AX1" s="369"/>
      <c r="AY1" s="376"/>
      <c r="AZ1" s="377"/>
      <c r="BA1" s="369"/>
      <c r="BB1" s="369"/>
      <c r="BC1" s="369"/>
      <c r="BD1" s="369"/>
      <c r="BE1" s="369"/>
      <c r="BG1" s="378"/>
      <c r="BH1" s="378"/>
      <c r="BI1" s="378"/>
      <c r="BJ1" s="378"/>
      <c r="BK1" s="378"/>
      <c r="BL1" s="378"/>
      <c r="BM1" s="378"/>
      <c r="BN1" s="378"/>
      <c r="BO1" s="378"/>
      <c r="BP1" s="378"/>
      <c r="BQ1" s="378"/>
      <c r="BR1" s="378"/>
      <c r="BS1" s="378"/>
      <c r="BT1" s="378"/>
    </row>
    <row r="2" s="355" customFormat="1" ht="24" customHeight="1" spans="1:88">
      <c r="A2" s="355" t="s">
        <v>40</v>
      </c>
      <c r="B2" s="355" t="s">
        <v>287</v>
      </c>
      <c r="C2" s="379" t="s">
        <v>288</v>
      </c>
      <c r="D2" s="355" t="s">
        <v>289</v>
      </c>
      <c r="F2" s="355" t="s">
        <v>291</v>
      </c>
      <c r="G2" s="355" t="s">
        <v>292</v>
      </c>
      <c r="H2" s="355" t="s">
        <v>290</v>
      </c>
      <c r="I2" s="355" t="s">
        <v>294</v>
      </c>
      <c r="J2" s="380" t="s">
        <v>1264</v>
      </c>
      <c r="K2" s="355" t="s">
        <v>296</v>
      </c>
      <c r="L2" s="355" t="s">
        <v>297</v>
      </c>
      <c r="M2" s="381" t="s">
        <v>298</v>
      </c>
      <c r="N2" s="382" t="s">
        <v>1265</v>
      </c>
      <c r="O2" s="383" t="s">
        <v>301</v>
      </c>
      <c r="P2" s="384"/>
      <c r="Q2" s="385"/>
      <c r="R2" s="386" t="s">
        <v>302</v>
      </c>
      <c r="S2" s="387" t="s">
        <v>303</v>
      </c>
      <c r="T2" s="388" t="s">
        <v>304</v>
      </c>
      <c r="U2" s="388" t="s">
        <v>305</v>
      </c>
      <c r="V2" s="389" t="s">
        <v>306</v>
      </c>
      <c r="W2" s="389"/>
      <c r="X2" s="389"/>
      <c r="Y2" s="389"/>
      <c r="Z2" s="389"/>
      <c r="AA2" s="389"/>
      <c r="AB2" s="389"/>
      <c r="AC2" s="389"/>
      <c r="AD2" s="389"/>
      <c r="AE2" s="389"/>
      <c r="AF2" s="389"/>
      <c r="AG2" s="389"/>
      <c r="AH2" s="390" t="s">
        <v>307</v>
      </c>
      <c r="AI2" s="379" t="s">
        <v>58</v>
      </c>
      <c r="AJ2" s="355" t="s">
        <v>309</v>
      </c>
      <c r="AK2" s="391" t="s">
        <v>61</v>
      </c>
      <c r="AL2" s="355" t="s">
        <v>310</v>
      </c>
      <c r="AM2" s="355" t="s">
        <v>49</v>
      </c>
      <c r="AN2" s="355" t="s">
        <v>1266</v>
      </c>
      <c r="AQ2" s="392" t="s">
        <v>321</v>
      </c>
      <c r="AR2" s="386" t="s">
        <v>320</v>
      </c>
      <c r="AS2" s="382" t="s">
        <v>1267</v>
      </c>
      <c r="AT2" s="382" t="s">
        <v>1268</v>
      </c>
      <c r="AU2" s="382" t="s">
        <v>1269</v>
      </c>
      <c r="AV2" s="382" t="s">
        <v>1270</v>
      </c>
      <c r="AW2" s="382" t="s">
        <v>1271</v>
      </c>
      <c r="AX2" s="382" t="s">
        <v>1272</v>
      </c>
      <c r="AY2" s="382" t="s">
        <v>1273</v>
      </c>
      <c r="AZ2" s="382" t="s">
        <v>1274</v>
      </c>
      <c r="BA2" s="382" t="s">
        <v>1275</v>
      </c>
      <c r="BB2" s="382" t="s">
        <v>1276</v>
      </c>
      <c r="BC2" s="382" t="s">
        <v>1277</v>
      </c>
      <c r="BD2" s="382" t="s">
        <v>1278</v>
      </c>
      <c r="BE2" s="382" t="s">
        <v>1279</v>
      </c>
      <c r="BF2" s="382" t="s">
        <v>1280</v>
      </c>
      <c r="BG2" s="393" t="s">
        <v>1281</v>
      </c>
      <c r="BH2" s="393" t="s">
        <v>1282</v>
      </c>
      <c r="BI2" s="393" t="s">
        <v>1283</v>
      </c>
      <c r="BJ2" s="393" t="s">
        <v>1284</v>
      </c>
      <c r="BK2" s="393" t="s">
        <v>1285</v>
      </c>
      <c r="BL2" s="393" t="s">
        <v>1286</v>
      </c>
      <c r="BM2" s="393" t="s">
        <v>1287</v>
      </c>
      <c r="BN2" s="393" t="s">
        <v>1288</v>
      </c>
      <c r="BO2" s="393" t="s">
        <v>1289</v>
      </c>
      <c r="BP2" s="393" t="s">
        <v>1290</v>
      </c>
      <c r="BQ2" s="393" t="s">
        <v>1291</v>
      </c>
      <c r="BR2" s="393" t="s">
        <v>1292</v>
      </c>
      <c r="BS2" s="393" t="s">
        <v>1293</v>
      </c>
      <c r="BT2" s="393" t="s">
        <v>1294</v>
      </c>
      <c r="BU2" s="382"/>
      <c r="BZ2" s="355" t="s">
        <v>106</v>
      </c>
    </row>
    <row r="3" s="355" customFormat="1" ht="25" customHeight="1" spans="1:88">
      <c r="C3" s="379"/>
      <c r="E3" s="355" t="s">
        <v>1295</v>
      </c>
      <c r="J3" s="394"/>
      <c r="M3" s="381"/>
      <c r="N3" s="382"/>
      <c r="O3" s="395" t="s">
        <v>354</v>
      </c>
      <c r="P3" s="396" t="s">
        <v>1296</v>
      </c>
      <c r="Q3" s="397" t="s">
        <v>1297</v>
      </c>
      <c r="R3" s="390"/>
      <c r="S3" s="387"/>
      <c r="T3" s="388"/>
      <c r="U3" s="388"/>
      <c r="V3" s="390" t="s">
        <v>356</v>
      </c>
      <c r="W3" s="355" t="s">
        <v>357</v>
      </c>
      <c r="X3" s="390" t="s">
        <v>358</v>
      </c>
      <c r="Y3" s="398" t="s">
        <v>357</v>
      </c>
      <c r="Z3" s="390" t="s">
        <v>359</v>
      </c>
      <c r="AA3" s="394" t="s">
        <v>357</v>
      </c>
      <c r="AB3" s="390" t="s">
        <v>360</v>
      </c>
      <c r="AC3" s="355" t="s">
        <v>357</v>
      </c>
      <c r="AD3" s="355" t="s">
        <v>361</v>
      </c>
      <c r="AE3" s="355" t="s">
        <v>357</v>
      </c>
      <c r="AF3" s="355" t="s">
        <v>362</v>
      </c>
      <c r="AG3" s="355" t="s">
        <v>357</v>
      </c>
      <c r="AH3" s="390"/>
      <c r="AK3" s="391"/>
      <c r="AQ3" s="392"/>
      <c r="AR3" s="386"/>
      <c r="AS3" s="382"/>
      <c r="AT3" s="382"/>
      <c r="AU3" s="382"/>
      <c r="AV3" s="382"/>
      <c r="AW3" s="382"/>
      <c r="AX3" s="382"/>
      <c r="AY3" s="382"/>
      <c r="AZ3" s="382"/>
      <c r="BA3" s="382"/>
      <c r="BB3" s="382"/>
      <c r="BC3" s="382"/>
      <c r="BD3" s="382"/>
      <c r="BE3" s="382"/>
      <c r="BF3" s="382"/>
      <c r="BG3" s="393"/>
      <c r="BH3" s="393"/>
      <c r="BI3" s="393"/>
      <c r="BJ3" s="393"/>
      <c r="BK3" s="393"/>
      <c r="BL3" s="393"/>
      <c r="BM3" s="393"/>
      <c r="BN3" s="393"/>
      <c r="BO3" s="393"/>
      <c r="BP3" s="393"/>
      <c r="BQ3" s="393"/>
      <c r="BR3" s="393"/>
      <c r="BS3" s="393"/>
      <c r="BT3" s="393"/>
      <c r="BU3" s="382"/>
      <c r="BV3" s="355" t="s">
        <v>351</v>
      </c>
      <c r="BW3" s="399"/>
      <c r="BX3" s="399"/>
      <c r="BY3" s="399"/>
      <c r="CB3" s="400"/>
      <c r="CC3" s="400"/>
      <c r="CD3" s="400"/>
    </row>
    <row r="4" s="149" customFormat="1" customHeight="1" spans="1:88">
      <c r="C4" s="401"/>
      <c r="I4" s="149" t="s">
        <v>1298</v>
      </c>
      <c r="J4" s="149">
        <v>4.49</v>
      </c>
      <c r="M4" s="402"/>
      <c r="N4" s="403"/>
      <c r="O4" s="404"/>
      <c r="P4" s="405"/>
      <c r="Q4" s="405"/>
      <c r="R4" s="403"/>
      <c r="S4" s="406"/>
      <c r="T4" s="406"/>
      <c r="U4" s="406"/>
      <c r="V4" s="403"/>
      <c r="X4" s="403"/>
      <c r="Y4" s="407"/>
      <c r="Z4" s="403"/>
      <c r="AA4" s="408"/>
      <c r="AB4" s="403"/>
      <c r="AH4" s="403">
        <f>V4+X4+Z4+AB4+AD4+AF4</f>
        <v>0</v>
      </c>
      <c r="AK4" s="409">
        <f>M4-AH4</f>
        <v>0</v>
      </c>
      <c r="AQ4" s="410">
        <v>0.02</v>
      </c>
      <c r="AR4" s="411">
        <f>SUM(AU4:BU4)</f>
        <v>0</v>
      </c>
      <c r="AS4" s="403"/>
      <c r="AT4" s="403"/>
      <c r="AU4" s="403"/>
      <c r="AV4" s="403"/>
      <c r="AW4" s="403"/>
      <c r="AX4" s="403"/>
      <c r="AY4" s="202"/>
      <c r="AZ4" s="101"/>
      <c r="BA4" s="403"/>
      <c r="BB4" s="403"/>
      <c r="BC4" s="403"/>
      <c r="BD4" s="403"/>
      <c r="BE4" s="403"/>
      <c r="BW4" s="412"/>
      <c r="BX4" s="412"/>
      <c r="BY4" s="412"/>
      <c r="CJ4" s="104"/>
    </row>
    <row r="5" s="149" customFormat="1" customHeight="1" spans="1:88">
      <c r="C5" s="401"/>
      <c r="G5" s="149" t="s">
        <v>1039</v>
      </c>
      <c r="I5" s="149" t="s">
        <v>1299</v>
      </c>
      <c r="J5" s="149">
        <v>46.24</v>
      </c>
      <c r="L5" s="149">
        <f>M5/J5</f>
        <v>1730.10380622837</v>
      </c>
      <c r="M5" s="402">
        <v>80000</v>
      </c>
      <c r="N5" s="403"/>
      <c r="O5" s="404"/>
      <c r="P5" s="405"/>
      <c r="Q5" s="405"/>
      <c r="R5" s="403"/>
      <c r="S5" s="406"/>
      <c r="T5" s="406"/>
      <c r="U5" s="406"/>
      <c r="V5" s="403">
        <v>2000</v>
      </c>
      <c r="W5" s="406">
        <v>45542</v>
      </c>
      <c r="X5" s="403">
        <v>78000</v>
      </c>
      <c r="Y5" s="406">
        <v>45573</v>
      </c>
      <c r="Z5" s="403"/>
      <c r="AA5" s="408"/>
      <c r="AB5" s="403"/>
      <c r="AH5" s="403">
        <f t="shared" ref="AH5:AH34" si="0">V5+X5+Z5+AB5+AD5+AF5</f>
        <v>80000</v>
      </c>
      <c r="AK5" s="409">
        <f t="shared" ref="AK5:AK23" si="1">M5-AH5</f>
        <v>0</v>
      </c>
      <c r="AQ5" s="410">
        <v>0.02</v>
      </c>
      <c r="AR5" s="411">
        <f t="shared" ref="AR5:AR68" si="2">SUM(AU5:BU5)</f>
        <v>80000</v>
      </c>
      <c r="AS5" s="403"/>
      <c r="AT5" s="403"/>
      <c r="AU5" s="403"/>
      <c r="AV5" s="403"/>
      <c r="AW5" s="403"/>
      <c r="AX5" s="403"/>
      <c r="AY5" s="202"/>
      <c r="AZ5" s="101"/>
      <c r="BA5" s="403"/>
      <c r="BB5" s="403"/>
      <c r="BC5" s="403"/>
      <c r="BD5" s="403"/>
      <c r="BE5" s="403"/>
      <c r="BP5" s="149">
        <v>80000</v>
      </c>
      <c r="CJ5" s="104"/>
    </row>
    <row r="6" s="149" customFormat="1" customHeight="1" spans="1:88">
      <c r="C6" s="401"/>
      <c r="G6" s="149" t="s">
        <v>1300</v>
      </c>
      <c r="I6" s="149" t="s">
        <v>1301</v>
      </c>
      <c r="J6" s="149">
        <v>15.03</v>
      </c>
      <c r="L6" s="149">
        <v>2059.88</v>
      </c>
      <c r="M6" s="402">
        <v>30960</v>
      </c>
      <c r="N6" s="403"/>
      <c r="O6" s="404"/>
      <c r="P6" s="405"/>
      <c r="Q6" s="405"/>
      <c r="R6" s="403"/>
      <c r="S6" s="406"/>
      <c r="T6" s="406"/>
      <c r="U6" s="406"/>
      <c r="V6" s="403">
        <v>5000</v>
      </c>
      <c r="W6" s="406">
        <v>45538</v>
      </c>
      <c r="X6" s="403">
        <v>25960</v>
      </c>
      <c r="Y6" s="407" t="s">
        <v>1302</v>
      </c>
      <c r="Z6" s="403"/>
      <c r="AA6" s="408"/>
      <c r="AB6" s="403"/>
      <c r="AH6" s="403">
        <f t="shared" si="0"/>
        <v>30960</v>
      </c>
      <c r="AK6" s="409">
        <f t="shared" si="1"/>
        <v>0</v>
      </c>
      <c r="AQ6" s="410">
        <v>0.02</v>
      </c>
      <c r="AR6" s="411">
        <f t="shared" si="2"/>
        <v>30960</v>
      </c>
      <c r="AS6" s="403"/>
      <c r="AT6" s="403"/>
      <c r="AU6" s="403"/>
      <c r="AV6" s="403"/>
      <c r="AW6" s="403"/>
      <c r="AX6" s="403"/>
      <c r="AY6" s="202"/>
      <c r="AZ6" s="101"/>
      <c r="BA6" s="403"/>
      <c r="BB6" s="403"/>
      <c r="BC6" s="403"/>
      <c r="BD6" s="403"/>
      <c r="BE6" s="403"/>
      <c r="BN6" s="149">
        <v>30960</v>
      </c>
      <c r="CJ6" s="104"/>
    </row>
    <row r="7" s="149" customFormat="1" customHeight="1" spans="1:88">
      <c r="C7" s="401"/>
      <c r="G7" s="149" t="s">
        <v>1303</v>
      </c>
      <c r="I7" s="149" t="s">
        <v>1304</v>
      </c>
      <c r="J7" s="149">
        <v>22.01</v>
      </c>
      <c r="L7" s="149">
        <v>2059.06</v>
      </c>
      <c r="M7" s="402">
        <v>45320</v>
      </c>
      <c r="N7" s="403"/>
      <c r="O7" s="404"/>
      <c r="P7" s="405"/>
      <c r="Q7" s="405"/>
      <c r="R7" s="403"/>
      <c r="S7" s="406"/>
      <c r="T7" s="406"/>
      <c r="U7" s="406"/>
      <c r="V7" s="403">
        <v>2000</v>
      </c>
      <c r="W7" s="406">
        <v>45538</v>
      </c>
      <c r="X7" s="403">
        <v>43320</v>
      </c>
      <c r="Y7" s="406" t="s">
        <v>1305</v>
      </c>
      <c r="Z7" s="403"/>
      <c r="AA7" s="408"/>
      <c r="AB7" s="403"/>
      <c r="AH7" s="403">
        <f t="shared" si="0"/>
        <v>45320</v>
      </c>
      <c r="AK7" s="409">
        <f t="shared" si="1"/>
        <v>0</v>
      </c>
      <c r="AQ7" s="410">
        <v>0.02</v>
      </c>
      <c r="AR7" s="411">
        <f t="shared" si="2"/>
        <v>45320</v>
      </c>
      <c r="AS7" s="403"/>
      <c r="AT7" s="403"/>
      <c r="AU7" s="403"/>
      <c r="AV7" s="403"/>
      <c r="AW7" s="403"/>
      <c r="AX7" s="403"/>
      <c r="AY7" s="202"/>
      <c r="AZ7" s="101"/>
      <c r="BA7" s="403"/>
      <c r="BB7" s="403"/>
      <c r="BC7" s="403"/>
      <c r="BD7" s="403"/>
      <c r="BE7" s="403"/>
      <c r="BP7" s="149">
        <v>45320</v>
      </c>
      <c r="CJ7" s="104"/>
    </row>
    <row r="8" s="149" customFormat="1" customHeight="1" spans="1:88">
      <c r="C8" s="401"/>
      <c r="I8" s="149" t="s">
        <v>1306</v>
      </c>
      <c r="J8" s="149">
        <v>70.72</v>
      </c>
      <c r="M8" s="402"/>
      <c r="N8" s="403"/>
      <c r="O8" s="404"/>
      <c r="P8" s="405"/>
      <c r="Q8" s="405"/>
      <c r="R8" s="403"/>
      <c r="S8" s="406"/>
      <c r="T8" s="406"/>
      <c r="U8" s="406"/>
      <c r="V8" s="403"/>
      <c r="X8" s="403"/>
      <c r="Y8" s="407"/>
      <c r="Z8" s="403"/>
      <c r="AA8" s="408"/>
      <c r="AB8" s="403"/>
      <c r="AH8" s="403">
        <f t="shared" si="0"/>
        <v>0</v>
      </c>
      <c r="AK8" s="409">
        <f t="shared" si="1"/>
        <v>0</v>
      </c>
      <c r="AQ8" s="410">
        <v>0.02</v>
      </c>
      <c r="AR8" s="411">
        <f t="shared" si="2"/>
        <v>0</v>
      </c>
      <c r="AS8" s="403"/>
      <c r="AT8" s="403"/>
      <c r="AU8" s="403"/>
      <c r="AV8" s="403"/>
      <c r="AW8" s="403"/>
      <c r="AX8" s="403"/>
      <c r="AY8" s="202"/>
      <c r="AZ8" s="101"/>
      <c r="BA8" s="403"/>
      <c r="BB8" s="403"/>
      <c r="BC8" s="403"/>
      <c r="BD8" s="403"/>
      <c r="BE8" s="403"/>
      <c r="CJ8" s="104"/>
    </row>
    <row r="9" s="149" customFormat="1" customHeight="1" spans="1:88">
      <c r="C9" s="401"/>
      <c r="I9" s="149" t="s">
        <v>1307</v>
      </c>
      <c r="J9" s="149">
        <v>67.3</v>
      </c>
      <c r="M9" s="402"/>
      <c r="N9" s="403"/>
      <c r="O9" s="404"/>
      <c r="P9" s="405"/>
      <c r="Q9" s="405"/>
      <c r="R9" s="403"/>
      <c r="S9" s="406"/>
      <c r="T9" s="406"/>
      <c r="U9" s="406"/>
      <c r="V9" s="403"/>
      <c r="X9" s="403"/>
      <c r="Y9" s="407"/>
      <c r="Z9" s="403"/>
      <c r="AA9" s="408"/>
      <c r="AB9" s="403"/>
      <c r="AH9" s="403">
        <f t="shared" si="0"/>
        <v>0</v>
      </c>
      <c r="AK9" s="409">
        <f t="shared" si="1"/>
        <v>0</v>
      </c>
      <c r="AQ9" s="410">
        <v>0.02</v>
      </c>
      <c r="AR9" s="411">
        <f t="shared" si="2"/>
        <v>0</v>
      </c>
      <c r="AS9" s="403"/>
      <c r="AT9" s="403"/>
      <c r="AU9" s="403"/>
      <c r="AV9" s="403"/>
      <c r="AW9" s="403"/>
      <c r="AX9" s="403"/>
      <c r="AY9" s="202"/>
      <c r="AZ9" s="101"/>
      <c r="BA9" s="403"/>
      <c r="BB9" s="403"/>
      <c r="BC9" s="403"/>
      <c r="BD9" s="403"/>
      <c r="BE9" s="403"/>
      <c r="CJ9" s="104"/>
    </row>
    <row r="10" s="149" customFormat="1" customHeight="1" spans="1:88">
      <c r="C10" s="401"/>
      <c r="G10" s="149" t="s">
        <v>1308</v>
      </c>
      <c r="I10" s="149" t="s">
        <v>1309</v>
      </c>
      <c r="J10" s="149">
        <v>22.45</v>
      </c>
      <c r="L10" s="149">
        <v>2059.69</v>
      </c>
      <c r="M10" s="402">
        <v>46240</v>
      </c>
      <c r="N10" s="403"/>
      <c r="O10" s="404"/>
      <c r="P10" s="405"/>
      <c r="Q10" s="405"/>
      <c r="R10" s="403"/>
      <c r="S10" s="406"/>
      <c r="T10" s="406"/>
      <c r="U10" s="406"/>
      <c r="V10" s="403">
        <v>5000</v>
      </c>
      <c r="W10" s="406">
        <v>45537</v>
      </c>
      <c r="X10" s="403">
        <v>41240</v>
      </c>
      <c r="Y10" s="407">
        <v>45552</v>
      </c>
      <c r="Z10" s="403"/>
      <c r="AA10" s="408"/>
      <c r="AB10" s="403"/>
      <c r="AH10" s="403">
        <f t="shared" si="0"/>
        <v>46240</v>
      </c>
      <c r="AK10" s="409">
        <f t="shared" si="1"/>
        <v>0</v>
      </c>
      <c r="AQ10" s="410">
        <v>0.02</v>
      </c>
      <c r="AR10" s="411">
        <f t="shared" si="2"/>
        <v>46240</v>
      </c>
      <c r="AS10" s="403"/>
      <c r="AT10" s="403"/>
      <c r="AU10" s="403"/>
      <c r="AV10" s="403"/>
      <c r="AW10" s="403"/>
      <c r="AX10" s="403"/>
      <c r="AY10" s="202"/>
      <c r="AZ10" s="101"/>
      <c r="BA10" s="403"/>
      <c r="BB10" s="403"/>
      <c r="BC10" s="403"/>
      <c r="BD10" s="403"/>
      <c r="BE10" s="403"/>
      <c r="BN10" s="149">
        <v>46240</v>
      </c>
      <c r="CJ10" s="104"/>
    </row>
    <row r="11" s="149" customFormat="1" customHeight="1" spans="1:88">
      <c r="C11" s="401"/>
      <c r="G11" s="149" t="s">
        <v>1310</v>
      </c>
      <c r="I11" s="149" t="s">
        <v>1311</v>
      </c>
      <c r="J11" s="149">
        <v>11.28</v>
      </c>
      <c r="L11" s="149">
        <v>2060.28</v>
      </c>
      <c r="M11" s="402">
        <v>23240</v>
      </c>
      <c r="N11" s="403"/>
      <c r="O11" s="404"/>
      <c r="P11" s="405"/>
      <c r="Q11" s="405"/>
      <c r="R11" s="403"/>
      <c r="S11" s="406"/>
      <c r="T11" s="406"/>
      <c r="U11" s="406"/>
      <c r="V11" s="403">
        <v>23240</v>
      </c>
      <c r="W11" s="406">
        <v>45540</v>
      </c>
      <c r="X11" s="403"/>
      <c r="Y11" s="407"/>
      <c r="Z11" s="403"/>
      <c r="AA11" s="408"/>
      <c r="AB11" s="403"/>
      <c r="AH11" s="403">
        <f t="shared" si="0"/>
        <v>23240</v>
      </c>
      <c r="AK11" s="409">
        <f t="shared" si="1"/>
        <v>0</v>
      </c>
      <c r="AQ11" s="410">
        <v>0.02</v>
      </c>
      <c r="AR11" s="411">
        <f t="shared" si="2"/>
        <v>23240</v>
      </c>
      <c r="AS11" s="403"/>
      <c r="AT11" s="403"/>
      <c r="AU11" s="403"/>
      <c r="AV11" s="403"/>
      <c r="AW11" s="403"/>
      <c r="AX11" s="403"/>
      <c r="AY11" s="202"/>
      <c r="AZ11" s="101"/>
      <c r="BA11" s="403"/>
      <c r="BB11" s="403"/>
      <c r="BC11" s="403"/>
      <c r="BD11" s="403"/>
      <c r="BE11" s="403"/>
      <c r="BN11" s="149">
        <v>23240</v>
      </c>
      <c r="CJ11" s="104"/>
    </row>
    <row r="12" s="149" customFormat="1" customHeight="1" spans="1:88">
      <c r="C12" s="401"/>
      <c r="G12" s="149" t="s">
        <v>1312</v>
      </c>
      <c r="I12" s="149" t="s">
        <v>1313</v>
      </c>
      <c r="J12" s="149">
        <v>7.57</v>
      </c>
      <c r="K12" s="149"/>
      <c r="L12" s="149">
        <v>2060.77</v>
      </c>
      <c r="M12" s="402">
        <v>15600</v>
      </c>
      <c r="N12" s="403">
        <v>15600</v>
      </c>
      <c r="O12" s="404"/>
      <c r="P12" s="405"/>
      <c r="Q12" s="405"/>
      <c r="R12" s="403"/>
      <c r="S12" s="406"/>
      <c r="T12" s="406"/>
      <c r="U12" s="406"/>
      <c r="V12" s="403">
        <v>15600</v>
      </c>
      <c r="W12" s="406" t="s">
        <v>1314</v>
      </c>
      <c r="X12" s="403"/>
      <c r="Y12" s="407"/>
      <c r="Z12" s="403"/>
      <c r="AA12" s="408"/>
      <c r="AB12" s="403"/>
      <c r="AH12" s="403">
        <f t="shared" si="0"/>
        <v>15600</v>
      </c>
      <c r="AK12" s="409">
        <f t="shared" si="1"/>
        <v>0</v>
      </c>
      <c r="AQ12" s="410">
        <v>0.02</v>
      </c>
      <c r="AR12" s="411">
        <f t="shared" si="2"/>
        <v>15600</v>
      </c>
      <c r="AS12" s="403"/>
      <c r="AT12" s="403"/>
      <c r="AU12" s="403"/>
      <c r="AV12" s="403"/>
      <c r="AW12" s="403"/>
      <c r="AX12" s="403"/>
      <c r="AY12" s="202"/>
      <c r="AZ12" s="101"/>
      <c r="BA12" s="403"/>
      <c r="BB12" s="403"/>
      <c r="BC12" s="403"/>
      <c r="BD12" s="403"/>
      <c r="BE12" s="403"/>
      <c r="BR12" s="149">
        <v>15600</v>
      </c>
      <c r="CJ12" s="104"/>
    </row>
    <row r="13" s="149" customFormat="1" customHeight="1" spans="1:88">
      <c r="C13" s="401"/>
      <c r="H13" s="149" t="s">
        <v>1315</v>
      </c>
      <c r="I13" s="149" t="s">
        <v>1316</v>
      </c>
      <c r="J13" s="149">
        <v>23.09</v>
      </c>
      <c r="M13" s="402"/>
      <c r="N13" s="403"/>
      <c r="O13" s="404"/>
      <c r="P13" s="405"/>
      <c r="Q13" s="405"/>
      <c r="R13" s="403"/>
      <c r="S13" s="406"/>
      <c r="T13" s="406"/>
      <c r="U13" s="406"/>
      <c r="V13" s="403"/>
      <c r="X13" s="403"/>
      <c r="Y13" s="407"/>
      <c r="Z13" s="403"/>
      <c r="AA13" s="408"/>
      <c r="AB13" s="403"/>
      <c r="AH13" s="403">
        <f t="shared" si="0"/>
        <v>0</v>
      </c>
      <c r="AK13" s="409">
        <f t="shared" si="1"/>
        <v>0</v>
      </c>
      <c r="AQ13" s="410">
        <v>0.02</v>
      </c>
      <c r="AR13" s="411">
        <f t="shared" si="2"/>
        <v>0</v>
      </c>
      <c r="AS13" s="403"/>
      <c r="AT13" s="403"/>
      <c r="AU13" s="403"/>
      <c r="AV13" s="403"/>
      <c r="AW13" s="403"/>
      <c r="AX13" s="403"/>
      <c r="AY13" s="202"/>
      <c r="AZ13" s="101"/>
      <c r="BA13" s="403"/>
      <c r="BB13" s="403"/>
      <c r="BC13" s="403"/>
      <c r="BD13" s="403"/>
      <c r="BE13" s="403"/>
      <c r="CJ13" s="104"/>
    </row>
    <row r="14" s="149" customFormat="1" customHeight="1" spans="1:88">
      <c r="C14" s="401"/>
      <c r="G14" s="149" t="s">
        <v>1317</v>
      </c>
      <c r="I14" s="149" t="s">
        <v>1318</v>
      </c>
      <c r="J14" s="149">
        <v>19.17</v>
      </c>
      <c r="L14" s="149">
        <v>2059.47</v>
      </c>
      <c r="M14" s="402">
        <v>39480</v>
      </c>
      <c r="N14" s="403"/>
      <c r="O14" s="404"/>
      <c r="P14" s="405"/>
      <c r="Q14" s="405"/>
      <c r="R14" s="403"/>
      <c r="S14" s="406"/>
      <c r="T14" s="406"/>
      <c r="U14" s="406"/>
      <c r="V14" s="403">
        <v>2000</v>
      </c>
      <c r="W14" s="406">
        <v>45542</v>
      </c>
      <c r="X14" s="403">
        <v>37480</v>
      </c>
      <c r="Y14" s="407" t="s">
        <v>1319</v>
      </c>
      <c r="Z14" s="403"/>
      <c r="AA14" s="408"/>
      <c r="AB14" s="403"/>
      <c r="AH14" s="403">
        <f t="shared" si="0"/>
        <v>39480</v>
      </c>
      <c r="AK14" s="409">
        <f t="shared" si="1"/>
        <v>0</v>
      </c>
      <c r="AQ14" s="410">
        <v>0.02</v>
      </c>
      <c r="AR14" s="411">
        <f t="shared" si="2"/>
        <v>39480</v>
      </c>
      <c r="AS14" s="403"/>
      <c r="AT14" s="403"/>
      <c r="AU14" s="403"/>
      <c r="AV14" s="403"/>
      <c r="AW14" s="403"/>
      <c r="AX14" s="403"/>
      <c r="AY14" s="202"/>
      <c r="AZ14" s="101"/>
      <c r="BA14" s="403"/>
      <c r="BB14" s="403"/>
      <c r="BC14" s="403"/>
      <c r="BD14" s="403"/>
      <c r="BE14" s="403"/>
      <c r="BN14" s="149">
        <v>39480</v>
      </c>
      <c r="CJ14" s="104"/>
    </row>
    <row r="15" s="149" customFormat="1" customHeight="1" spans="1:88">
      <c r="C15" s="401"/>
      <c r="G15" s="149" t="s">
        <v>1320</v>
      </c>
      <c r="I15" s="149" t="s">
        <v>1321</v>
      </c>
      <c r="J15" s="149">
        <v>14.41</v>
      </c>
      <c r="L15" s="149">
        <v>2059.68</v>
      </c>
      <c r="M15" s="402">
        <v>29680</v>
      </c>
      <c r="N15" s="403"/>
      <c r="O15" s="404"/>
      <c r="P15" s="405"/>
      <c r="Q15" s="405"/>
      <c r="R15" s="403"/>
      <c r="S15" s="406"/>
      <c r="T15" s="406"/>
      <c r="U15" s="406"/>
      <c r="V15" s="403">
        <v>2000</v>
      </c>
      <c r="W15" s="406">
        <v>45537</v>
      </c>
      <c r="X15" s="403">
        <v>27680</v>
      </c>
      <c r="Y15" s="407">
        <v>45546</v>
      </c>
      <c r="Z15" s="403"/>
      <c r="AA15" s="408"/>
      <c r="AB15" s="403"/>
      <c r="AH15" s="403">
        <f t="shared" si="0"/>
        <v>29680</v>
      </c>
      <c r="AK15" s="409">
        <f t="shared" si="1"/>
        <v>0</v>
      </c>
      <c r="AQ15" s="410">
        <v>0.02</v>
      </c>
      <c r="AR15" s="411">
        <f t="shared" si="2"/>
        <v>29680</v>
      </c>
      <c r="AS15" s="403"/>
      <c r="AT15" s="403"/>
      <c r="AU15" s="403"/>
      <c r="AV15" s="403"/>
      <c r="AW15" s="403"/>
      <c r="AX15" s="403"/>
      <c r="AY15" s="202"/>
      <c r="AZ15" s="101"/>
      <c r="BA15" s="403"/>
      <c r="BB15" s="403"/>
      <c r="BC15" s="403"/>
      <c r="BD15" s="403"/>
      <c r="BE15" s="403"/>
      <c r="BN15" s="149">
        <v>29680</v>
      </c>
      <c r="CJ15" s="104"/>
    </row>
    <row r="16" s="149" customFormat="1" customHeight="1" spans="1:88">
      <c r="C16" s="401"/>
      <c r="G16" s="149" t="s">
        <v>1322</v>
      </c>
      <c r="I16" s="149" t="s">
        <v>1323</v>
      </c>
      <c r="J16" s="149">
        <v>11.28</v>
      </c>
      <c r="L16" s="149">
        <v>2060.28</v>
      </c>
      <c r="M16" s="402">
        <v>23240</v>
      </c>
      <c r="N16" s="403"/>
      <c r="O16" s="404"/>
      <c r="P16" s="405"/>
      <c r="Q16" s="405"/>
      <c r="R16" s="403"/>
      <c r="S16" s="406"/>
      <c r="T16" s="406"/>
      <c r="U16" s="406"/>
      <c r="V16" s="403">
        <v>23240</v>
      </c>
      <c r="W16" s="406" t="s">
        <v>1324</v>
      </c>
      <c r="X16" s="403"/>
      <c r="Y16" s="407"/>
      <c r="Z16" s="403"/>
      <c r="AA16" s="408"/>
      <c r="AB16" s="403"/>
      <c r="AH16" s="403">
        <f t="shared" si="0"/>
        <v>23240</v>
      </c>
      <c r="AK16" s="409">
        <f t="shared" si="1"/>
        <v>0</v>
      </c>
      <c r="AQ16" s="410">
        <v>0.02</v>
      </c>
      <c r="AR16" s="411">
        <f t="shared" si="2"/>
        <v>23240</v>
      </c>
      <c r="AS16" s="403"/>
      <c r="AT16" s="403"/>
      <c r="AU16" s="403"/>
      <c r="AV16" s="403"/>
      <c r="AW16" s="403"/>
      <c r="AX16" s="403"/>
      <c r="AY16" s="202"/>
      <c r="AZ16" s="101"/>
      <c r="BA16" s="403"/>
      <c r="BB16" s="403"/>
      <c r="BC16" s="403"/>
      <c r="BD16" s="403"/>
      <c r="BE16" s="403"/>
      <c r="BN16" s="149">
        <v>23240</v>
      </c>
      <c r="CJ16" s="104"/>
    </row>
    <row r="17" s="149" customFormat="1" customHeight="1" spans="1:88">
      <c r="C17" s="401"/>
      <c r="G17" s="149" t="s">
        <v>1325</v>
      </c>
      <c r="I17" s="149" t="s">
        <v>1326</v>
      </c>
      <c r="J17" s="149">
        <v>22.45</v>
      </c>
      <c r="L17" s="149">
        <v>2059.69</v>
      </c>
      <c r="M17" s="402">
        <v>46240</v>
      </c>
      <c r="N17" s="403"/>
      <c r="O17" s="404"/>
      <c r="P17" s="405"/>
      <c r="Q17" s="405"/>
      <c r="R17" s="403"/>
      <c r="S17" s="406"/>
      <c r="T17" s="406"/>
      <c r="U17" s="406"/>
      <c r="V17" s="403">
        <v>2000</v>
      </c>
      <c r="W17" s="406">
        <v>45537</v>
      </c>
      <c r="X17" s="403">
        <v>44240</v>
      </c>
      <c r="Y17" s="407">
        <v>45547</v>
      </c>
      <c r="Z17" s="403"/>
      <c r="AA17" s="408"/>
      <c r="AB17" s="403"/>
      <c r="AH17" s="403">
        <f t="shared" si="0"/>
        <v>46240</v>
      </c>
      <c r="AK17" s="409">
        <f t="shared" si="1"/>
        <v>0</v>
      </c>
      <c r="AQ17" s="410">
        <v>0.02</v>
      </c>
      <c r="AR17" s="411">
        <f t="shared" si="2"/>
        <v>46240</v>
      </c>
      <c r="AS17" s="403"/>
      <c r="AT17" s="403"/>
      <c r="AU17" s="403"/>
      <c r="AV17" s="403"/>
      <c r="AW17" s="403"/>
      <c r="AX17" s="403"/>
      <c r="AY17" s="202"/>
      <c r="AZ17" s="101"/>
      <c r="BA17" s="403"/>
      <c r="BB17" s="403"/>
      <c r="BC17" s="403"/>
      <c r="BD17" s="403"/>
      <c r="BE17" s="403"/>
      <c r="BN17" s="149">
        <v>46240</v>
      </c>
      <c r="CJ17" s="104"/>
    </row>
    <row r="18" s="149" customFormat="1" customHeight="1" spans="1:88">
      <c r="C18" s="401"/>
      <c r="I18" s="149" t="s">
        <v>1327</v>
      </c>
      <c r="J18" s="149">
        <v>67.3</v>
      </c>
      <c r="M18" s="402"/>
      <c r="N18" s="403"/>
      <c r="O18" s="404"/>
      <c r="P18" s="405"/>
      <c r="Q18" s="405"/>
      <c r="R18" s="403"/>
      <c r="S18" s="406"/>
      <c r="T18" s="406"/>
      <c r="U18" s="406"/>
      <c r="V18" s="403"/>
      <c r="X18" s="403"/>
      <c r="Y18" s="407"/>
      <c r="Z18" s="403"/>
      <c r="AA18" s="408"/>
      <c r="AB18" s="403"/>
      <c r="AH18" s="403">
        <f t="shared" si="0"/>
        <v>0</v>
      </c>
      <c r="AK18" s="409">
        <f t="shared" si="1"/>
        <v>0</v>
      </c>
      <c r="AQ18" s="410">
        <v>0.02</v>
      </c>
      <c r="AR18" s="411">
        <f t="shared" si="2"/>
        <v>0</v>
      </c>
      <c r="AS18" s="403"/>
      <c r="AT18" s="403"/>
      <c r="AU18" s="403"/>
      <c r="AV18" s="403"/>
      <c r="AW18" s="403"/>
      <c r="AX18" s="403"/>
      <c r="AY18" s="202"/>
      <c r="AZ18" s="101"/>
      <c r="BA18" s="403"/>
      <c r="BB18" s="403"/>
      <c r="BC18" s="403"/>
      <c r="BD18" s="403"/>
      <c r="BE18" s="403"/>
      <c r="CJ18" s="104"/>
    </row>
    <row r="19" s="149" customFormat="1" customHeight="1" spans="1:88">
      <c r="C19" s="401"/>
      <c r="I19" s="149" t="s">
        <v>1328</v>
      </c>
      <c r="J19" s="149">
        <v>67.3</v>
      </c>
      <c r="M19" s="402"/>
      <c r="N19" s="403"/>
      <c r="O19" s="404"/>
      <c r="P19" s="405"/>
      <c r="Q19" s="405"/>
      <c r="R19" s="403"/>
      <c r="S19" s="406"/>
      <c r="T19" s="406"/>
      <c r="U19" s="406"/>
      <c r="V19" s="403"/>
      <c r="X19" s="403"/>
      <c r="Y19" s="407"/>
      <c r="Z19" s="403"/>
      <c r="AA19" s="408"/>
      <c r="AB19" s="403"/>
      <c r="AH19" s="403">
        <f t="shared" si="0"/>
        <v>0</v>
      </c>
      <c r="AK19" s="409">
        <f t="shared" si="1"/>
        <v>0</v>
      </c>
      <c r="AQ19" s="410">
        <v>0.02</v>
      </c>
      <c r="AR19" s="411">
        <f t="shared" si="2"/>
        <v>0</v>
      </c>
      <c r="AS19" s="403"/>
      <c r="AT19" s="403"/>
      <c r="AU19" s="403"/>
      <c r="AV19" s="403"/>
      <c r="AW19" s="403"/>
      <c r="AX19" s="403"/>
      <c r="AY19" s="202"/>
      <c r="AZ19" s="101"/>
      <c r="BA19" s="403"/>
      <c r="BB19" s="403"/>
      <c r="BC19" s="403"/>
      <c r="BD19" s="403"/>
      <c r="BE19" s="403"/>
      <c r="CJ19" s="104"/>
    </row>
    <row r="20" s="149" customFormat="1" customHeight="1" spans="1:88">
      <c r="C20" s="401"/>
      <c r="H20" s="149" t="s">
        <v>1315</v>
      </c>
      <c r="I20" s="149" t="s">
        <v>1329</v>
      </c>
      <c r="J20" s="149">
        <v>10.47</v>
      </c>
      <c r="M20" s="402"/>
      <c r="N20" s="403"/>
      <c r="O20" s="404"/>
      <c r="P20" s="405"/>
      <c r="Q20" s="405"/>
      <c r="R20" s="403"/>
      <c r="S20" s="406"/>
      <c r="T20" s="406"/>
      <c r="U20" s="406"/>
      <c r="V20" s="403"/>
      <c r="X20" s="403"/>
      <c r="Y20" s="407"/>
      <c r="Z20" s="403"/>
      <c r="AA20" s="408"/>
      <c r="AB20" s="403"/>
      <c r="AH20" s="403">
        <f t="shared" si="0"/>
        <v>0</v>
      </c>
      <c r="AK20" s="409">
        <f t="shared" si="1"/>
        <v>0</v>
      </c>
      <c r="AQ20" s="410">
        <v>0.02</v>
      </c>
      <c r="AR20" s="411">
        <f t="shared" si="2"/>
        <v>0</v>
      </c>
      <c r="AS20" s="403"/>
      <c r="AT20" s="403"/>
      <c r="AU20" s="403"/>
      <c r="AV20" s="403"/>
      <c r="AW20" s="403"/>
      <c r="AX20" s="403"/>
      <c r="AY20" s="202"/>
      <c r="AZ20" s="101"/>
      <c r="BA20" s="403"/>
      <c r="BB20" s="403"/>
      <c r="BC20" s="403"/>
      <c r="BD20" s="403"/>
      <c r="BE20" s="403"/>
      <c r="CJ20" s="104"/>
    </row>
    <row r="21" s="149" customFormat="1" customHeight="1" spans="1:88">
      <c r="C21" s="401"/>
      <c r="G21" s="149" t="s">
        <v>1330</v>
      </c>
      <c r="I21" s="149" t="s">
        <v>1331</v>
      </c>
      <c r="J21" s="149">
        <v>10.8</v>
      </c>
      <c r="L21" s="149">
        <v>2059.26</v>
      </c>
      <c r="M21" s="402">
        <v>22240</v>
      </c>
      <c r="N21" s="403"/>
      <c r="O21" s="404"/>
      <c r="P21" s="405"/>
      <c r="Q21" s="405"/>
      <c r="R21" s="403"/>
      <c r="S21" s="406"/>
      <c r="T21" s="406"/>
      <c r="U21" s="406"/>
      <c r="V21" s="403">
        <v>2000</v>
      </c>
      <c r="W21" s="406">
        <v>45539</v>
      </c>
      <c r="X21" s="403">
        <v>20240</v>
      </c>
      <c r="Y21" s="407">
        <v>45543</v>
      </c>
      <c r="Z21" s="403"/>
      <c r="AA21" s="408"/>
      <c r="AB21" s="403"/>
      <c r="AH21" s="403">
        <f t="shared" si="0"/>
        <v>22240</v>
      </c>
      <c r="AK21" s="409">
        <f t="shared" si="1"/>
        <v>0</v>
      </c>
      <c r="AQ21" s="410">
        <v>0.02</v>
      </c>
      <c r="AR21" s="411">
        <f t="shared" si="2"/>
        <v>22240</v>
      </c>
      <c r="AS21" s="403"/>
      <c r="AT21" s="403"/>
      <c r="AU21" s="403"/>
      <c r="AV21" s="403"/>
      <c r="AW21" s="403"/>
      <c r="AX21" s="403"/>
      <c r="AY21" s="202"/>
      <c r="AZ21" s="101"/>
      <c r="BA21" s="403"/>
      <c r="BB21" s="403"/>
      <c r="BC21" s="403"/>
      <c r="BD21" s="403"/>
      <c r="BE21" s="403"/>
      <c r="BN21" s="149">
        <v>22240</v>
      </c>
      <c r="CJ21" s="104"/>
    </row>
    <row r="22" s="149" customFormat="1" customHeight="1" spans="1:88">
      <c r="C22" s="401"/>
      <c r="G22" s="149" t="s">
        <v>1332</v>
      </c>
      <c r="I22" s="149" t="s">
        <v>1333</v>
      </c>
      <c r="J22" s="149">
        <v>39.37</v>
      </c>
      <c r="L22" s="149">
        <v>2059.44</v>
      </c>
      <c r="M22" s="402">
        <v>81080</v>
      </c>
      <c r="N22" s="403"/>
      <c r="O22" s="404"/>
      <c r="P22" s="405"/>
      <c r="Q22" s="405"/>
      <c r="R22" s="403"/>
      <c r="S22" s="406"/>
      <c r="T22" s="406"/>
      <c r="U22" s="406"/>
      <c r="V22" s="403">
        <v>5000</v>
      </c>
      <c r="W22" s="406">
        <v>45537</v>
      </c>
      <c r="X22" s="403">
        <v>76080</v>
      </c>
      <c r="Y22" s="407" t="s">
        <v>1167</v>
      </c>
      <c r="Z22" s="403"/>
      <c r="AA22" s="408"/>
      <c r="AB22" s="403"/>
      <c r="AH22" s="403">
        <f t="shared" si="0"/>
        <v>81080</v>
      </c>
      <c r="AK22" s="409">
        <f t="shared" si="1"/>
        <v>0</v>
      </c>
      <c r="AQ22" s="410">
        <v>0.02</v>
      </c>
      <c r="AR22" s="411">
        <f t="shared" si="2"/>
        <v>81080</v>
      </c>
      <c r="AS22" s="403"/>
      <c r="AT22" s="403"/>
      <c r="AU22" s="403"/>
      <c r="AV22" s="403"/>
      <c r="AW22" s="403"/>
      <c r="AX22" s="403"/>
      <c r="AY22" s="202"/>
      <c r="AZ22" s="101"/>
      <c r="BA22" s="403"/>
      <c r="BB22" s="403"/>
      <c r="BC22" s="403"/>
      <c r="BD22" s="403"/>
      <c r="BE22" s="403"/>
      <c r="BN22" s="149">
        <v>81080</v>
      </c>
      <c r="CJ22" s="104"/>
    </row>
    <row r="23" s="134" customFormat="1" ht="40" customHeight="1" spans="1:88">
      <c r="A23" s="134">
        <v>1</v>
      </c>
      <c r="C23" s="413">
        <v>45931</v>
      </c>
      <c r="D23" s="134">
        <v>20250004955</v>
      </c>
      <c r="E23" s="134" t="s">
        <v>1334</v>
      </c>
      <c r="F23" s="1006" t="s">
        <v>466</v>
      </c>
      <c r="G23" s="143" t="s">
        <v>1335</v>
      </c>
      <c r="H23" s="143"/>
      <c r="I23" s="414" t="s">
        <v>1336</v>
      </c>
      <c r="J23" s="134">
        <v>149.84</v>
      </c>
      <c r="K23" s="134">
        <v>149.84</v>
      </c>
      <c r="L23" s="134">
        <v>8391.93</v>
      </c>
      <c r="M23" s="358">
        <v>1257447</v>
      </c>
      <c r="N23" s="359">
        <v>7873</v>
      </c>
      <c r="O23" s="145">
        <v>1153621.1</v>
      </c>
      <c r="P23" s="415" t="s">
        <v>1337</v>
      </c>
      <c r="Q23" s="361">
        <v>45951</v>
      </c>
      <c r="R23" s="359"/>
      <c r="S23" s="416"/>
      <c r="T23" s="416" t="s">
        <v>1338</v>
      </c>
      <c r="U23" s="416" t="s">
        <v>470</v>
      </c>
      <c r="V23" s="359">
        <v>20000</v>
      </c>
      <c r="W23" s="417" t="s">
        <v>964</v>
      </c>
      <c r="X23" s="359">
        <v>1257447</v>
      </c>
      <c r="Y23" s="416">
        <v>45926</v>
      </c>
      <c r="Z23" s="359">
        <v>-20000</v>
      </c>
      <c r="AA23" s="416">
        <v>46085</v>
      </c>
      <c r="AB23" s="359"/>
      <c r="AH23" s="359">
        <f t="shared" si="0"/>
        <v>1257447</v>
      </c>
      <c r="AK23" s="364">
        <f t="shared" si="1"/>
        <v>0</v>
      </c>
      <c r="AN23" s="418"/>
      <c r="AO23" s="418"/>
      <c r="AP23" s="418"/>
      <c r="AQ23" s="365">
        <f>0.6%+0.06%+0.14%</f>
        <v>0.008</v>
      </c>
      <c r="AR23" s="419">
        <f t="shared" si="2"/>
        <v>0</v>
      </c>
      <c r="AS23" s="359">
        <f>100</f>
        <v>100</v>
      </c>
      <c r="AT23" s="359">
        <f>100+100</f>
        <v>200</v>
      </c>
      <c r="AU23" s="359"/>
      <c r="AV23" s="359"/>
      <c r="AW23" s="359"/>
      <c r="AX23" s="359"/>
      <c r="AY23" s="218"/>
      <c r="BA23" s="359"/>
      <c r="BB23" s="359"/>
      <c r="BC23" s="359"/>
      <c r="BD23" s="359"/>
      <c r="BE23" s="359"/>
      <c r="BV23" s="109"/>
      <c r="BZ23" s="134" t="s">
        <v>376</v>
      </c>
      <c r="CB23" s="134" t="s">
        <v>377</v>
      </c>
      <c r="CE23" s="149"/>
    </row>
    <row r="24" s="134" customFormat="1" ht="55" customHeight="1" spans="1:88">
      <c r="A24" s="134">
        <v>2</v>
      </c>
      <c r="C24" s="413">
        <v>44968</v>
      </c>
      <c r="D24" s="420">
        <v>20230001464</v>
      </c>
      <c r="F24" s="1006" t="s">
        <v>1339</v>
      </c>
      <c r="G24" s="143" t="s">
        <v>1340</v>
      </c>
      <c r="H24" s="1010" t="s">
        <v>1341</v>
      </c>
      <c r="I24" s="414" t="s">
        <v>1342</v>
      </c>
      <c r="J24" s="134">
        <v>140.29</v>
      </c>
      <c r="K24" s="134">
        <v>140.29</v>
      </c>
      <c r="L24" s="134">
        <v>7863</v>
      </c>
      <c r="M24" s="358">
        <v>1103100</v>
      </c>
      <c r="N24" s="359"/>
      <c r="O24" s="145">
        <v>1012018.35</v>
      </c>
      <c r="P24" s="415" t="s">
        <v>1343</v>
      </c>
      <c r="Q24" s="361">
        <v>45653</v>
      </c>
      <c r="R24" s="359"/>
      <c r="S24" s="416"/>
      <c r="T24" s="416" t="s">
        <v>1344</v>
      </c>
      <c r="U24" s="416" t="s">
        <v>1345</v>
      </c>
      <c r="V24" s="359">
        <f>20000+2000-2000</f>
        <v>20000</v>
      </c>
      <c r="W24" s="413" t="s">
        <v>1346</v>
      </c>
      <c r="X24" s="359">
        <v>20000</v>
      </c>
      <c r="Y24" s="417" t="s">
        <v>1347</v>
      </c>
      <c r="Z24" s="359">
        <v>793100</v>
      </c>
      <c r="AA24" s="417" t="s">
        <v>1348</v>
      </c>
      <c r="AB24" s="359">
        <v>270000</v>
      </c>
      <c r="AC24" s="134" t="s">
        <v>1349</v>
      </c>
      <c r="AH24" s="359">
        <f t="shared" si="0"/>
        <v>1103100</v>
      </c>
      <c r="AK24" s="364">
        <f t="shared" ref="AK24:AK87" si="3">M24-AH24</f>
        <v>0</v>
      </c>
      <c r="AL24" s="134">
        <v>13309963919</v>
      </c>
      <c r="AN24" s="418"/>
      <c r="AO24" s="418"/>
      <c r="AP24" s="418"/>
      <c r="AQ24" s="365">
        <f>0.4%+0.06%+0.14%</f>
        <v>0.006</v>
      </c>
      <c r="AR24" s="419">
        <f t="shared" si="2"/>
        <v>1103100</v>
      </c>
      <c r="AS24" s="359">
        <f>100+100+100</f>
        <v>300</v>
      </c>
      <c r="AT24" s="359"/>
      <c r="AU24" s="359"/>
      <c r="AV24" s="359">
        <v>833100</v>
      </c>
      <c r="AW24" s="359">
        <v>270000</v>
      </c>
      <c r="AX24" s="359"/>
      <c r="AY24" s="421"/>
      <c r="AZ24" s="422"/>
      <c r="BA24" s="359"/>
      <c r="BB24" s="359"/>
      <c r="BC24" s="359"/>
      <c r="BD24" s="359"/>
      <c r="BE24" s="359"/>
      <c r="BZ24" s="134" t="s">
        <v>376</v>
      </c>
      <c r="CA24" s="134" t="s">
        <v>387</v>
      </c>
      <c r="CB24" s="134" t="s">
        <v>377</v>
      </c>
      <c r="CE24" s="149"/>
    </row>
    <row r="25" s="134" customFormat="1" customHeight="1" spans="1:88">
      <c r="A25" s="134">
        <v>3</v>
      </c>
      <c r="C25" s="413">
        <v>45083</v>
      </c>
      <c r="D25" s="420">
        <v>20230004789</v>
      </c>
      <c r="F25" s="1006" t="s">
        <v>1350</v>
      </c>
      <c r="G25" s="134" t="s">
        <v>1310</v>
      </c>
      <c r="H25" s="1006" t="s">
        <v>1351</v>
      </c>
      <c r="I25" s="423" t="s">
        <v>1352</v>
      </c>
      <c r="J25" s="134">
        <v>146.97</v>
      </c>
      <c r="K25" s="134">
        <v>146.97</v>
      </c>
      <c r="L25" s="134">
        <v>5270</v>
      </c>
      <c r="M25" s="358">
        <v>774532</v>
      </c>
      <c r="N25" s="359">
        <v>5259.93</v>
      </c>
      <c r="O25" s="145">
        <v>710579.82</v>
      </c>
      <c r="P25" s="415" t="s">
        <v>1353</v>
      </c>
      <c r="Q25" s="361">
        <v>45656</v>
      </c>
      <c r="R25" s="359"/>
      <c r="U25" s="134" t="s">
        <v>400</v>
      </c>
      <c r="V25" s="359">
        <v>20000</v>
      </c>
      <c r="W25" s="134" t="s">
        <v>964</v>
      </c>
      <c r="X25" s="359">
        <v>255532</v>
      </c>
      <c r="Y25" s="417" t="s">
        <v>1354</v>
      </c>
      <c r="Z25" s="359">
        <v>499000</v>
      </c>
      <c r="AA25" s="134" t="s">
        <v>715</v>
      </c>
      <c r="AB25" s="359"/>
      <c r="AH25" s="359">
        <f t="shared" si="0"/>
        <v>774532</v>
      </c>
      <c r="AK25" s="364">
        <f t="shared" si="3"/>
        <v>0</v>
      </c>
      <c r="AL25" s="134">
        <v>18999000976</v>
      </c>
      <c r="AN25" s="418"/>
      <c r="AO25" s="418"/>
      <c r="AP25" s="418"/>
      <c r="AQ25" s="365">
        <f>0.4%+0.04%+0.14%</f>
        <v>0.0058</v>
      </c>
      <c r="AR25" s="419">
        <f t="shared" si="2"/>
        <v>774532</v>
      </c>
      <c r="AS25" s="359"/>
      <c r="AT25" s="359"/>
      <c r="AU25" s="359"/>
      <c r="AV25" s="359"/>
      <c r="AW25" s="359"/>
      <c r="AX25" s="359"/>
      <c r="AY25" s="218"/>
      <c r="AZ25" s="292">
        <v>275532</v>
      </c>
      <c r="BA25" s="359"/>
      <c r="BB25" s="359"/>
      <c r="BC25" s="359"/>
      <c r="BD25" s="359"/>
      <c r="BE25" s="359"/>
      <c r="BH25" s="134">
        <v>499000</v>
      </c>
      <c r="BZ25" s="134" t="s">
        <v>376</v>
      </c>
      <c r="CA25" s="134" t="s">
        <v>387</v>
      </c>
      <c r="CB25" s="134" t="s">
        <v>377</v>
      </c>
      <c r="CE25" s="149"/>
    </row>
    <row r="26" s="134" customFormat="1" customHeight="1" spans="1:88">
      <c r="A26" s="134">
        <v>4</v>
      </c>
      <c r="C26" s="413">
        <v>45301</v>
      </c>
      <c r="D26" s="420">
        <v>20240000220</v>
      </c>
      <c r="F26" s="1006" t="s">
        <v>1355</v>
      </c>
      <c r="G26" s="134" t="s">
        <v>1356</v>
      </c>
      <c r="H26" s="1006" t="s">
        <v>1357</v>
      </c>
      <c r="I26" s="414" t="s">
        <v>1358</v>
      </c>
      <c r="J26" s="134">
        <v>137.77</v>
      </c>
      <c r="K26" s="134">
        <v>137.77</v>
      </c>
      <c r="L26" s="134">
        <v>5334.97</v>
      </c>
      <c r="M26" s="358">
        <v>735000</v>
      </c>
      <c r="N26" s="359">
        <v>5273.09</v>
      </c>
      <c r="O26" s="145">
        <v>674311.93</v>
      </c>
      <c r="P26" s="424">
        <v>2.56520000000093e+19</v>
      </c>
      <c r="Q26" s="361">
        <v>45715</v>
      </c>
      <c r="R26" s="359"/>
      <c r="S26" s="362"/>
      <c r="T26" s="362"/>
      <c r="U26" s="362" t="s">
        <v>662</v>
      </c>
      <c r="V26" s="359">
        <v>20000</v>
      </c>
      <c r="W26" s="138" t="s">
        <v>964</v>
      </c>
      <c r="X26" s="359">
        <v>7000</v>
      </c>
      <c r="Y26" s="362" t="s">
        <v>1359</v>
      </c>
      <c r="Z26" s="359">
        <v>140000</v>
      </c>
      <c r="AA26" s="362" t="s">
        <v>1360</v>
      </c>
      <c r="AB26" s="359">
        <v>568000</v>
      </c>
      <c r="AC26" s="362" t="s">
        <v>672</v>
      </c>
      <c r="AH26" s="359">
        <f t="shared" si="0"/>
        <v>735000</v>
      </c>
      <c r="AK26" s="364">
        <f t="shared" si="3"/>
        <v>0</v>
      </c>
      <c r="AL26" s="134">
        <v>15899013512</v>
      </c>
      <c r="AN26" s="418"/>
      <c r="AO26" s="418"/>
      <c r="AP26" s="418"/>
      <c r="AQ26" s="365">
        <f>0.4%+0.08%</f>
        <v>0.0048</v>
      </c>
      <c r="AR26" s="419">
        <f t="shared" si="2"/>
        <v>735000</v>
      </c>
      <c r="AS26" s="359"/>
      <c r="AT26" s="359">
        <v>100</v>
      </c>
      <c r="AU26" s="359"/>
      <c r="AV26" s="359"/>
      <c r="AW26" s="359"/>
      <c r="AX26" s="359"/>
      <c r="AY26" s="218"/>
      <c r="AZ26" s="425"/>
      <c r="BA26" s="359"/>
      <c r="BB26" s="359"/>
      <c r="BC26" s="359"/>
      <c r="BD26" s="359"/>
      <c r="BE26" s="359"/>
      <c r="BJ26" s="134">
        <v>167000</v>
      </c>
      <c r="BK26" s="134">
        <v>568000</v>
      </c>
      <c r="BZ26" s="134" t="s">
        <v>376</v>
      </c>
      <c r="CA26" s="134" t="s">
        <v>387</v>
      </c>
      <c r="CB26" s="134" t="s">
        <v>377</v>
      </c>
      <c r="CE26" s="149"/>
    </row>
    <row r="27" s="134" customFormat="1" customHeight="1" spans="1:88">
      <c r="A27" s="134">
        <v>5</v>
      </c>
      <c r="C27" s="413">
        <v>44977</v>
      </c>
      <c r="D27" s="420">
        <v>20230001743</v>
      </c>
      <c r="F27" s="134" t="s">
        <v>1361</v>
      </c>
      <c r="G27" s="134" t="s">
        <v>1362</v>
      </c>
      <c r="I27" s="423" t="s">
        <v>1363</v>
      </c>
      <c r="J27" s="134">
        <v>146.97</v>
      </c>
      <c r="K27" s="134">
        <v>146.97</v>
      </c>
      <c r="L27" s="134">
        <v>5245.55</v>
      </c>
      <c r="M27" s="358">
        <v>770939</v>
      </c>
      <c r="N27" s="359"/>
      <c r="O27" s="145">
        <v>707283.49</v>
      </c>
      <c r="P27" s="415" t="s">
        <v>1364</v>
      </c>
      <c r="Q27" s="361">
        <v>45656</v>
      </c>
      <c r="R27" s="359"/>
      <c r="T27" s="134" t="s">
        <v>1362</v>
      </c>
      <c r="U27" s="134" t="s">
        <v>1362</v>
      </c>
      <c r="V27" s="359">
        <v>770939</v>
      </c>
      <c r="W27" s="134" t="s">
        <v>1365</v>
      </c>
      <c r="X27" s="359"/>
      <c r="Y27" s="417"/>
      <c r="Z27" s="359"/>
      <c r="AA27" s="417"/>
      <c r="AB27" s="359"/>
      <c r="AH27" s="359">
        <f t="shared" si="0"/>
        <v>770939</v>
      </c>
      <c r="AK27" s="364">
        <f t="shared" si="3"/>
        <v>0</v>
      </c>
      <c r="AL27" s="134">
        <v>13667521555</v>
      </c>
      <c r="AN27" s="418"/>
      <c r="AO27" s="418"/>
      <c r="AP27" s="418"/>
      <c r="AQ27" s="365">
        <f>0.5%+0.06%+0.14%</f>
        <v>0.007</v>
      </c>
      <c r="AR27" s="419">
        <f t="shared" si="2"/>
        <v>770939</v>
      </c>
      <c r="AS27" s="359"/>
      <c r="AT27" s="359"/>
      <c r="AU27" s="359"/>
      <c r="AV27" s="359">
        <v>770939</v>
      </c>
      <c r="AW27" s="359"/>
      <c r="AX27" s="359"/>
      <c r="AY27" s="421"/>
      <c r="AZ27" s="422"/>
      <c r="BA27" s="359"/>
      <c r="BB27" s="359"/>
      <c r="BC27" s="359"/>
      <c r="BD27" s="359"/>
      <c r="BE27" s="359"/>
      <c r="BZ27" s="134" t="s">
        <v>376</v>
      </c>
      <c r="CA27" s="134" t="s">
        <v>387</v>
      </c>
      <c r="CB27" s="134" t="s">
        <v>377</v>
      </c>
      <c r="CE27" s="149"/>
    </row>
    <row r="28" s="134" customFormat="1" customHeight="1" spans="1:88">
      <c r="A28" s="134">
        <v>6</v>
      </c>
      <c r="C28" s="413">
        <v>44967</v>
      </c>
      <c r="D28" s="420">
        <v>20230001404</v>
      </c>
      <c r="F28" s="1006" t="s">
        <v>1366</v>
      </c>
      <c r="G28" s="143" t="s">
        <v>1367</v>
      </c>
      <c r="H28" s="1010" t="s">
        <v>1368</v>
      </c>
      <c r="I28" s="414" t="s">
        <v>1369</v>
      </c>
      <c r="J28" s="134">
        <v>137.77</v>
      </c>
      <c r="K28" s="134">
        <v>137.77</v>
      </c>
      <c r="L28" s="417">
        <v>5140.96</v>
      </c>
      <c r="M28" s="358">
        <v>708270</v>
      </c>
      <c r="N28" s="359"/>
      <c r="O28" s="145">
        <v>649788.99</v>
      </c>
      <c r="P28" s="415" t="s">
        <v>1370</v>
      </c>
      <c r="Q28" s="361">
        <v>45656</v>
      </c>
      <c r="R28" s="359"/>
      <c r="S28" s="416"/>
      <c r="T28" s="426" t="s">
        <v>1371</v>
      </c>
      <c r="U28" s="416" t="s">
        <v>1372</v>
      </c>
      <c r="V28" s="359">
        <v>308270</v>
      </c>
      <c r="W28" s="417" t="s">
        <v>1346</v>
      </c>
      <c r="X28" s="359">
        <v>400000</v>
      </c>
      <c r="Y28" s="417" t="s">
        <v>1001</v>
      </c>
      <c r="Z28" s="359"/>
      <c r="AA28" s="417"/>
      <c r="AB28" s="359"/>
      <c r="AH28" s="359">
        <f t="shared" si="0"/>
        <v>708270</v>
      </c>
      <c r="AK28" s="364">
        <f t="shared" si="3"/>
        <v>0</v>
      </c>
      <c r="AL28" s="134">
        <v>13779646868</v>
      </c>
      <c r="AN28" s="418"/>
      <c r="AO28" s="418"/>
      <c r="AP28" s="418"/>
      <c r="AQ28" s="365">
        <f>0.6%+0.04%+0.1%</f>
        <v>0.0074</v>
      </c>
      <c r="AR28" s="419">
        <f t="shared" si="2"/>
        <v>708270</v>
      </c>
      <c r="AS28" s="359">
        <f t="shared" ref="AS28:AS34" si="4">100</f>
        <v>100</v>
      </c>
      <c r="AT28" s="359">
        <v>100</v>
      </c>
      <c r="AU28" s="359"/>
      <c r="AV28" s="359">
        <v>308270</v>
      </c>
      <c r="AW28" s="359"/>
      <c r="AX28" s="359">
        <v>400000</v>
      </c>
      <c r="AY28" s="421"/>
      <c r="AZ28" s="422"/>
      <c r="BA28" s="359"/>
      <c r="BB28" s="359"/>
      <c r="BC28" s="359"/>
      <c r="BD28" s="359"/>
      <c r="BE28" s="359"/>
      <c r="BZ28" s="134" t="s">
        <v>376</v>
      </c>
      <c r="CA28" s="134" t="s">
        <v>387</v>
      </c>
      <c r="CB28" s="134" t="s">
        <v>377</v>
      </c>
      <c r="CE28" s="149"/>
    </row>
    <row r="29" s="134" customFormat="1" customHeight="1" spans="1:88">
      <c r="A29" s="134">
        <v>7</v>
      </c>
      <c r="C29" s="413">
        <v>44968</v>
      </c>
      <c r="D29" s="420">
        <v>20230001431</v>
      </c>
      <c r="F29" s="1006" t="s">
        <v>1373</v>
      </c>
      <c r="G29" s="134" t="s">
        <v>1322</v>
      </c>
      <c r="H29" s="1006" t="s">
        <v>1374</v>
      </c>
      <c r="I29" s="423" t="s">
        <v>1375</v>
      </c>
      <c r="J29" s="134">
        <v>146.97</v>
      </c>
      <c r="K29" s="134">
        <v>146.97</v>
      </c>
      <c r="L29" s="134">
        <v>5300</v>
      </c>
      <c r="M29" s="358">
        <v>778941</v>
      </c>
      <c r="N29" s="359"/>
      <c r="O29" s="145">
        <v>714624.77</v>
      </c>
      <c r="P29" s="415" t="s">
        <v>1376</v>
      </c>
      <c r="Q29" s="361">
        <v>45656</v>
      </c>
      <c r="R29" s="359"/>
      <c r="T29" s="134" t="s">
        <v>1322</v>
      </c>
      <c r="U29" s="134" t="s">
        <v>1322</v>
      </c>
      <c r="V29" s="359">
        <v>20000</v>
      </c>
      <c r="W29" s="134" t="s">
        <v>1377</v>
      </c>
      <c r="X29" s="359">
        <v>218941</v>
      </c>
      <c r="Y29" s="417" t="s">
        <v>1347</v>
      </c>
      <c r="Z29" s="359">
        <v>540000</v>
      </c>
      <c r="AA29" s="134" t="s">
        <v>1036</v>
      </c>
      <c r="AB29" s="359"/>
      <c r="AH29" s="359">
        <f t="shared" si="0"/>
        <v>778941</v>
      </c>
      <c r="AK29" s="364">
        <f t="shared" si="3"/>
        <v>0</v>
      </c>
      <c r="AL29" s="134">
        <v>18799823394</v>
      </c>
      <c r="AN29" s="418"/>
      <c r="AO29" s="418"/>
      <c r="AP29" s="418"/>
      <c r="AQ29" s="365">
        <f>0.6%+0.05%+0.14%+0.06%</f>
        <v>0.0085</v>
      </c>
      <c r="AR29" s="419">
        <f t="shared" si="2"/>
        <v>778941</v>
      </c>
      <c r="AS29" s="359"/>
      <c r="AT29" s="359"/>
      <c r="AU29" s="359"/>
      <c r="AV29" s="359">
        <v>238941</v>
      </c>
      <c r="AW29" s="359"/>
      <c r="AX29" s="359"/>
      <c r="AY29" s="421"/>
      <c r="AZ29" s="422"/>
      <c r="BA29" s="359"/>
      <c r="BB29" s="359"/>
      <c r="BC29" s="359">
        <v>540000</v>
      </c>
      <c r="BD29" s="359"/>
      <c r="BE29" s="359"/>
      <c r="BZ29" s="134" t="s">
        <v>376</v>
      </c>
      <c r="CA29" s="134" t="s">
        <v>387</v>
      </c>
      <c r="CB29" s="134" t="s">
        <v>377</v>
      </c>
      <c r="CE29" s="149"/>
    </row>
    <row r="30" s="134" customFormat="1" customHeight="1" spans="1:88">
      <c r="A30" s="134">
        <v>8</v>
      </c>
      <c r="C30" s="413">
        <v>44962</v>
      </c>
      <c r="D30" s="420">
        <v>20230000706</v>
      </c>
      <c r="F30" s="1006" t="s">
        <v>1378</v>
      </c>
      <c r="G30" s="143" t="s">
        <v>1379</v>
      </c>
      <c r="H30" s="143"/>
      <c r="I30" s="414" t="s">
        <v>1380</v>
      </c>
      <c r="J30" s="134">
        <v>137.77</v>
      </c>
      <c r="K30" s="134">
        <v>137.77</v>
      </c>
      <c r="L30" s="134">
        <v>5320</v>
      </c>
      <c r="M30" s="358">
        <v>732936</v>
      </c>
      <c r="N30" s="359"/>
      <c r="O30" s="145">
        <v>672418.35</v>
      </c>
      <c r="P30" s="415" t="s">
        <v>1381</v>
      </c>
      <c r="Q30" s="361">
        <v>45656</v>
      </c>
      <c r="R30" s="359"/>
      <c r="S30" s="416"/>
      <c r="T30" s="416" t="s">
        <v>1382</v>
      </c>
      <c r="U30" s="416" t="s">
        <v>1382</v>
      </c>
      <c r="V30" s="359">
        <v>300936</v>
      </c>
      <c r="W30" s="427" t="s">
        <v>1383</v>
      </c>
      <c r="X30" s="359">
        <v>432000</v>
      </c>
      <c r="Y30" s="417" t="s">
        <v>1384</v>
      </c>
      <c r="Z30" s="359"/>
      <c r="AA30" s="417"/>
      <c r="AB30" s="359"/>
      <c r="AH30" s="359">
        <f t="shared" si="0"/>
        <v>732936</v>
      </c>
      <c r="AK30" s="364">
        <f t="shared" si="3"/>
        <v>0</v>
      </c>
      <c r="AL30" s="134">
        <v>18139632621</v>
      </c>
      <c r="AN30" s="418"/>
      <c r="AO30" s="418"/>
      <c r="AP30" s="418"/>
      <c r="AQ30" s="365">
        <f>0.5%+0.05%+0.14%</f>
        <v>0.0069</v>
      </c>
      <c r="AR30" s="419">
        <f t="shared" si="2"/>
        <v>732936</v>
      </c>
      <c r="AS30" s="359">
        <v>100</v>
      </c>
      <c r="AT30" s="359">
        <v>100</v>
      </c>
      <c r="AU30" s="359"/>
      <c r="AV30" s="359">
        <v>732936</v>
      </c>
      <c r="AW30" s="359"/>
      <c r="AX30" s="359"/>
      <c r="AY30" s="421"/>
      <c r="AZ30" s="422"/>
      <c r="BA30" s="359"/>
      <c r="BB30" s="359"/>
      <c r="BC30" s="359"/>
      <c r="BD30" s="359"/>
      <c r="BE30" s="359"/>
      <c r="BZ30" s="134" t="s">
        <v>376</v>
      </c>
      <c r="CA30" s="134" t="s">
        <v>387</v>
      </c>
      <c r="CB30" s="134" t="s">
        <v>377</v>
      </c>
      <c r="CE30" s="149"/>
    </row>
    <row r="31" s="134" customFormat="1" customHeight="1" spans="1:88">
      <c r="A31" s="134">
        <v>9</v>
      </c>
      <c r="C31" s="413">
        <v>44967</v>
      </c>
      <c r="D31" s="420">
        <v>20230001400</v>
      </c>
      <c r="F31" s="134" t="s">
        <v>1385</v>
      </c>
      <c r="G31" s="143" t="s">
        <v>1386</v>
      </c>
      <c r="H31" s="1010" t="s">
        <v>1387</v>
      </c>
      <c r="I31" s="423" t="s">
        <v>1388</v>
      </c>
      <c r="J31" s="134">
        <v>146.97</v>
      </c>
      <c r="K31" s="134">
        <v>146.97</v>
      </c>
      <c r="L31" s="134">
        <v>5208.96</v>
      </c>
      <c r="M31" s="358">
        <v>765561</v>
      </c>
      <c r="N31" s="359"/>
      <c r="O31" s="145">
        <v>702349.54</v>
      </c>
      <c r="P31" s="415" t="s">
        <v>1389</v>
      </c>
      <c r="Q31" s="361">
        <v>45656</v>
      </c>
      <c r="R31" s="359"/>
      <c r="S31" s="416"/>
      <c r="T31" s="426" t="s">
        <v>1390</v>
      </c>
      <c r="U31" s="416" t="s">
        <v>1391</v>
      </c>
      <c r="V31" s="359">
        <v>725561</v>
      </c>
      <c r="W31" s="417" t="s">
        <v>1346</v>
      </c>
      <c r="X31" s="359">
        <v>40000</v>
      </c>
      <c r="Y31" s="417" t="s">
        <v>927</v>
      </c>
      <c r="Z31" s="359"/>
      <c r="AA31" s="417"/>
      <c r="AB31" s="359"/>
      <c r="AH31" s="359">
        <f t="shared" si="0"/>
        <v>765561</v>
      </c>
      <c r="AK31" s="364">
        <f t="shared" si="3"/>
        <v>0</v>
      </c>
      <c r="AL31" s="134">
        <v>18167705590</v>
      </c>
      <c r="AN31" s="418"/>
      <c r="AO31" s="418"/>
      <c r="AP31" s="418"/>
      <c r="AQ31" s="365">
        <f>0.6%+0.04%+0.1%</f>
        <v>0.0074</v>
      </c>
      <c r="AR31" s="419">
        <f t="shared" si="2"/>
        <v>765561</v>
      </c>
      <c r="AS31" s="359">
        <f t="shared" si="4"/>
        <v>100</v>
      </c>
      <c r="AT31" s="359"/>
      <c r="AU31" s="359"/>
      <c r="AV31" s="359">
        <v>725561</v>
      </c>
      <c r="AW31" s="359"/>
      <c r="AX31" s="359">
        <v>40000</v>
      </c>
      <c r="AY31" s="421"/>
      <c r="AZ31" s="428"/>
      <c r="BA31" s="359"/>
      <c r="BB31" s="359"/>
      <c r="BC31" s="359"/>
      <c r="BD31" s="359"/>
      <c r="BE31" s="359"/>
      <c r="BZ31" s="134" t="s">
        <v>376</v>
      </c>
      <c r="CA31" s="134" t="s">
        <v>387</v>
      </c>
      <c r="CB31" s="134" t="s">
        <v>377</v>
      </c>
      <c r="CE31" s="149"/>
    </row>
    <row r="32" s="134" customFormat="1" customHeight="1" spans="1:88">
      <c r="A32" s="134">
        <v>10</v>
      </c>
      <c r="C32" s="413">
        <v>45046</v>
      </c>
      <c r="D32" s="420">
        <v>20230003790</v>
      </c>
      <c r="F32" s="1006" t="s">
        <v>1392</v>
      </c>
      <c r="G32" s="143" t="s">
        <v>1393</v>
      </c>
      <c r="H32" s="1010" t="s">
        <v>1394</v>
      </c>
      <c r="I32" s="414" t="s">
        <v>1395</v>
      </c>
      <c r="J32" s="134">
        <v>137.77</v>
      </c>
      <c r="K32" s="134">
        <v>137.77</v>
      </c>
      <c r="L32" s="134">
        <v>5421.94</v>
      </c>
      <c r="M32" s="358">
        <v>746980</v>
      </c>
      <c r="N32" s="359"/>
      <c r="O32" s="145">
        <v>685302.75</v>
      </c>
      <c r="P32" s="415" t="s">
        <v>1396</v>
      </c>
      <c r="Q32" s="361">
        <v>45656</v>
      </c>
      <c r="R32" s="359"/>
      <c r="S32" s="416"/>
      <c r="T32" s="426" t="s">
        <v>1393</v>
      </c>
      <c r="U32" s="416" t="s">
        <v>1397</v>
      </c>
      <c r="V32" s="359">
        <f>2000-2000</f>
        <v>0</v>
      </c>
      <c r="W32" s="413">
        <v>44761</v>
      </c>
      <c r="X32" s="359">
        <f>18000-18000</f>
        <v>0</v>
      </c>
      <c r="Y32" s="417" t="s">
        <v>1398</v>
      </c>
      <c r="Z32" s="359">
        <v>20000</v>
      </c>
      <c r="AA32" s="417" t="s">
        <v>1399</v>
      </c>
      <c r="AB32" s="359">
        <v>206980</v>
      </c>
      <c r="AC32" s="134" t="s">
        <v>964</v>
      </c>
      <c r="AD32" s="134">
        <v>520000</v>
      </c>
      <c r="AE32" s="134" t="s">
        <v>1400</v>
      </c>
      <c r="AH32" s="359">
        <f t="shared" si="0"/>
        <v>746980</v>
      </c>
      <c r="AK32" s="364">
        <f t="shared" si="3"/>
        <v>0</v>
      </c>
      <c r="AL32" s="134">
        <v>18599180069</v>
      </c>
      <c r="AN32" s="418"/>
      <c r="AO32" s="418"/>
      <c r="AP32" s="418"/>
      <c r="AQ32" s="365">
        <f>0.4%+0.1%</f>
        <v>0.005</v>
      </c>
      <c r="AR32" s="419">
        <f t="shared" si="2"/>
        <v>746980</v>
      </c>
      <c r="AS32" s="359">
        <f>100+100</f>
        <v>200</v>
      </c>
      <c r="AT32" s="359"/>
      <c r="AU32" s="359"/>
      <c r="AV32" s="359"/>
      <c r="AW32" s="359"/>
      <c r="AX32" s="359"/>
      <c r="AY32" s="421">
        <v>746980</v>
      </c>
      <c r="AZ32" s="422"/>
      <c r="BA32" s="359"/>
      <c r="BB32" s="359"/>
      <c r="BC32" s="359"/>
      <c r="BD32" s="359"/>
      <c r="BE32" s="359"/>
      <c r="BZ32" s="134" t="s">
        <v>376</v>
      </c>
      <c r="CA32" s="134" t="s">
        <v>387</v>
      </c>
      <c r="CB32" s="134" t="s">
        <v>377</v>
      </c>
      <c r="CE32" s="149"/>
    </row>
    <row r="33" s="134" customFormat="1" customHeight="1" spans="1:83">
      <c r="A33" s="134">
        <v>11</v>
      </c>
      <c r="C33" s="413">
        <v>45078</v>
      </c>
      <c r="D33" s="420">
        <v>20230004864</v>
      </c>
      <c r="F33" s="429" t="s">
        <v>1401</v>
      </c>
      <c r="G33" s="134" t="s">
        <v>1402</v>
      </c>
      <c r="H33" s="1006" t="s">
        <v>1403</v>
      </c>
      <c r="I33" s="423" t="s">
        <v>1404</v>
      </c>
      <c r="J33" s="134">
        <v>146.97</v>
      </c>
      <c r="K33" s="134">
        <v>146.97</v>
      </c>
      <c r="L33" s="417">
        <f>M33/K33</f>
        <v>5877.22664489352</v>
      </c>
      <c r="M33" s="358">
        <v>863776</v>
      </c>
      <c r="N33" s="359"/>
      <c r="O33" s="145">
        <v>792455.05</v>
      </c>
      <c r="P33" s="415" t="s">
        <v>1405</v>
      </c>
      <c r="Q33" s="361">
        <v>45656</v>
      </c>
      <c r="R33" s="359"/>
      <c r="S33" s="416"/>
      <c r="T33" s="426"/>
      <c r="U33" s="416" t="s">
        <v>486</v>
      </c>
      <c r="V33" s="359">
        <v>20000</v>
      </c>
      <c r="W33" s="362" t="s">
        <v>1064</v>
      </c>
      <c r="X33" s="359">
        <v>343776</v>
      </c>
      <c r="Y33" s="417" t="s">
        <v>1406</v>
      </c>
      <c r="Z33" s="359">
        <v>500000</v>
      </c>
      <c r="AA33" s="416" t="s">
        <v>430</v>
      </c>
      <c r="AB33" s="359"/>
      <c r="AH33" s="359">
        <f t="shared" si="0"/>
        <v>863776</v>
      </c>
      <c r="AK33" s="364">
        <f t="shared" si="3"/>
        <v>0</v>
      </c>
      <c r="AL33" s="429" t="s">
        <v>1407</v>
      </c>
      <c r="AN33" s="418"/>
      <c r="AO33" s="418"/>
      <c r="AP33" s="418"/>
      <c r="AQ33" s="365">
        <f>0.6%+0.06%+0.14%</f>
        <v>0.008</v>
      </c>
      <c r="AR33" s="419">
        <f t="shared" si="2"/>
        <v>863776</v>
      </c>
      <c r="AS33" s="359">
        <f t="shared" si="4"/>
        <v>100</v>
      </c>
      <c r="AT33" s="359">
        <f>100+100</f>
        <v>200</v>
      </c>
      <c r="AU33" s="359"/>
      <c r="AV33" s="359"/>
      <c r="AW33" s="359"/>
      <c r="AX33" s="359"/>
      <c r="AY33" s="421"/>
      <c r="AZ33" s="430">
        <v>363776</v>
      </c>
      <c r="BA33" s="359"/>
      <c r="BB33" s="359"/>
      <c r="BC33" s="359"/>
      <c r="BD33" s="359">
        <v>500000</v>
      </c>
      <c r="BE33" s="359"/>
      <c r="BW33" s="431" t="s">
        <v>1408</v>
      </c>
      <c r="BZ33" s="134" t="s">
        <v>376</v>
      </c>
      <c r="CA33" s="134" t="s">
        <v>387</v>
      </c>
      <c r="CB33" s="134" t="s">
        <v>377</v>
      </c>
      <c r="CE33" s="149"/>
    </row>
    <row r="34" s="134" customFormat="1" customHeight="1" spans="1:83">
      <c r="A34" s="134">
        <v>12</v>
      </c>
      <c r="C34" s="413">
        <v>44991</v>
      </c>
      <c r="D34" s="420">
        <v>20230000730</v>
      </c>
      <c r="F34" s="1006" t="s">
        <v>1409</v>
      </c>
      <c r="G34" s="143" t="s">
        <v>1410</v>
      </c>
      <c r="H34" s="1010" t="s">
        <v>1411</v>
      </c>
      <c r="I34" s="414" t="s">
        <v>1412</v>
      </c>
      <c r="J34" s="134">
        <v>137.77</v>
      </c>
      <c r="K34" s="134">
        <v>137.77</v>
      </c>
      <c r="L34" s="134">
        <v>5265.96</v>
      </c>
      <c r="M34" s="358">
        <v>725492</v>
      </c>
      <c r="N34" s="359"/>
      <c r="O34" s="145">
        <v>665588.99</v>
      </c>
      <c r="P34" s="415" t="s">
        <v>1413</v>
      </c>
      <c r="Q34" s="361">
        <v>45656</v>
      </c>
      <c r="R34" s="359"/>
      <c r="S34" s="416"/>
      <c r="T34" s="426" t="s">
        <v>1414</v>
      </c>
      <c r="U34" s="416" t="s">
        <v>1415</v>
      </c>
      <c r="V34" s="359">
        <v>426492</v>
      </c>
      <c r="W34" s="413" t="s">
        <v>1416</v>
      </c>
      <c r="X34" s="359">
        <v>299000</v>
      </c>
      <c r="Y34" s="416" t="s">
        <v>954</v>
      </c>
      <c r="Z34" s="359"/>
      <c r="AA34" s="417"/>
      <c r="AB34" s="359"/>
      <c r="AH34" s="359">
        <f t="shared" si="0"/>
        <v>725492</v>
      </c>
      <c r="AK34" s="364">
        <f t="shared" si="3"/>
        <v>0</v>
      </c>
      <c r="AL34" s="134">
        <v>17717779640</v>
      </c>
      <c r="AN34" s="418"/>
      <c r="AO34" s="418"/>
      <c r="AP34" s="418"/>
      <c r="AQ34" s="365">
        <f>0.4%+0.04%+0.1%+0.04%</f>
        <v>0.0058</v>
      </c>
      <c r="AR34" s="419">
        <f t="shared" si="2"/>
        <v>725492</v>
      </c>
      <c r="AS34" s="359">
        <f t="shared" si="4"/>
        <v>100</v>
      </c>
      <c r="AT34" s="359">
        <f>100+100</f>
        <v>200</v>
      </c>
      <c r="AU34" s="359"/>
      <c r="AV34" s="359">
        <v>426492</v>
      </c>
      <c r="AW34" s="359"/>
      <c r="AX34" s="359"/>
      <c r="AY34" s="421"/>
      <c r="AZ34" s="422"/>
      <c r="BA34" s="359"/>
      <c r="BB34" s="359">
        <v>299000</v>
      </c>
      <c r="BC34" s="359"/>
      <c r="BD34" s="359"/>
      <c r="BE34" s="359"/>
      <c r="BZ34" s="134" t="s">
        <v>376</v>
      </c>
      <c r="CA34" s="134" t="s">
        <v>387</v>
      </c>
      <c r="CB34" s="134" t="s">
        <v>377</v>
      </c>
      <c r="CE34" s="149"/>
    </row>
    <row r="35" s="134" customFormat="1" ht="33" customHeight="1" spans="1:83">
      <c r="A35" s="134">
        <v>13</v>
      </c>
      <c r="C35" s="413">
        <v>44962</v>
      </c>
      <c r="D35" s="420">
        <v>20230000725</v>
      </c>
      <c r="F35" s="1006" t="s">
        <v>1417</v>
      </c>
      <c r="G35" s="143" t="s">
        <v>1418</v>
      </c>
      <c r="H35" s="1010" t="s">
        <v>1419</v>
      </c>
      <c r="I35" s="423" t="s">
        <v>1420</v>
      </c>
      <c r="J35" s="134">
        <v>146.97</v>
      </c>
      <c r="K35" s="134">
        <v>146.97</v>
      </c>
      <c r="L35" s="134">
        <v>5298.97</v>
      </c>
      <c r="M35" s="358">
        <v>778789</v>
      </c>
      <c r="N35" s="359"/>
      <c r="O35" s="145">
        <v>714485.32</v>
      </c>
      <c r="P35" s="415" t="s">
        <v>1421</v>
      </c>
      <c r="Q35" s="361">
        <v>45656</v>
      </c>
      <c r="R35" s="359"/>
      <c r="S35" s="416"/>
      <c r="T35" s="426" t="s">
        <v>1422</v>
      </c>
      <c r="U35" s="416" t="s">
        <v>1423</v>
      </c>
      <c r="V35" s="359">
        <f>2000-2000</f>
        <v>0</v>
      </c>
      <c r="W35" s="413">
        <v>44753</v>
      </c>
      <c r="X35" s="359">
        <v>102789</v>
      </c>
      <c r="Y35" s="417" t="s">
        <v>1383</v>
      </c>
      <c r="Z35" s="359">
        <v>112000</v>
      </c>
      <c r="AA35" s="417" t="s">
        <v>1406</v>
      </c>
      <c r="AB35" s="359">
        <v>65000</v>
      </c>
      <c r="AC35" s="134" t="s">
        <v>1424</v>
      </c>
      <c r="AD35" s="359">
        <v>499000</v>
      </c>
      <c r="AE35" s="416" t="s">
        <v>928</v>
      </c>
      <c r="AH35" s="359">
        <f t="shared" ref="AH35:AH40" si="5">V35+X35+Z35+AB35+AD35+AF35</f>
        <v>778789</v>
      </c>
      <c r="AK35" s="364">
        <f t="shared" si="3"/>
        <v>0</v>
      </c>
      <c r="AL35" s="134">
        <v>13139737559</v>
      </c>
      <c r="AN35" s="418"/>
      <c r="AO35" s="418"/>
      <c r="AP35" s="418"/>
      <c r="AQ35" s="365">
        <f>0.6%+0.1%</f>
        <v>0.007</v>
      </c>
      <c r="AR35" s="419">
        <f t="shared" si="2"/>
        <v>778789</v>
      </c>
      <c r="AS35" s="359">
        <f>100+100</f>
        <v>200</v>
      </c>
      <c r="AT35" s="359"/>
      <c r="AU35" s="359"/>
      <c r="AV35" s="359"/>
      <c r="AW35" s="359"/>
      <c r="AX35" s="359"/>
      <c r="AY35" s="421"/>
      <c r="AZ35" s="430">
        <v>167789</v>
      </c>
      <c r="BA35" s="359">
        <v>611000</v>
      </c>
      <c r="BB35" s="359"/>
      <c r="BC35" s="359"/>
      <c r="BD35" s="359"/>
      <c r="BE35" s="359"/>
      <c r="BX35" s="432"/>
      <c r="BZ35" s="134" t="s">
        <v>376</v>
      </c>
      <c r="CA35" s="134" t="s">
        <v>387</v>
      </c>
      <c r="CB35" s="134" t="s">
        <v>377</v>
      </c>
      <c r="CE35" s="149"/>
    </row>
    <row r="36" s="134" customFormat="1" customHeight="1" spans="1:83">
      <c r="A36" s="134">
        <v>14</v>
      </c>
      <c r="C36" s="413">
        <v>44932</v>
      </c>
      <c r="D36" s="420">
        <v>20230000142</v>
      </c>
      <c r="F36" s="1006" t="s">
        <v>1425</v>
      </c>
      <c r="G36" s="143" t="s">
        <v>1426</v>
      </c>
      <c r="H36" s="1010" t="s">
        <v>1427</v>
      </c>
      <c r="I36" s="414" t="s">
        <v>1428</v>
      </c>
      <c r="J36" s="134">
        <v>137.77</v>
      </c>
      <c r="K36" s="134">
        <v>137.77</v>
      </c>
      <c r="L36" s="134">
        <v>5310.96</v>
      </c>
      <c r="M36" s="358">
        <v>731691</v>
      </c>
      <c r="N36" s="359"/>
      <c r="O36" s="145">
        <v>671276.15</v>
      </c>
      <c r="P36" s="415" t="s">
        <v>1429</v>
      </c>
      <c r="Q36" s="361">
        <v>45656</v>
      </c>
      <c r="R36" s="359"/>
      <c r="S36" s="362"/>
      <c r="T36" s="426" t="s">
        <v>1430</v>
      </c>
      <c r="U36" s="416" t="s">
        <v>1431</v>
      </c>
      <c r="V36" s="359">
        <f>2000</f>
        <v>2000</v>
      </c>
      <c r="W36" s="413">
        <v>44760</v>
      </c>
      <c r="X36" s="359">
        <v>18000</v>
      </c>
      <c r="Y36" s="417" t="s">
        <v>1398</v>
      </c>
      <c r="Z36" s="359">
        <v>163691</v>
      </c>
      <c r="AA36" s="417" t="s">
        <v>1432</v>
      </c>
      <c r="AB36" s="359">
        <v>348000</v>
      </c>
      <c r="AC36" s="134" t="s">
        <v>1433</v>
      </c>
      <c r="AD36" s="134">
        <v>200000</v>
      </c>
      <c r="AE36" s="134" t="s">
        <v>1434</v>
      </c>
      <c r="AH36" s="359">
        <f t="shared" si="5"/>
        <v>731691</v>
      </c>
      <c r="AK36" s="364">
        <f t="shared" si="3"/>
        <v>0</v>
      </c>
      <c r="AL36" s="134">
        <v>13369967520</v>
      </c>
      <c r="AN36" s="418"/>
      <c r="AO36" s="418"/>
      <c r="AP36" s="418"/>
      <c r="AQ36" s="365">
        <f t="shared" ref="AQ36:AQ38" si="6">0.6%+0.04%+0.1%</f>
        <v>0.0074</v>
      </c>
      <c r="AR36" s="419">
        <f t="shared" si="2"/>
        <v>731691</v>
      </c>
      <c r="AS36" s="359"/>
      <c r="AT36" s="359">
        <v>100</v>
      </c>
      <c r="AU36" s="359">
        <v>183691</v>
      </c>
      <c r="AV36" s="359">
        <v>348000</v>
      </c>
      <c r="AW36" s="359"/>
      <c r="AX36" s="359"/>
      <c r="AY36" s="421"/>
      <c r="AZ36" s="433">
        <v>200000</v>
      </c>
      <c r="BA36" s="359"/>
      <c r="BB36" s="359"/>
      <c r="BC36" s="359"/>
      <c r="BD36" s="359"/>
      <c r="BE36" s="359"/>
      <c r="BX36" s="432"/>
      <c r="BZ36" s="134" t="s">
        <v>376</v>
      </c>
      <c r="CA36" s="134" t="s">
        <v>387</v>
      </c>
      <c r="CB36" s="134" t="s">
        <v>377</v>
      </c>
      <c r="CE36" s="149"/>
    </row>
    <row r="37" s="134" customFormat="1" customHeight="1" spans="1:83">
      <c r="A37" s="134">
        <v>15</v>
      </c>
      <c r="C37" s="413">
        <v>44992</v>
      </c>
      <c r="D37" s="420">
        <v>20230000953</v>
      </c>
      <c r="F37" s="1006" t="s">
        <v>1435</v>
      </c>
      <c r="G37" s="134" t="s">
        <v>1436</v>
      </c>
      <c r="H37" s="1006" t="s">
        <v>1437</v>
      </c>
      <c r="I37" s="414" t="s">
        <v>1438</v>
      </c>
      <c r="J37" s="134">
        <v>146.97</v>
      </c>
      <c r="K37" s="134">
        <v>146.97</v>
      </c>
      <c r="L37" s="134">
        <v>5323.96</v>
      </c>
      <c r="M37" s="358">
        <v>782463</v>
      </c>
      <c r="N37" s="359"/>
      <c r="O37" s="145">
        <v>717855.96</v>
      </c>
      <c r="P37" s="415" t="s">
        <v>1439</v>
      </c>
      <c r="Q37" s="361">
        <v>45656</v>
      </c>
      <c r="R37" s="359"/>
      <c r="T37" s="147" t="s">
        <v>1440</v>
      </c>
      <c r="U37" s="134" t="s">
        <v>1441</v>
      </c>
      <c r="V37" s="359">
        <v>77463</v>
      </c>
      <c r="W37" s="417" t="s">
        <v>1442</v>
      </c>
      <c r="X37" s="359">
        <v>80000</v>
      </c>
      <c r="Y37" s="417" t="s">
        <v>1433</v>
      </c>
      <c r="Z37" s="359">
        <v>12000</v>
      </c>
      <c r="AA37" s="134" t="s">
        <v>1443</v>
      </c>
      <c r="AB37" s="359">
        <v>613000</v>
      </c>
      <c r="AC37" s="134" t="s">
        <v>429</v>
      </c>
      <c r="AH37" s="359">
        <f t="shared" si="5"/>
        <v>782463</v>
      </c>
      <c r="AK37" s="364">
        <f t="shared" si="3"/>
        <v>0</v>
      </c>
      <c r="AL37" s="134">
        <v>13999627205</v>
      </c>
      <c r="AN37" s="418"/>
      <c r="AO37" s="418"/>
      <c r="AP37" s="418"/>
      <c r="AQ37" s="365">
        <f>0.6%+0.04%+0.1%+0.04%</f>
        <v>0.0078</v>
      </c>
      <c r="AR37" s="419">
        <f t="shared" si="2"/>
        <v>782463</v>
      </c>
      <c r="AS37" s="359"/>
      <c r="AT37" s="359"/>
      <c r="AU37" s="359"/>
      <c r="AV37" s="359">
        <v>157463</v>
      </c>
      <c r="AW37" s="359"/>
      <c r="AX37" s="359"/>
      <c r="AY37" s="421"/>
      <c r="AZ37" s="422"/>
      <c r="BA37" s="359"/>
      <c r="BB37" s="359"/>
      <c r="BC37" s="359">
        <v>625000</v>
      </c>
      <c r="BD37" s="359"/>
      <c r="BE37" s="359"/>
      <c r="BX37" s="432"/>
      <c r="BZ37" s="134" t="s">
        <v>376</v>
      </c>
      <c r="CA37" s="134" t="s">
        <v>387</v>
      </c>
      <c r="CB37" s="134" t="s">
        <v>377</v>
      </c>
      <c r="CE37" s="149"/>
    </row>
    <row r="38" s="134" customFormat="1" customHeight="1" spans="1:83">
      <c r="A38" s="134">
        <v>16</v>
      </c>
      <c r="C38" s="413">
        <v>44967</v>
      </c>
      <c r="D38" s="420">
        <v>20230001308</v>
      </c>
      <c r="F38" s="134" t="s">
        <v>1444</v>
      </c>
      <c r="G38" s="143" t="s">
        <v>1445</v>
      </c>
      <c r="H38" s="1010" t="s">
        <v>1446</v>
      </c>
      <c r="I38" s="414" t="s">
        <v>1447</v>
      </c>
      <c r="J38" s="134">
        <v>137.77</v>
      </c>
      <c r="K38" s="134">
        <v>137.77</v>
      </c>
      <c r="L38" s="134">
        <v>5335.96</v>
      </c>
      <c r="M38" s="358">
        <v>735136</v>
      </c>
      <c r="N38" s="359"/>
      <c r="O38" s="145">
        <v>674436.7</v>
      </c>
      <c r="P38" s="415" t="s">
        <v>1448</v>
      </c>
      <c r="Q38" s="361">
        <v>45652</v>
      </c>
      <c r="R38" s="359"/>
      <c r="S38" s="362"/>
      <c r="T38" s="363" t="s">
        <v>1449</v>
      </c>
      <c r="U38" s="362" t="s">
        <v>1450</v>
      </c>
      <c r="V38" s="359">
        <v>192136</v>
      </c>
      <c r="W38" s="417" t="s">
        <v>1346</v>
      </c>
      <c r="X38" s="359">
        <v>43000</v>
      </c>
      <c r="Y38" s="134" t="s">
        <v>1432</v>
      </c>
      <c r="Z38" s="359">
        <v>500000</v>
      </c>
      <c r="AA38" s="417" t="s">
        <v>1451</v>
      </c>
      <c r="AB38" s="359"/>
      <c r="AH38" s="359">
        <f t="shared" si="5"/>
        <v>735136</v>
      </c>
      <c r="AK38" s="364">
        <f t="shared" si="3"/>
        <v>0</v>
      </c>
      <c r="AL38" s="134">
        <v>18794759920</v>
      </c>
      <c r="AN38" s="418"/>
      <c r="AO38" s="418"/>
      <c r="AP38" s="418"/>
      <c r="AQ38" s="365">
        <f t="shared" si="6"/>
        <v>0.0074</v>
      </c>
      <c r="AR38" s="419">
        <f t="shared" si="2"/>
        <v>735136</v>
      </c>
      <c r="AS38" s="359">
        <v>100</v>
      </c>
      <c r="AT38" s="359">
        <v>100</v>
      </c>
      <c r="AU38" s="359"/>
      <c r="AV38" s="359">
        <v>235136</v>
      </c>
      <c r="AW38" s="359">
        <v>500000</v>
      </c>
      <c r="AX38" s="359"/>
      <c r="AY38" s="421"/>
      <c r="AZ38" s="422"/>
      <c r="BA38" s="359"/>
      <c r="BB38" s="359"/>
      <c r="BC38" s="359"/>
      <c r="BD38" s="359"/>
      <c r="BE38" s="359"/>
      <c r="BX38" s="432"/>
      <c r="BZ38" s="134" t="s">
        <v>376</v>
      </c>
      <c r="CA38" s="134" t="s">
        <v>387</v>
      </c>
      <c r="CB38" s="134" t="s">
        <v>377</v>
      </c>
      <c r="CE38" s="149"/>
    </row>
    <row r="39" s="134" customFormat="1" ht="25" customHeight="1" spans="1:83">
      <c r="A39" s="134">
        <v>17</v>
      </c>
      <c r="C39" s="413">
        <v>45026</v>
      </c>
      <c r="D39" s="420">
        <v>20230003229</v>
      </c>
      <c r="F39" s="1006" t="s">
        <v>1452</v>
      </c>
      <c r="G39" s="134" t="s">
        <v>910</v>
      </c>
      <c r="H39" s="1006" t="s">
        <v>1453</v>
      </c>
      <c r="I39" s="423" t="s">
        <v>1454</v>
      </c>
      <c r="J39" s="134">
        <v>146.97</v>
      </c>
      <c r="K39" s="134">
        <v>146.97</v>
      </c>
      <c r="L39" s="134">
        <v>5368.96</v>
      </c>
      <c r="M39" s="358">
        <v>789076</v>
      </c>
      <c r="N39" s="359"/>
      <c r="O39" s="145">
        <v>723922.94</v>
      </c>
      <c r="P39" s="1011" t="s">
        <v>1455</v>
      </c>
      <c r="Q39" s="361">
        <v>45999</v>
      </c>
      <c r="R39" s="359"/>
      <c r="S39" s="362"/>
      <c r="T39" s="363" t="s">
        <v>1456</v>
      </c>
      <c r="U39" s="362" t="s">
        <v>1457</v>
      </c>
      <c r="V39" s="359">
        <v>2000</v>
      </c>
      <c r="W39" s="138" t="s">
        <v>1458</v>
      </c>
      <c r="X39" s="359">
        <v>18000</v>
      </c>
      <c r="Y39" s="417" t="s">
        <v>1398</v>
      </c>
      <c r="Z39" s="359">
        <v>239076</v>
      </c>
      <c r="AA39" s="417" t="s">
        <v>1459</v>
      </c>
      <c r="AB39" s="359">
        <v>530000</v>
      </c>
      <c r="AC39" s="362">
        <v>45999</v>
      </c>
      <c r="AH39" s="359">
        <f t="shared" si="5"/>
        <v>789076</v>
      </c>
      <c r="AK39" s="364">
        <f t="shared" si="3"/>
        <v>0</v>
      </c>
      <c r="AL39" s="134">
        <v>13899055333</v>
      </c>
      <c r="AN39" s="418"/>
      <c r="AO39" s="418"/>
      <c r="AP39" s="418"/>
      <c r="AQ39" s="365">
        <v>0.0054</v>
      </c>
      <c r="AR39" s="419">
        <f t="shared" si="2"/>
        <v>789076</v>
      </c>
      <c r="AS39" s="359">
        <f>100</f>
        <v>100</v>
      </c>
      <c r="AT39" s="359"/>
      <c r="AU39" s="359"/>
      <c r="AV39" s="359"/>
      <c r="AW39" s="359"/>
      <c r="AX39" s="359"/>
      <c r="AY39" s="421"/>
      <c r="AZ39" s="428"/>
      <c r="BA39" s="359"/>
      <c r="BB39" s="359"/>
      <c r="BC39" s="359"/>
      <c r="BD39" s="359"/>
      <c r="BE39" s="359"/>
      <c r="BT39" s="134">
        <v>789076</v>
      </c>
      <c r="BX39" s="432"/>
      <c r="BZ39" s="134" t="s">
        <v>376</v>
      </c>
      <c r="CA39" s="134" t="s">
        <v>387</v>
      </c>
      <c r="CB39" s="134" t="s">
        <v>377</v>
      </c>
      <c r="CE39" s="149"/>
    </row>
    <row r="40" s="134" customFormat="1" customHeight="1" spans="1:83">
      <c r="A40" s="134">
        <v>18</v>
      </c>
      <c r="C40" s="413">
        <v>44966</v>
      </c>
      <c r="D40" s="420">
        <v>20230001243</v>
      </c>
      <c r="F40" s="1006" t="s">
        <v>1460</v>
      </c>
      <c r="G40" s="435" t="s">
        <v>1461</v>
      </c>
      <c r="H40" s="1010" t="s">
        <v>1462</v>
      </c>
      <c r="I40" s="414" t="s">
        <v>1463</v>
      </c>
      <c r="J40" s="134">
        <v>137.77</v>
      </c>
      <c r="K40" s="134">
        <v>137.77</v>
      </c>
      <c r="L40" s="134">
        <v>5380.96</v>
      </c>
      <c r="M40" s="358">
        <v>741335</v>
      </c>
      <c r="N40" s="359"/>
      <c r="O40" s="145">
        <v>680123.85</v>
      </c>
      <c r="P40" s="415" t="s">
        <v>1464</v>
      </c>
      <c r="Q40" s="361">
        <v>45656</v>
      </c>
      <c r="R40" s="359"/>
      <c r="S40" s="416"/>
      <c r="T40" s="426" t="s">
        <v>1465</v>
      </c>
      <c r="U40" s="416" t="s">
        <v>1466</v>
      </c>
      <c r="V40" s="359">
        <v>242335</v>
      </c>
      <c r="W40" s="417" t="s">
        <v>1377</v>
      </c>
      <c r="X40" s="359">
        <v>499000</v>
      </c>
      <c r="Y40" s="417" t="s">
        <v>1467</v>
      </c>
      <c r="Z40" s="359"/>
      <c r="AA40" s="417"/>
      <c r="AB40" s="359"/>
      <c r="AH40" s="359">
        <f t="shared" si="5"/>
        <v>741335</v>
      </c>
      <c r="AK40" s="364">
        <f t="shared" si="3"/>
        <v>0</v>
      </c>
      <c r="AL40" s="134">
        <v>13565026218</v>
      </c>
      <c r="AN40" s="418"/>
      <c r="AO40" s="418"/>
      <c r="AP40" s="418"/>
      <c r="AQ40" s="365">
        <f>0.6%+0.1%</f>
        <v>0.007</v>
      </c>
      <c r="AR40" s="419">
        <f t="shared" si="2"/>
        <v>741335</v>
      </c>
      <c r="AS40" s="359"/>
      <c r="AT40" s="359">
        <f>100+100</f>
        <v>200</v>
      </c>
      <c r="AU40" s="359"/>
      <c r="AV40" s="359">
        <v>242335</v>
      </c>
      <c r="AW40" s="359"/>
      <c r="AX40" s="359"/>
      <c r="AY40" s="421">
        <v>499000</v>
      </c>
      <c r="AZ40" s="422"/>
      <c r="BA40" s="359"/>
      <c r="BB40" s="359"/>
      <c r="BC40" s="359"/>
      <c r="BD40" s="359"/>
      <c r="BE40" s="359"/>
      <c r="BX40" s="432"/>
      <c r="BZ40" s="134" t="s">
        <v>376</v>
      </c>
      <c r="CA40" s="134" t="s">
        <v>387</v>
      </c>
      <c r="CB40" s="134" t="s">
        <v>377</v>
      </c>
      <c r="CE40" s="149"/>
    </row>
    <row r="41" s="134" customFormat="1" customHeight="1" spans="1:83">
      <c r="A41" s="134">
        <v>19</v>
      </c>
      <c r="C41" s="413">
        <v>44966</v>
      </c>
      <c r="D41" s="420">
        <v>20230001161</v>
      </c>
      <c r="F41" s="1006" t="s">
        <v>1468</v>
      </c>
      <c r="G41" s="143" t="s">
        <v>1469</v>
      </c>
      <c r="H41" s="1010" t="s">
        <v>1470</v>
      </c>
      <c r="I41" s="423" t="s">
        <v>1471</v>
      </c>
      <c r="J41" s="134">
        <v>146.97</v>
      </c>
      <c r="K41" s="134">
        <v>146.97</v>
      </c>
      <c r="L41" s="134">
        <v>5388.96</v>
      </c>
      <c r="M41" s="358">
        <v>792016</v>
      </c>
      <c r="N41" s="359"/>
      <c r="O41" s="145">
        <v>726620.18</v>
      </c>
      <c r="P41" s="415" t="s">
        <v>1472</v>
      </c>
      <c r="Q41" s="361">
        <v>45656</v>
      </c>
      <c r="R41" s="359"/>
      <c r="S41" s="416"/>
      <c r="T41" s="426" t="s">
        <v>1473</v>
      </c>
      <c r="U41" s="416" t="s">
        <v>1474</v>
      </c>
      <c r="V41" s="134">
        <v>542016</v>
      </c>
      <c r="W41" s="417" t="s">
        <v>1377</v>
      </c>
      <c r="X41" s="359">
        <v>250000</v>
      </c>
      <c r="Y41" s="416" t="s">
        <v>1443</v>
      </c>
      <c r="Z41" s="359"/>
      <c r="AA41" s="417"/>
      <c r="AB41" s="359"/>
      <c r="AH41" s="359">
        <f t="shared" ref="AH41:AH46" si="7">V41+X41+Z41+AB41+AD41+AF41</f>
        <v>792016</v>
      </c>
      <c r="AK41" s="364">
        <f t="shared" si="3"/>
        <v>0</v>
      </c>
      <c r="AL41" s="134">
        <v>15699251659</v>
      </c>
      <c r="AN41" s="418"/>
      <c r="AO41" s="418"/>
      <c r="AP41" s="418"/>
      <c r="AQ41" s="365">
        <f>0.4%+0.04%+0.1%</f>
        <v>0.0054</v>
      </c>
      <c r="AR41" s="419">
        <f t="shared" si="2"/>
        <v>792016</v>
      </c>
      <c r="AS41" s="359">
        <f>100</f>
        <v>100</v>
      </c>
      <c r="AT41" s="359"/>
      <c r="AU41" s="359"/>
      <c r="AV41" s="359">
        <v>542016</v>
      </c>
      <c r="AW41" s="359"/>
      <c r="AX41" s="359"/>
      <c r="AY41" s="421"/>
      <c r="AZ41" s="422"/>
      <c r="BA41" s="359">
        <v>250000</v>
      </c>
      <c r="BB41" s="359"/>
      <c r="BC41" s="359"/>
      <c r="BD41" s="359"/>
      <c r="BE41" s="359"/>
      <c r="BX41" s="432"/>
      <c r="BZ41" s="134" t="s">
        <v>376</v>
      </c>
      <c r="CA41" s="134" t="s">
        <v>387</v>
      </c>
      <c r="CB41" s="134" t="s">
        <v>377</v>
      </c>
      <c r="CE41" s="149"/>
    </row>
    <row r="42" s="134" customFormat="1" customHeight="1" spans="1:83">
      <c r="A42" s="134">
        <v>20</v>
      </c>
      <c r="C42" s="413">
        <v>44933</v>
      </c>
      <c r="D42" s="420">
        <v>20230000170</v>
      </c>
      <c r="F42" s="1006" t="s">
        <v>1475</v>
      </c>
      <c r="G42" s="143" t="s">
        <v>1039</v>
      </c>
      <c r="I42" s="414" t="s">
        <v>1476</v>
      </c>
      <c r="J42" s="134">
        <v>137.77</v>
      </c>
      <c r="K42" s="134">
        <v>137.77</v>
      </c>
      <c r="L42" s="134">
        <v>5351</v>
      </c>
      <c r="M42" s="436">
        <v>737202</v>
      </c>
      <c r="N42" s="437"/>
      <c r="O42" s="145">
        <v>676332.11</v>
      </c>
      <c r="P42" s="415" t="s">
        <v>1477</v>
      </c>
      <c r="Q42" s="361">
        <v>45656</v>
      </c>
      <c r="R42" s="359"/>
      <c r="S42" s="362"/>
      <c r="T42" s="363" t="s">
        <v>1478</v>
      </c>
      <c r="U42" s="362" t="s">
        <v>1479</v>
      </c>
      <c r="V42" s="359">
        <v>2000</v>
      </c>
      <c r="W42" s="138">
        <v>44762</v>
      </c>
      <c r="X42" s="359">
        <v>18000</v>
      </c>
      <c r="Y42" s="438" t="s">
        <v>1398</v>
      </c>
      <c r="Z42" s="359">
        <v>73202</v>
      </c>
      <c r="AA42" s="134" t="s">
        <v>1480</v>
      </c>
      <c r="AB42" s="359">
        <v>60000</v>
      </c>
      <c r="AC42" s="134" t="s">
        <v>1481</v>
      </c>
      <c r="AD42" s="134">
        <v>85000</v>
      </c>
      <c r="AE42" s="134" t="s">
        <v>1118</v>
      </c>
      <c r="AF42" s="134">
        <v>499000</v>
      </c>
      <c r="AG42" s="134" t="s">
        <v>1482</v>
      </c>
      <c r="AH42" s="359">
        <f t="shared" si="7"/>
        <v>737202</v>
      </c>
      <c r="AK42" s="364">
        <f t="shared" si="3"/>
        <v>0</v>
      </c>
      <c r="AL42" s="429" t="s">
        <v>1483</v>
      </c>
      <c r="AM42" s="429"/>
      <c r="AN42" s="439"/>
      <c r="AO42" s="439"/>
      <c r="AP42" s="439"/>
      <c r="AQ42" s="365">
        <f>0.6%+0.04%+0.1%</f>
        <v>0.0074</v>
      </c>
      <c r="AR42" s="419">
        <f t="shared" si="2"/>
        <v>737202</v>
      </c>
      <c r="AS42" s="359"/>
      <c r="AT42" s="359"/>
      <c r="AU42" s="359"/>
      <c r="AV42" s="359"/>
      <c r="AW42" s="359">
        <v>238202</v>
      </c>
      <c r="AX42" s="359">
        <v>499000</v>
      </c>
      <c r="AY42" s="421"/>
      <c r="AZ42" s="422"/>
      <c r="BA42" s="359"/>
      <c r="BB42" s="359"/>
      <c r="BC42" s="359"/>
      <c r="BD42" s="359"/>
      <c r="BE42" s="359"/>
      <c r="BX42" s="432"/>
      <c r="BZ42" s="134" t="s">
        <v>376</v>
      </c>
      <c r="CA42" s="134" t="s">
        <v>387</v>
      </c>
      <c r="CB42" s="134" t="s">
        <v>377</v>
      </c>
      <c r="CE42" s="149"/>
    </row>
    <row r="43" s="134" customFormat="1" ht="60" customHeight="1" spans="1:83">
      <c r="A43" s="134">
        <v>21</v>
      </c>
      <c r="C43" s="413">
        <v>45094</v>
      </c>
      <c r="D43" s="420">
        <v>20230005171</v>
      </c>
      <c r="F43" s="1006" t="s">
        <v>1484</v>
      </c>
      <c r="G43" s="143" t="s">
        <v>1485</v>
      </c>
      <c r="H43" s="1010" t="s">
        <v>1486</v>
      </c>
      <c r="I43" s="423" t="s">
        <v>1487</v>
      </c>
      <c r="J43" s="134">
        <v>146.97</v>
      </c>
      <c r="K43" s="134">
        <v>146.97</v>
      </c>
      <c r="L43" s="134">
        <v>6443.5</v>
      </c>
      <c r="M43" s="358">
        <v>947000</v>
      </c>
      <c r="N43" s="359"/>
      <c r="O43" s="145">
        <v>868807.34</v>
      </c>
      <c r="P43" s="415" t="s">
        <v>1488</v>
      </c>
      <c r="Q43" s="361">
        <v>45656</v>
      </c>
      <c r="R43" s="359"/>
      <c r="S43" s="416"/>
      <c r="T43" s="426" t="s">
        <v>1489</v>
      </c>
      <c r="U43" s="416" t="s">
        <v>1490</v>
      </c>
      <c r="V43" s="359">
        <f>20000+2000-2000+2000-2000</f>
        <v>20000</v>
      </c>
      <c r="W43" s="413" t="s">
        <v>1491</v>
      </c>
      <c r="X43" s="359">
        <v>80000</v>
      </c>
      <c r="Y43" s="417" t="s">
        <v>1492</v>
      </c>
      <c r="Z43" s="359">
        <v>90000</v>
      </c>
      <c r="AA43" s="417" t="s">
        <v>639</v>
      </c>
      <c r="AB43" s="359">
        <v>47000</v>
      </c>
      <c r="AC43" s="416" t="s">
        <v>1036</v>
      </c>
      <c r="AD43" s="359">
        <v>710000</v>
      </c>
      <c r="AE43" s="416" t="s">
        <v>965</v>
      </c>
      <c r="AH43" s="359">
        <f t="shared" si="7"/>
        <v>947000</v>
      </c>
      <c r="AK43" s="364">
        <f t="shared" si="3"/>
        <v>0</v>
      </c>
      <c r="AL43" s="134">
        <v>15739869730</v>
      </c>
      <c r="AN43" s="418"/>
      <c r="AO43" s="418"/>
      <c r="AP43" s="418"/>
      <c r="AQ43" s="365">
        <f>0.4%+0.04%+0.1%</f>
        <v>0.0054</v>
      </c>
      <c r="AR43" s="419">
        <f t="shared" si="2"/>
        <v>947000</v>
      </c>
      <c r="AS43" s="359">
        <f>100+100</f>
        <v>200</v>
      </c>
      <c r="AT43" s="359">
        <f>100</f>
        <v>100</v>
      </c>
      <c r="AU43" s="359"/>
      <c r="AV43" s="359"/>
      <c r="AW43" s="359"/>
      <c r="AX43" s="359"/>
      <c r="AY43" s="421"/>
      <c r="AZ43" s="430">
        <v>190000</v>
      </c>
      <c r="BA43" s="359"/>
      <c r="BB43" s="359"/>
      <c r="BC43" s="359"/>
      <c r="BD43" s="359">
        <v>757000</v>
      </c>
      <c r="BE43" s="359"/>
      <c r="BX43" s="432"/>
      <c r="BZ43" s="134" t="s">
        <v>376</v>
      </c>
      <c r="CA43" s="134" t="s">
        <v>387</v>
      </c>
      <c r="CB43" s="134" t="s">
        <v>377</v>
      </c>
      <c r="CE43" s="149"/>
    </row>
    <row r="44" s="134" customFormat="1" ht="58" customHeight="1" spans="1:83">
      <c r="A44" s="134">
        <v>22</v>
      </c>
      <c r="C44" s="413">
        <v>44967</v>
      </c>
      <c r="D44" s="420">
        <v>20230001343</v>
      </c>
      <c r="F44" s="1006" t="s">
        <v>1493</v>
      </c>
      <c r="G44" s="143" t="s">
        <v>1300</v>
      </c>
      <c r="H44" s="1010" t="s">
        <v>1494</v>
      </c>
      <c r="I44" s="414" t="s">
        <v>1495</v>
      </c>
      <c r="J44" s="134">
        <v>137.77</v>
      </c>
      <c r="K44" s="134">
        <v>137.77</v>
      </c>
      <c r="L44" s="134">
        <v>6520</v>
      </c>
      <c r="M44" s="358">
        <v>898260</v>
      </c>
      <c r="N44" s="359"/>
      <c r="O44" s="145">
        <v>824091.74</v>
      </c>
      <c r="P44" s="415" t="s">
        <v>1496</v>
      </c>
      <c r="Q44" s="361">
        <v>45656</v>
      </c>
      <c r="R44" s="359"/>
      <c r="S44" s="416"/>
      <c r="T44" s="416" t="s">
        <v>1497</v>
      </c>
      <c r="U44" s="416" t="s">
        <v>1498</v>
      </c>
      <c r="V44" s="134">
        <v>328260</v>
      </c>
      <c r="W44" s="417" t="s">
        <v>1346</v>
      </c>
      <c r="X44" s="359">
        <v>370000</v>
      </c>
      <c r="Y44" s="417" t="s">
        <v>1467</v>
      </c>
      <c r="Z44" s="359">
        <v>200000</v>
      </c>
      <c r="AA44" s="416" t="s">
        <v>1499</v>
      </c>
      <c r="AB44" s="359"/>
      <c r="AH44" s="359">
        <f t="shared" si="7"/>
        <v>898260</v>
      </c>
      <c r="AK44" s="364">
        <f t="shared" si="3"/>
        <v>0</v>
      </c>
      <c r="AL44" s="429" t="s">
        <v>1500</v>
      </c>
      <c r="AN44" s="418"/>
      <c r="AO44" s="418"/>
      <c r="AP44" s="418"/>
      <c r="AQ44" s="365">
        <f>0.4%+0.04%+0.1%+0.04%</f>
        <v>0.0058</v>
      </c>
      <c r="AR44" s="419">
        <f t="shared" si="2"/>
        <v>898260</v>
      </c>
      <c r="AS44" s="359"/>
      <c r="AT44" s="359">
        <f>100+100</f>
        <v>200</v>
      </c>
      <c r="AU44" s="359"/>
      <c r="AV44" s="359"/>
      <c r="AW44" s="359"/>
      <c r="AX44" s="359"/>
      <c r="AY44" s="421">
        <v>698260</v>
      </c>
      <c r="AZ44" s="422"/>
      <c r="BA44" s="359"/>
      <c r="BB44" s="359"/>
      <c r="BC44" s="359"/>
      <c r="BD44" s="359"/>
      <c r="BE44" s="359">
        <v>200000</v>
      </c>
      <c r="BX44" s="432"/>
      <c r="BZ44" s="134" t="s">
        <v>376</v>
      </c>
      <c r="CA44" s="134" t="s">
        <v>387</v>
      </c>
      <c r="CB44" s="134" t="s">
        <v>377</v>
      </c>
      <c r="CE44" s="149"/>
    </row>
    <row r="45" s="134" customFormat="1" customHeight="1" spans="1:83">
      <c r="A45" s="134">
        <v>23</v>
      </c>
      <c r="C45" s="413">
        <v>45204</v>
      </c>
      <c r="D45" s="420">
        <v>20230008632</v>
      </c>
      <c r="F45" s="1006" t="s">
        <v>1501</v>
      </c>
      <c r="G45" s="143" t="s">
        <v>1502</v>
      </c>
      <c r="H45" s="1010" t="s">
        <v>1503</v>
      </c>
      <c r="I45" s="423" t="s">
        <v>1504</v>
      </c>
      <c r="J45" s="134">
        <v>140.29</v>
      </c>
      <c r="K45" s="134">
        <v>140.29</v>
      </c>
      <c r="L45" s="134">
        <v>7860</v>
      </c>
      <c r="M45" s="358">
        <v>1102679</v>
      </c>
      <c r="N45" s="359">
        <v>7855</v>
      </c>
      <c r="O45" s="145">
        <v>1011632.11</v>
      </c>
      <c r="P45" s="415" t="s">
        <v>1505</v>
      </c>
      <c r="Q45" s="361">
        <v>45911</v>
      </c>
      <c r="R45" s="359"/>
      <c r="T45" s="134" t="s">
        <v>1502</v>
      </c>
      <c r="U45" s="134" t="s">
        <v>383</v>
      </c>
      <c r="V45" s="359">
        <v>20000</v>
      </c>
      <c r="W45" s="134" t="s">
        <v>1506</v>
      </c>
      <c r="X45" s="359">
        <v>282679</v>
      </c>
      <c r="Y45" s="417" t="s">
        <v>1507</v>
      </c>
      <c r="Z45" s="359">
        <v>800000</v>
      </c>
      <c r="AA45" s="134" t="s">
        <v>1508</v>
      </c>
      <c r="AB45" s="359"/>
      <c r="AH45" s="359">
        <f t="shared" si="7"/>
        <v>1102679</v>
      </c>
      <c r="AK45" s="364">
        <f t="shared" si="3"/>
        <v>0</v>
      </c>
      <c r="AL45" s="134">
        <v>18690985916</v>
      </c>
      <c r="AN45" s="418"/>
      <c r="AO45" s="418"/>
      <c r="AP45" s="418"/>
      <c r="AQ45" s="365">
        <f>0.6%+0.1%+0.05%</f>
        <v>0.0075</v>
      </c>
      <c r="AR45" s="419">
        <f t="shared" si="2"/>
        <v>1102679</v>
      </c>
      <c r="AS45" s="359"/>
      <c r="AT45" s="359"/>
      <c r="AU45" s="359"/>
      <c r="AV45" s="359"/>
      <c r="AW45" s="359"/>
      <c r="AX45" s="359"/>
      <c r="AY45" s="218"/>
      <c r="AZ45" s="425"/>
      <c r="BA45" s="359"/>
      <c r="BB45" s="359"/>
      <c r="BC45" s="359"/>
      <c r="BD45" s="359">
        <v>1102679</v>
      </c>
      <c r="BE45" s="359"/>
      <c r="BX45" s="432"/>
      <c r="BZ45" s="134" t="s">
        <v>376</v>
      </c>
      <c r="CA45" s="134" t="s">
        <v>387</v>
      </c>
      <c r="CB45" s="134" t="s">
        <v>377</v>
      </c>
      <c r="CE45" s="149"/>
    </row>
    <row r="46" s="134" customFormat="1" ht="42" customHeight="1" spans="1:83">
      <c r="A46" s="134">
        <v>24</v>
      </c>
      <c r="C46" s="413">
        <v>44964</v>
      </c>
      <c r="D46" s="420">
        <v>20230000901</v>
      </c>
      <c r="F46" s="1006" t="s">
        <v>1509</v>
      </c>
      <c r="G46" s="134" t="s">
        <v>1510</v>
      </c>
      <c r="H46" s="1006" t="s">
        <v>1511</v>
      </c>
      <c r="I46" s="414" t="s">
        <v>1512</v>
      </c>
      <c r="J46" s="134">
        <v>140.89</v>
      </c>
      <c r="K46" s="134">
        <v>140.89</v>
      </c>
      <c r="L46" s="134">
        <v>7835</v>
      </c>
      <c r="M46" s="358">
        <v>1103873</v>
      </c>
      <c r="N46" s="359"/>
      <c r="O46" s="145">
        <v>1012727.52</v>
      </c>
      <c r="P46" s="415" t="s">
        <v>1513</v>
      </c>
      <c r="Q46" s="361">
        <v>45656</v>
      </c>
      <c r="R46" s="359"/>
      <c r="S46" s="362"/>
      <c r="T46" s="426" t="s">
        <v>1514</v>
      </c>
      <c r="U46" s="416" t="s">
        <v>1515</v>
      </c>
      <c r="V46" s="359">
        <v>28873</v>
      </c>
      <c r="W46" s="417" t="s">
        <v>1442</v>
      </c>
      <c r="X46" s="134">
        <v>375000</v>
      </c>
      <c r="Y46" s="417" t="s">
        <v>1432</v>
      </c>
      <c r="Z46" s="359">
        <v>700000</v>
      </c>
      <c r="AA46" s="362" t="s">
        <v>1516</v>
      </c>
      <c r="AB46" s="359"/>
      <c r="AH46" s="359">
        <f t="shared" si="7"/>
        <v>1103873</v>
      </c>
      <c r="AK46" s="364">
        <f t="shared" si="3"/>
        <v>0</v>
      </c>
      <c r="AL46" s="134">
        <v>13999007117</v>
      </c>
      <c r="AN46" s="418"/>
      <c r="AO46" s="418"/>
      <c r="AP46" s="418"/>
      <c r="AQ46" s="365">
        <f>0.4%+0.04%+0.1%+0.04%</f>
        <v>0.0058</v>
      </c>
      <c r="AR46" s="419">
        <f t="shared" si="2"/>
        <v>1103873</v>
      </c>
      <c r="AS46" s="359"/>
      <c r="AT46" s="359">
        <v>100</v>
      </c>
      <c r="AU46" s="359"/>
      <c r="AV46" s="359">
        <v>403873</v>
      </c>
      <c r="AW46" s="359"/>
      <c r="AX46" s="359"/>
      <c r="AY46" s="421"/>
      <c r="AZ46" s="422"/>
      <c r="BA46" s="359"/>
      <c r="BB46" s="359"/>
      <c r="BC46" s="359">
        <v>700000</v>
      </c>
      <c r="BD46" s="359"/>
      <c r="BE46" s="359"/>
      <c r="BX46" s="432"/>
      <c r="BZ46" s="134" t="s">
        <v>376</v>
      </c>
      <c r="CA46" s="134" t="s">
        <v>387</v>
      </c>
      <c r="CB46" s="134" t="s">
        <v>377</v>
      </c>
      <c r="CE46" s="149"/>
    </row>
    <row r="47" s="134" customFormat="1" customHeight="1" spans="1:83">
      <c r="A47" s="134">
        <v>25</v>
      </c>
      <c r="C47" s="413">
        <v>45137</v>
      </c>
      <c r="D47" s="420">
        <v>20230006450</v>
      </c>
      <c r="F47" s="1006" t="s">
        <v>1517</v>
      </c>
      <c r="G47" s="134" t="s">
        <v>1518</v>
      </c>
      <c r="H47" s="1006" t="s">
        <v>1519</v>
      </c>
      <c r="I47" s="423" t="s">
        <v>1520</v>
      </c>
      <c r="J47" s="134">
        <v>137.77</v>
      </c>
      <c r="K47" s="134">
        <v>137.77</v>
      </c>
      <c r="L47" s="134">
        <v>5618</v>
      </c>
      <c r="M47" s="358">
        <v>774000</v>
      </c>
      <c r="N47" s="359">
        <v>5266.89</v>
      </c>
      <c r="O47" s="145">
        <v>710091.74</v>
      </c>
      <c r="P47" s="415" t="s">
        <v>1521</v>
      </c>
      <c r="Q47" s="361">
        <v>45656</v>
      </c>
      <c r="R47" s="359"/>
      <c r="S47" s="362"/>
      <c r="T47" s="362"/>
      <c r="U47" s="362" t="s">
        <v>662</v>
      </c>
      <c r="V47" s="359">
        <v>20000</v>
      </c>
      <c r="W47" s="362" t="s">
        <v>1145</v>
      </c>
      <c r="X47" s="359">
        <f>85000+50000</f>
        <v>135000</v>
      </c>
      <c r="Y47" s="417" t="s">
        <v>944</v>
      </c>
      <c r="Z47" s="359">
        <v>619000</v>
      </c>
      <c r="AA47" s="362" t="s">
        <v>1522</v>
      </c>
      <c r="AB47" s="359"/>
      <c r="AH47" s="359">
        <f t="shared" ref="AH47:AH86" si="8">V47+X47+Z47+AB47+AD47+AF47</f>
        <v>774000</v>
      </c>
      <c r="AK47" s="364">
        <f t="shared" si="3"/>
        <v>0</v>
      </c>
      <c r="AL47" s="134">
        <v>19999769708</v>
      </c>
      <c r="AN47" s="418"/>
      <c r="AO47" s="418"/>
      <c r="AP47" s="418"/>
      <c r="AQ47" s="365">
        <f>0.7%+0.14%</f>
        <v>0.0084</v>
      </c>
      <c r="AR47" s="419">
        <f t="shared" si="2"/>
        <v>774000</v>
      </c>
      <c r="AS47" s="359"/>
      <c r="AT47" s="359">
        <v>100</v>
      </c>
      <c r="AU47" s="359"/>
      <c r="AV47" s="359"/>
      <c r="AW47" s="359"/>
      <c r="AX47" s="359"/>
      <c r="AY47" s="218"/>
      <c r="AZ47" s="425"/>
      <c r="BA47" s="359">
        <v>155000</v>
      </c>
      <c r="BB47" s="359"/>
      <c r="BC47" s="359">
        <v>619000</v>
      </c>
      <c r="BD47" s="359"/>
      <c r="BE47" s="359"/>
      <c r="BX47" s="432"/>
      <c r="BZ47" s="134" t="s">
        <v>376</v>
      </c>
      <c r="CA47" s="134" t="s">
        <v>387</v>
      </c>
      <c r="CB47" s="134" t="s">
        <v>377</v>
      </c>
      <c r="CE47" s="149"/>
    </row>
    <row r="48" s="134" customFormat="1" customHeight="1" spans="1:83">
      <c r="A48" s="134">
        <v>26</v>
      </c>
      <c r="C48" s="413">
        <v>45120</v>
      </c>
      <c r="D48" s="420">
        <v>20230005822</v>
      </c>
      <c r="F48" s="1006" t="s">
        <v>1523</v>
      </c>
      <c r="G48" s="134" t="s">
        <v>1524</v>
      </c>
      <c r="I48" s="414" t="s">
        <v>1525</v>
      </c>
      <c r="J48" s="134">
        <v>138.26</v>
      </c>
      <c r="K48" s="134">
        <v>138.26</v>
      </c>
      <c r="L48" s="134">
        <v>5240</v>
      </c>
      <c r="M48" s="358">
        <v>724482</v>
      </c>
      <c r="N48" s="359">
        <v>5246.18</v>
      </c>
      <c r="O48" s="145">
        <v>664662.39</v>
      </c>
      <c r="P48" s="415" t="s">
        <v>1526</v>
      </c>
      <c r="Q48" s="361">
        <v>45656</v>
      </c>
      <c r="R48" s="359"/>
      <c r="U48" s="134" t="s">
        <v>524</v>
      </c>
      <c r="V48" s="359">
        <v>10000</v>
      </c>
      <c r="W48" s="134" t="s">
        <v>1527</v>
      </c>
      <c r="X48" s="359">
        <v>50000</v>
      </c>
      <c r="Y48" s="417" t="s">
        <v>1528</v>
      </c>
      <c r="Z48" s="359">
        <v>100482</v>
      </c>
      <c r="AA48" s="134" t="s">
        <v>1137</v>
      </c>
      <c r="AB48" s="359">
        <v>64000</v>
      </c>
      <c r="AC48" s="134" t="s">
        <v>1529</v>
      </c>
      <c r="AD48" s="134">
        <v>500000</v>
      </c>
      <c r="AE48" s="134" t="s">
        <v>1530</v>
      </c>
      <c r="AH48" s="359">
        <f t="shared" si="8"/>
        <v>724482</v>
      </c>
      <c r="AK48" s="364">
        <f t="shared" si="3"/>
        <v>0</v>
      </c>
      <c r="AL48" s="134">
        <v>13899023889</v>
      </c>
      <c r="AN48" s="418"/>
      <c r="AO48" s="418"/>
      <c r="AP48" s="418"/>
      <c r="AQ48" s="365">
        <f>0.6%+0.04%+0.1%</f>
        <v>0.0074</v>
      </c>
      <c r="AR48" s="419">
        <f t="shared" si="2"/>
        <v>724482</v>
      </c>
      <c r="AS48" s="359"/>
      <c r="AT48" s="359"/>
      <c r="AU48" s="359"/>
      <c r="AV48" s="359"/>
      <c r="AW48" s="359"/>
      <c r="AX48" s="359"/>
      <c r="AY48" s="421"/>
      <c r="AZ48" s="422"/>
      <c r="BA48" s="359">
        <v>160482</v>
      </c>
      <c r="BB48" s="359">
        <v>564000</v>
      </c>
      <c r="BC48" s="359"/>
      <c r="BD48" s="359"/>
      <c r="BE48" s="359"/>
      <c r="BX48" s="432"/>
      <c r="BZ48" s="134" t="s">
        <v>376</v>
      </c>
      <c r="CA48" s="134" t="s">
        <v>387</v>
      </c>
      <c r="CB48" s="134" t="s">
        <v>377</v>
      </c>
      <c r="CE48" s="149"/>
    </row>
    <row r="49" s="134" customFormat="1" customHeight="1" spans="1:83">
      <c r="A49" s="134">
        <v>27</v>
      </c>
      <c r="C49" s="413">
        <v>44965</v>
      </c>
      <c r="D49" s="420">
        <v>20230001075</v>
      </c>
      <c r="F49" s="1006" t="s">
        <v>1531</v>
      </c>
      <c r="G49" s="134" t="s">
        <v>1532</v>
      </c>
      <c r="H49" s="1006" t="s">
        <v>1533</v>
      </c>
      <c r="I49" s="423" t="s">
        <v>1534</v>
      </c>
      <c r="J49" s="134">
        <v>137.77</v>
      </c>
      <c r="K49" s="134">
        <v>137.77</v>
      </c>
      <c r="L49" s="134">
        <v>5258</v>
      </c>
      <c r="M49" s="358">
        <v>724395</v>
      </c>
      <c r="N49" s="359"/>
      <c r="O49" s="145">
        <v>664582.57</v>
      </c>
      <c r="P49" s="415" t="s">
        <v>1535</v>
      </c>
      <c r="Q49" s="361">
        <v>45656</v>
      </c>
      <c r="R49" s="359"/>
      <c r="T49" s="147" t="s">
        <v>1536</v>
      </c>
      <c r="U49" s="134" t="s">
        <v>1537</v>
      </c>
      <c r="V49" s="359">
        <v>275395</v>
      </c>
      <c r="W49" s="417" t="s">
        <v>1481</v>
      </c>
      <c r="X49" s="359">
        <v>150000</v>
      </c>
      <c r="Y49" s="417" t="s">
        <v>1538</v>
      </c>
      <c r="Z49" s="359">
        <v>299000</v>
      </c>
      <c r="AA49" s="134" t="s">
        <v>1539</v>
      </c>
      <c r="AB49" s="359"/>
      <c r="AH49" s="359">
        <f t="shared" si="8"/>
        <v>724395</v>
      </c>
      <c r="AK49" s="364">
        <f t="shared" si="3"/>
        <v>0</v>
      </c>
      <c r="AL49" s="134">
        <v>15899013555</v>
      </c>
      <c r="AN49" s="418"/>
      <c r="AO49" s="418"/>
      <c r="AP49" s="418"/>
      <c r="AQ49" s="365">
        <f>0.4%+0.04%+0.1%+0.04%</f>
        <v>0.0058</v>
      </c>
      <c r="AR49" s="419">
        <f t="shared" si="2"/>
        <v>724395</v>
      </c>
      <c r="AS49" s="359"/>
      <c r="AT49" s="359"/>
      <c r="AU49" s="359"/>
      <c r="AV49" s="359">
        <v>275395</v>
      </c>
      <c r="AW49" s="359"/>
      <c r="AX49" s="359"/>
      <c r="AY49" s="421"/>
      <c r="AZ49" s="422"/>
      <c r="BA49" s="359"/>
      <c r="BB49" s="359">
        <v>449000</v>
      </c>
      <c r="BC49" s="359"/>
      <c r="BD49" s="359"/>
      <c r="BE49" s="359"/>
      <c r="BX49" s="432"/>
      <c r="BZ49" s="134" t="s">
        <v>376</v>
      </c>
      <c r="CA49" s="134" t="s">
        <v>387</v>
      </c>
      <c r="CB49" s="134" t="s">
        <v>377</v>
      </c>
      <c r="CE49" s="149"/>
    </row>
    <row r="50" s="134" customFormat="1" customHeight="1" spans="1:83">
      <c r="A50" s="134">
        <v>28</v>
      </c>
      <c r="C50" s="413">
        <v>44974</v>
      </c>
      <c r="D50" s="420">
        <v>20230001692</v>
      </c>
      <c r="F50" s="134" t="s">
        <v>1540</v>
      </c>
      <c r="G50" s="143" t="s">
        <v>1541</v>
      </c>
      <c r="H50" s="1010" t="s">
        <v>1542</v>
      </c>
      <c r="I50" s="423" t="s">
        <v>1543</v>
      </c>
      <c r="J50" s="134">
        <v>138.26</v>
      </c>
      <c r="K50" s="134">
        <v>138.26</v>
      </c>
      <c r="L50" s="134">
        <v>5114.96</v>
      </c>
      <c r="M50" s="358">
        <v>707195</v>
      </c>
      <c r="N50" s="359"/>
      <c r="O50" s="145">
        <v>648802.75</v>
      </c>
      <c r="P50" s="415" t="s">
        <v>1544</v>
      </c>
      <c r="Q50" s="361">
        <v>45656</v>
      </c>
      <c r="R50" s="359"/>
      <c r="S50" s="362"/>
      <c r="T50" s="363" t="s">
        <v>1545</v>
      </c>
      <c r="U50" s="362" t="s">
        <v>1546</v>
      </c>
      <c r="V50" s="359">
        <v>2000</v>
      </c>
      <c r="W50" s="138">
        <v>44759</v>
      </c>
      <c r="X50" s="359">
        <v>18000</v>
      </c>
      <c r="Y50" s="417" t="s">
        <v>1547</v>
      </c>
      <c r="Z50" s="359">
        <v>687195</v>
      </c>
      <c r="AA50" s="417" t="s">
        <v>763</v>
      </c>
      <c r="AB50" s="359"/>
      <c r="AH50" s="359">
        <f t="shared" si="8"/>
        <v>707195</v>
      </c>
      <c r="AK50" s="364">
        <f t="shared" si="3"/>
        <v>0</v>
      </c>
      <c r="AL50" s="134">
        <v>18109963899</v>
      </c>
      <c r="AN50" s="418"/>
      <c r="AO50" s="418"/>
      <c r="AP50" s="418"/>
      <c r="AQ50" s="365">
        <f>0.4%+0.04%+0.1%</f>
        <v>0.0054</v>
      </c>
      <c r="AR50" s="419">
        <f t="shared" si="2"/>
        <v>707195</v>
      </c>
      <c r="AS50" s="359"/>
      <c r="AT50" s="359">
        <v>100</v>
      </c>
      <c r="AU50" s="359"/>
      <c r="AV50" s="359">
        <v>707195</v>
      </c>
      <c r="AW50" s="359"/>
      <c r="AX50" s="359"/>
      <c r="AY50" s="421"/>
      <c r="AZ50" s="428"/>
      <c r="BA50" s="359"/>
      <c r="BB50" s="359"/>
      <c r="BC50" s="359"/>
      <c r="BD50" s="359"/>
      <c r="BE50" s="359"/>
      <c r="BX50" s="432"/>
      <c r="BZ50" s="134" t="s">
        <v>376</v>
      </c>
      <c r="CA50" s="134" t="s">
        <v>387</v>
      </c>
      <c r="CB50" s="134" t="s">
        <v>377</v>
      </c>
      <c r="CE50" s="149"/>
    </row>
    <row r="51" s="134" customFormat="1" customHeight="1" spans="1:83">
      <c r="A51" s="134">
        <v>29</v>
      </c>
      <c r="C51" s="138">
        <v>44968</v>
      </c>
      <c r="D51" s="420">
        <v>20230001440</v>
      </c>
      <c r="F51" s="429" t="s">
        <v>1548</v>
      </c>
      <c r="G51" s="440" t="s">
        <v>1325</v>
      </c>
      <c r="H51" s="440"/>
      <c r="I51" s="423" t="s">
        <v>1549</v>
      </c>
      <c r="J51" s="134">
        <v>137.77</v>
      </c>
      <c r="K51" s="134">
        <v>137.77</v>
      </c>
      <c r="L51" s="134">
        <v>137.77</v>
      </c>
      <c r="M51" s="358">
        <v>728681</v>
      </c>
      <c r="N51" s="359"/>
      <c r="O51" s="145">
        <v>668514.68</v>
      </c>
      <c r="P51" s="415" t="s">
        <v>1550</v>
      </c>
      <c r="Q51" s="361">
        <v>45694</v>
      </c>
      <c r="R51" s="359"/>
      <c r="T51" s="134" t="s">
        <v>1325</v>
      </c>
      <c r="U51" s="134" t="s">
        <v>1325</v>
      </c>
      <c r="V51" s="359">
        <v>20000</v>
      </c>
      <c r="W51" s="134" t="s">
        <v>1377</v>
      </c>
      <c r="X51" s="359">
        <v>601681</v>
      </c>
      <c r="Y51" s="138" t="s">
        <v>1347</v>
      </c>
      <c r="Z51" s="359">
        <v>107000</v>
      </c>
      <c r="AA51" s="417" t="s">
        <v>1365</v>
      </c>
      <c r="AB51" s="359"/>
      <c r="AH51" s="359">
        <f t="shared" si="8"/>
        <v>728681</v>
      </c>
      <c r="AK51" s="364">
        <f t="shared" si="3"/>
        <v>0</v>
      </c>
      <c r="AL51" s="429" t="s">
        <v>1551</v>
      </c>
      <c r="AM51" s="429"/>
      <c r="AN51" s="441"/>
      <c r="AO51" s="441"/>
      <c r="AP51" s="441"/>
      <c r="AQ51" s="365">
        <f>0.6%+0.06%+0.14%</f>
        <v>0.008</v>
      </c>
      <c r="AR51" s="419">
        <f t="shared" si="2"/>
        <v>728681</v>
      </c>
      <c r="AS51" s="359"/>
      <c r="AT51" s="359"/>
      <c r="AU51" s="359"/>
      <c r="AV51" s="359">
        <v>728681</v>
      </c>
      <c r="AW51" s="359"/>
      <c r="AX51" s="359"/>
      <c r="AY51" s="421"/>
      <c r="AZ51" s="422"/>
      <c r="BA51" s="359"/>
      <c r="BB51" s="359"/>
      <c r="BC51" s="359"/>
      <c r="BD51" s="359"/>
      <c r="BE51" s="359"/>
      <c r="BX51" s="432"/>
      <c r="BZ51" s="134" t="s">
        <v>376</v>
      </c>
      <c r="CA51" s="134" t="s">
        <v>387</v>
      </c>
      <c r="CB51" s="134" t="s">
        <v>377</v>
      </c>
      <c r="CE51" s="149"/>
    </row>
    <row r="52" s="134" customFormat="1" customHeight="1" spans="1:83">
      <c r="A52" s="134">
        <v>30</v>
      </c>
      <c r="C52" s="138">
        <v>44968</v>
      </c>
      <c r="D52" s="442">
        <v>20230001507</v>
      </c>
      <c r="F52" s="429" t="s">
        <v>1552</v>
      </c>
      <c r="G52" s="440" t="s">
        <v>1553</v>
      </c>
      <c r="H52" s="420"/>
      <c r="I52" s="414" t="s">
        <v>1554</v>
      </c>
      <c r="J52" s="134">
        <v>138.26</v>
      </c>
      <c r="K52" s="134">
        <v>138.26</v>
      </c>
      <c r="L52" s="134">
        <v>5268.63</v>
      </c>
      <c r="M52" s="358">
        <v>728441</v>
      </c>
      <c r="N52" s="359"/>
      <c r="O52" s="145">
        <v>668294.5</v>
      </c>
      <c r="P52" s="415" t="s">
        <v>1555</v>
      </c>
      <c r="Q52" s="361">
        <v>45656</v>
      </c>
      <c r="R52" s="359"/>
      <c r="S52" s="362"/>
      <c r="T52" s="420" t="s">
        <v>1556</v>
      </c>
      <c r="U52" s="420" t="s">
        <v>1556</v>
      </c>
      <c r="V52" s="359">
        <v>18441</v>
      </c>
      <c r="W52" s="138" t="s">
        <v>1347</v>
      </c>
      <c r="X52" s="359">
        <v>40000</v>
      </c>
      <c r="Y52" s="138" t="s">
        <v>1557</v>
      </c>
      <c r="Z52" s="359">
        <v>20000</v>
      </c>
      <c r="AA52" s="362" t="s">
        <v>928</v>
      </c>
      <c r="AB52" s="359">
        <v>70000</v>
      </c>
      <c r="AC52" s="134" t="s">
        <v>1056</v>
      </c>
      <c r="AD52" s="359">
        <v>580000</v>
      </c>
      <c r="AE52" s="362" t="s">
        <v>1558</v>
      </c>
      <c r="AH52" s="359">
        <f t="shared" si="8"/>
        <v>728441</v>
      </c>
      <c r="AK52" s="364">
        <f t="shared" si="3"/>
        <v>0</v>
      </c>
      <c r="AL52" s="429" t="s">
        <v>1559</v>
      </c>
      <c r="AM52" s="429"/>
      <c r="AN52" s="441"/>
      <c r="AO52" s="441"/>
      <c r="AP52" s="441"/>
      <c r="AQ52" s="365">
        <f>0.6%+0.06%+0.14%+0.06%</f>
        <v>0.0086</v>
      </c>
      <c r="AR52" s="419">
        <f t="shared" si="2"/>
        <v>728441</v>
      </c>
      <c r="AS52" s="359"/>
      <c r="AT52" s="359">
        <v>100</v>
      </c>
      <c r="AU52" s="359"/>
      <c r="AV52" s="359"/>
      <c r="AW52" s="359"/>
      <c r="AX52" s="359"/>
      <c r="AY52" s="421"/>
      <c r="AZ52" s="430"/>
      <c r="BA52" s="359">
        <v>148441</v>
      </c>
      <c r="BB52" s="359"/>
      <c r="BC52" s="359"/>
      <c r="BD52" s="359">
        <v>580000</v>
      </c>
      <c r="BE52" s="359"/>
      <c r="BX52" s="432"/>
      <c r="BZ52" s="134" t="s">
        <v>376</v>
      </c>
      <c r="CA52" s="134" t="s">
        <v>387</v>
      </c>
      <c r="CB52" s="134" t="s">
        <v>377</v>
      </c>
      <c r="CE52" s="149"/>
    </row>
    <row r="53" s="134" customFormat="1" customHeight="1" spans="1:83">
      <c r="A53" s="134">
        <v>31</v>
      </c>
      <c r="C53" s="138">
        <v>44966</v>
      </c>
      <c r="D53" s="442">
        <v>20230001147</v>
      </c>
      <c r="F53" s="1006" t="s">
        <v>1560</v>
      </c>
      <c r="G53" s="143" t="s">
        <v>1561</v>
      </c>
      <c r="H53" s="1010" t="s">
        <v>821</v>
      </c>
      <c r="I53" s="414" t="s">
        <v>1562</v>
      </c>
      <c r="J53" s="134">
        <v>137.77</v>
      </c>
      <c r="K53" s="134">
        <v>137.77</v>
      </c>
      <c r="L53" s="134">
        <v>5220</v>
      </c>
      <c r="M53" s="358">
        <v>719159</v>
      </c>
      <c r="N53" s="359"/>
      <c r="O53" s="145">
        <v>659778.9</v>
      </c>
      <c r="P53" s="415" t="s">
        <v>1563</v>
      </c>
      <c r="Q53" s="361">
        <v>45656</v>
      </c>
      <c r="R53" s="359"/>
      <c r="S53" s="416"/>
      <c r="T53" s="426" t="s">
        <v>1564</v>
      </c>
      <c r="U53" s="416" t="s">
        <v>1565</v>
      </c>
      <c r="V53" s="359">
        <v>369159</v>
      </c>
      <c r="W53" s="138" t="s">
        <v>1377</v>
      </c>
      <c r="X53" s="134">
        <v>350000</v>
      </c>
      <c r="Y53" s="134" t="s">
        <v>1384</v>
      </c>
      <c r="Z53" s="359"/>
      <c r="AB53" s="359"/>
      <c r="AH53" s="359">
        <f t="shared" si="8"/>
        <v>719159</v>
      </c>
      <c r="AK53" s="364">
        <f t="shared" si="3"/>
        <v>0</v>
      </c>
      <c r="AL53" s="429" t="s">
        <v>1566</v>
      </c>
      <c r="AM53" s="429"/>
      <c r="AN53" s="441"/>
      <c r="AO53" s="441"/>
      <c r="AP53" s="441"/>
      <c r="AQ53" s="365">
        <f>0.4%+0.04%+0.1%</f>
        <v>0.0054</v>
      </c>
      <c r="AR53" s="419">
        <f t="shared" si="2"/>
        <v>719159</v>
      </c>
      <c r="AS53" s="359">
        <f>100</f>
        <v>100</v>
      </c>
      <c r="AT53" s="359">
        <v>100</v>
      </c>
      <c r="AU53" s="359"/>
      <c r="AV53" s="359">
        <v>719159</v>
      </c>
      <c r="AW53" s="359"/>
      <c r="AX53" s="359"/>
      <c r="AY53" s="421"/>
      <c r="AZ53" s="422"/>
      <c r="BA53" s="359"/>
      <c r="BB53" s="359"/>
      <c r="BC53" s="359"/>
      <c r="BD53" s="359"/>
      <c r="BE53" s="359"/>
      <c r="BX53" s="432"/>
      <c r="BZ53" s="134" t="s">
        <v>376</v>
      </c>
      <c r="CA53" s="134" t="s">
        <v>387</v>
      </c>
      <c r="CB53" s="134" t="s">
        <v>377</v>
      </c>
      <c r="CE53" s="149"/>
    </row>
    <row r="54" s="134" customFormat="1" customHeight="1" spans="1:83">
      <c r="A54" s="134">
        <v>32</v>
      </c>
      <c r="C54" s="138">
        <v>44964</v>
      </c>
      <c r="D54" s="442">
        <v>20230000826</v>
      </c>
      <c r="F54" s="429" t="s">
        <v>1567</v>
      </c>
      <c r="G54" s="143" t="s">
        <v>1568</v>
      </c>
      <c r="H54" s="1010" t="s">
        <v>1569</v>
      </c>
      <c r="I54" s="423" t="s">
        <v>1570</v>
      </c>
      <c r="J54" s="134">
        <v>138.26</v>
      </c>
      <c r="K54" s="134">
        <v>138.26</v>
      </c>
      <c r="L54" s="134">
        <v>5194.96</v>
      </c>
      <c r="M54" s="358">
        <v>718256</v>
      </c>
      <c r="N54" s="359"/>
      <c r="O54" s="145">
        <v>658950.46</v>
      </c>
      <c r="P54" s="415" t="s">
        <v>1571</v>
      </c>
      <c r="Q54" s="361">
        <v>45656</v>
      </c>
      <c r="R54" s="359"/>
      <c r="T54" s="147"/>
      <c r="U54" s="134" t="s">
        <v>1572</v>
      </c>
      <c r="V54" s="359">
        <v>56256</v>
      </c>
      <c r="W54" s="443" t="s">
        <v>1416</v>
      </c>
      <c r="X54" s="359">
        <v>160000</v>
      </c>
      <c r="Y54" s="443" t="s">
        <v>1573</v>
      </c>
      <c r="Z54" s="359">
        <v>502000</v>
      </c>
      <c r="AA54" s="134" t="s">
        <v>1574</v>
      </c>
      <c r="AB54" s="359"/>
      <c r="AH54" s="359">
        <f t="shared" si="8"/>
        <v>718256</v>
      </c>
      <c r="AJ54" s="417"/>
      <c r="AK54" s="364">
        <f t="shared" si="3"/>
        <v>0</v>
      </c>
      <c r="AL54" s="429" t="s">
        <v>1575</v>
      </c>
      <c r="AM54" s="429"/>
      <c r="AN54" s="441"/>
      <c r="AO54" s="441"/>
      <c r="AP54" s="441"/>
      <c r="AQ54" s="365">
        <f>0.6%+0.04%+0.1%</f>
        <v>0.0074</v>
      </c>
      <c r="AR54" s="419">
        <f t="shared" si="2"/>
        <v>718256</v>
      </c>
      <c r="AS54" s="359"/>
      <c r="AT54" s="359"/>
      <c r="AU54" s="359"/>
      <c r="AV54" s="359"/>
      <c r="AW54" s="359">
        <v>216256</v>
      </c>
      <c r="AX54" s="359">
        <v>502000</v>
      </c>
      <c r="AY54" s="421"/>
      <c r="AZ54" s="422"/>
      <c r="BA54" s="359"/>
      <c r="BB54" s="359"/>
      <c r="BC54" s="359"/>
      <c r="BD54" s="359"/>
      <c r="BE54" s="359"/>
      <c r="BX54" s="432"/>
      <c r="BZ54" s="134" t="s">
        <v>376</v>
      </c>
      <c r="CA54" s="134" t="s">
        <v>387</v>
      </c>
      <c r="CB54" s="134" t="s">
        <v>377</v>
      </c>
      <c r="CE54" s="149"/>
    </row>
    <row r="55" s="134" customFormat="1" customHeight="1" spans="1:83">
      <c r="A55" s="134">
        <v>33</v>
      </c>
      <c r="C55" s="138">
        <v>45053</v>
      </c>
      <c r="D55" s="442">
        <v>20230003918</v>
      </c>
      <c r="F55" s="1006" t="s">
        <v>1576</v>
      </c>
      <c r="G55" s="440" t="s">
        <v>1577</v>
      </c>
      <c r="H55" s="1008" t="s">
        <v>1578</v>
      </c>
      <c r="I55" s="414" t="s">
        <v>1579</v>
      </c>
      <c r="J55" s="134">
        <v>137.77</v>
      </c>
      <c r="K55" s="134">
        <v>137.77</v>
      </c>
      <c r="L55" s="134">
        <v>5259.96</v>
      </c>
      <c r="M55" s="358">
        <v>724665</v>
      </c>
      <c r="N55" s="359"/>
      <c r="O55" s="145">
        <v>664830.28</v>
      </c>
      <c r="P55" s="415" t="s">
        <v>1580</v>
      </c>
      <c r="Q55" s="361">
        <v>45656</v>
      </c>
      <c r="R55" s="359"/>
      <c r="S55" s="362"/>
      <c r="T55" s="363" t="s">
        <v>1581</v>
      </c>
      <c r="U55" s="362" t="s">
        <v>1582</v>
      </c>
      <c r="V55" s="359">
        <v>2000</v>
      </c>
      <c r="W55" s="443">
        <v>44774</v>
      </c>
      <c r="X55" s="359">
        <v>18000</v>
      </c>
      <c r="Y55" s="417" t="s">
        <v>1398</v>
      </c>
      <c r="Z55" s="359">
        <v>205665</v>
      </c>
      <c r="AA55" s="134" t="s">
        <v>447</v>
      </c>
      <c r="AB55" s="359">
        <v>499000</v>
      </c>
      <c r="AC55" s="362" t="s">
        <v>1127</v>
      </c>
      <c r="AH55" s="359">
        <f t="shared" si="8"/>
        <v>724665</v>
      </c>
      <c r="AK55" s="364">
        <f t="shared" si="3"/>
        <v>0</v>
      </c>
      <c r="AL55" s="134">
        <v>17709961530</v>
      </c>
      <c r="AM55" s="429"/>
      <c r="AN55" s="441"/>
      <c r="AO55" s="441"/>
      <c r="AP55" s="441"/>
      <c r="AQ55" s="365">
        <f>0.4%+0.04%+0.1%+0.04%</f>
        <v>0.0058</v>
      </c>
      <c r="AR55" s="419">
        <f t="shared" si="2"/>
        <v>724665</v>
      </c>
      <c r="AS55" s="359"/>
      <c r="AT55" s="359">
        <v>100</v>
      </c>
      <c r="AU55" s="359"/>
      <c r="AV55" s="359"/>
      <c r="AW55" s="359"/>
      <c r="AX55" s="359"/>
      <c r="AY55" s="421">
        <v>225665</v>
      </c>
      <c r="AZ55" s="422"/>
      <c r="BA55" s="359"/>
      <c r="BB55" s="359">
        <v>499000</v>
      </c>
      <c r="BC55" s="359"/>
      <c r="BD55" s="359"/>
      <c r="BE55" s="359"/>
      <c r="BX55" s="432"/>
      <c r="BZ55" s="134" t="s">
        <v>376</v>
      </c>
      <c r="CA55" s="134" t="s">
        <v>387</v>
      </c>
      <c r="CB55" s="134" t="s">
        <v>377</v>
      </c>
      <c r="CE55" s="149"/>
    </row>
    <row r="56" s="134" customFormat="1" customHeight="1" spans="1:83">
      <c r="A56" s="134">
        <v>34</v>
      </c>
      <c r="C56" s="138">
        <v>45005</v>
      </c>
      <c r="D56" s="420">
        <v>20230002636</v>
      </c>
      <c r="F56" s="429" t="s">
        <v>1583</v>
      </c>
      <c r="G56" s="440" t="s">
        <v>1308</v>
      </c>
      <c r="H56" s="1008" t="s">
        <v>1584</v>
      </c>
      <c r="I56" s="423" t="s">
        <v>1585</v>
      </c>
      <c r="J56" s="134">
        <v>138.26</v>
      </c>
      <c r="K56" s="134">
        <v>138.26</v>
      </c>
      <c r="L56" s="134">
        <v>5238.96</v>
      </c>
      <c r="M56" s="358">
        <v>724477</v>
      </c>
      <c r="N56" s="359"/>
      <c r="O56" s="145">
        <v>664657.8</v>
      </c>
      <c r="P56" s="415" t="s">
        <v>1586</v>
      </c>
      <c r="Q56" s="361">
        <v>45656</v>
      </c>
      <c r="R56" s="359"/>
      <c r="S56" s="362"/>
      <c r="T56" s="426" t="s">
        <v>1587</v>
      </c>
      <c r="U56" s="416" t="s">
        <v>1588</v>
      </c>
      <c r="V56" s="359">
        <f>4000</f>
        <v>4000</v>
      </c>
      <c r="W56" s="413">
        <v>44781</v>
      </c>
      <c r="X56" s="359">
        <v>16000</v>
      </c>
      <c r="Y56" s="138" t="s">
        <v>1589</v>
      </c>
      <c r="Z56" s="359">
        <v>477</v>
      </c>
      <c r="AA56" s="138" t="s">
        <v>1573</v>
      </c>
      <c r="AB56" s="359">
        <v>240000</v>
      </c>
      <c r="AC56" s="134" t="s">
        <v>1590</v>
      </c>
      <c r="AD56" s="134">
        <v>464000</v>
      </c>
      <c r="AE56" s="134" t="s">
        <v>1591</v>
      </c>
      <c r="AH56" s="359">
        <f t="shared" si="8"/>
        <v>724477</v>
      </c>
      <c r="AK56" s="364">
        <f t="shared" si="3"/>
        <v>0</v>
      </c>
      <c r="AL56" s="429" t="s">
        <v>1592</v>
      </c>
      <c r="AM56" s="429"/>
      <c r="AN56" s="441"/>
      <c r="AO56" s="441"/>
      <c r="AP56" s="441"/>
      <c r="AQ56" s="365">
        <f>0.4%+0.04%+0.1%</f>
        <v>0.0054</v>
      </c>
      <c r="AR56" s="419">
        <f t="shared" si="2"/>
        <v>724477</v>
      </c>
      <c r="AS56" s="359">
        <f t="shared" ref="AS56:AS61" si="9">100</f>
        <v>100</v>
      </c>
      <c r="AT56" s="359"/>
      <c r="AU56" s="359"/>
      <c r="AV56" s="359"/>
      <c r="AW56" s="359"/>
      <c r="AX56" s="359">
        <v>260477</v>
      </c>
      <c r="AY56" s="421">
        <v>464000</v>
      </c>
      <c r="AZ56" s="422"/>
      <c r="BA56" s="359"/>
      <c r="BB56" s="359"/>
      <c r="BC56" s="359"/>
      <c r="BD56" s="359"/>
      <c r="BE56" s="359"/>
      <c r="BX56" s="432"/>
      <c r="BZ56" s="134" t="s">
        <v>376</v>
      </c>
      <c r="CA56" s="134" t="s">
        <v>387</v>
      </c>
      <c r="CB56" s="134" t="s">
        <v>377</v>
      </c>
      <c r="CE56" s="149"/>
    </row>
    <row r="57" s="134" customFormat="1" customHeight="1" spans="1:83">
      <c r="A57" s="134">
        <v>35</v>
      </c>
      <c r="C57" s="138">
        <v>44968</v>
      </c>
      <c r="D57" s="420">
        <v>20230001427</v>
      </c>
      <c r="F57" s="429" t="s">
        <v>1593</v>
      </c>
      <c r="G57" s="440" t="s">
        <v>1594</v>
      </c>
      <c r="H57" s="1008" t="s">
        <v>1595</v>
      </c>
      <c r="I57" s="414" t="s">
        <v>1596</v>
      </c>
      <c r="J57" s="134">
        <v>137.77</v>
      </c>
      <c r="K57" s="134">
        <v>137.77</v>
      </c>
      <c r="L57" s="134">
        <v>5304.96</v>
      </c>
      <c r="M57" s="358">
        <v>730865</v>
      </c>
      <c r="N57" s="359"/>
      <c r="O57" s="145">
        <v>670518.35</v>
      </c>
      <c r="P57" s="415" t="s">
        <v>1597</v>
      </c>
      <c r="Q57" s="361">
        <v>45656</v>
      </c>
      <c r="R57" s="359"/>
      <c r="S57" s="416"/>
      <c r="T57" s="426" t="s">
        <v>1598</v>
      </c>
      <c r="U57" s="416" t="s">
        <v>1599</v>
      </c>
      <c r="V57" s="359">
        <v>150865</v>
      </c>
      <c r="W57" s="443" t="s">
        <v>1347</v>
      </c>
      <c r="X57" s="359">
        <v>580000</v>
      </c>
      <c r="Y57" s="443" t="s">
        <v>1558</v>
      </c>
      <c r="Z57" s="359"/>
      <c r="AA57" s="443"/>
      <c r="AB57" s="359"/>
      <c r="AC57" s="138"/>
      <c r="AD57" s="138"/>
      <c r="AE57" s="138"/>
      <c r="AF57" s="138"/>
      <c r="AG57" s="138"/>
      <c r="AH57" s="359">
        <f t="shared" si="8"/>
        <v>730865</v>
      </c>
      <c r="AK57" s="364">
        <f t="shared" si="3"/>
        <v>0</v>
      </c>
      <c r="AL57" s="429" t="s">
        <v>1600</v>
      </c>
      <c r="AM57" s="429"/>
      <c r="AN57" s="441"/>
      <c r="AO57" s="441"/>
      <c r="AP57" s="441"/>
      <c r="AQ57" s="365">
        <f>0.6%+0.04%+0.1%+0.04%</f>
        <v>0.0078</v>
      </c>
      <c r="AR57" s="419">
        <f t="shared" si="2"/>
        <v>730865</v>
      </c>
      <c r="AS57" s="359"/>
      <c r="AT57" s="359">
        <v>100</v>
      </c>
      <c r="AU57" s="359"/>
      <c r="AV57" s="359"/>
      <c r="AW57" s="359">
        <v>150865</v>
      </c>
      <c r="AX57" s="359"/>
      <c r="AY57" s="421"/>
      <c r="AZ57" s="422"/>
      <c r="BA57" s="359"/>
      <c r="BB57" s="359"/>
      <c r="BC57" s="359"/>
      <c r="BD57" s="359">
        <v>580000</v>
      </c>
      <c r="BE57" s="359"/>
      <c r="BX57" s="432"/>
      <c r="BZ57" s="134" t="s">
        <v>376</v>
      </c>
      <c r="CA57" s="134" t="s">
        <v>387</v>
      </c>
      <c r="CB57" s="134" t="s">
        <v>377</v>
      </c>
      <c r="CE57" s="149"/>
    </row>
    <row r="58" s="134" customFormat="1" ht="39" customHeight="1" spans="1:83">
      <c r="A58" s="134">
        <v>36</v>
      </c>
      <c r="C58" s="138">
        <v>44965</v>
      </c>
      <c r="D58" s="444">
        <v>20230001033</v>
      </c>
      <c r="F58" s="429" t="s">
        <v>1601</v>
      </c>
      <c r="G58" s="440" t="s">
        <v>1602</v>
      </c>
      <c r="H58" s="1008" t="s">
        <v>1603</v>
      </c>
      <c r="I58" s="423" t="s">
        <v>1604</v>
      </c>
      <c r="J58" s="134">
        <v>138.26</v>
      </c>
      <c r="K58" s="134">
        <v>138.26</v>
      </c>
      <c r="L58" s="134">
        <v>5284.96</v>
      </c>
      <c r="M58" s="436">
        <v>730699</v>
      </c>
      <c r="N58" s="437"/>
      <c r="O58" s="445">
        <v>670366.06</v>
      </c>
      <c r="P58" s="446" t="s">
        <v>1605</v>
      </c>
      <c r="Q58" s="361">
        <v>45656</v>
      </c>
      <c r="R58" s="359"/>
      <c r="S58" s="362"/>
      <c r="T58" s="426" t="s">
        <v>1606</v>
      </c>
      <c r="U58" s="416" t="s">
        <v>1607</v>
      </c>
      <c r="V58" s="359">
        <f>2000-2000</f>
        <v>0</v>
      </c>
      <c r="W58" s="413">
        <v>44771</v>
      </c>
      <c r="X58" s="134">
        <v>230699</v>
      </c>
      <c r="Y58" s="134" t="s">
        <v>1481</v>
      </c>
      <c r="Z58" s="359">
        <v>80000</v>
      </c>
      <c r="AA58" s="134" t="s">
        <v>1608</v>
      </c>
      <c r="AB58" s="359">
        <v>420000</v>
      </c>
      <c r="AC58" s="134" t="s">
        <v>1609</v>
      </c>
      <c r="AH58" s="359">
        <f t="shared" si="8"/>
        <v>730699</v>
      </c>
      <c r="AK58" s="364">
        <f t="shared" si="3"/>
        <v>0</v>
      </c>
      <c r="AL58" s="429" t="s">
        <v>1610</v>
      </c>
      <c r="AM58" s="429"/>
      <c r="AN58" s="447"/>
      <c r="AO58" s="447"/>
      <c r="AP58" s="447"/>
      <c r="AQ58" s="365">
        <f t="shared" ref="AQ58:AQ62" si="10">0.4%+0.04%+0.1%</f>
        <v>0.0054</v>
      </c>
      <c r="AR58" s="419">
        <f t="shared" si="2"/>
        <v>730699</v>
      </c>
      <c r="AS58" s="359"/>
      <c r="AT58" s="359">
        <v>100</v>
      </c>
      <c r="AU58" s="359"/>
      <c r="AV58" s="359">
        <v>310699</v>
      </c>
      <c r="AW58" s="359">
        <v>420000</v>
      </c>
      <c r="AX58" s="359"/>
      <c r="AY58" s="421"/>
      <c r="AZ58" s="422"/>
      <c r="BA58" s="359"/>
      <c r="BB58" s="359"/>
      <c r="BC58" s="359"/>
      <c r="BD58" s="359"/>
      <c r="BE58" s="359"/>
      <c r="BX58" s="432"/>
      <c r="BZ58" s="134" t="s">
        <v>376</v>
      </c>
      <c r="CA58" s="134" t="s">
        <v>387</v>
      </c>
      <c r="CB58" s="134" t="s">
        <v>377</v>
      </c>
      <c r="CE58" s="149"/>
    </row>
    <row r="59" s="134" customFormat="1" customHeight="1" spans="1:83">
      <c r="A59" s="134">
        <v>37</v>
      </c>
      <c r="C59" s="138">
        <v>44967</v>
      </c>
      <c r="D59" s="444">
        <v>20230001384</v>
      </c>
      <c r="F59" s="429" t="s">
        <v>1611</v>
      </c>
      <c r="G59" s="440" t="s">
        <v>1612</v>
      </c>
      <c r="H59" s="1008" t="s">
        <v>1613</v>
      </c>
      <c r="I59" s="414" t="s">
        <v>1614</v>
      </c>
      <c r="J59" s="134">
        <v>137.77</v>
      </c>
      <c r="K59" s="134">
        <v>137.77</v>
      </c>
      <c r="L59" s="134">
        <v>5329.96</v>
      </c>
      <c r="M59" s="436">
        <v>734309</v>
      </c>
      <c r="N59" s="437"/>
      <c r="O59" s="445">
        <v>673677.98</v>
      </c>
      <c r="P59" s="446" t="s">
        <v>1615</v>
      </c>
      <c r="Q59" s="361">
        <v>45656</v>
      </c>
      <c r="R59" s="359"/>
      <c r="S59" s="362"/>
      <c r="T59" s="363" t="s">
        <v>1616</v>
      </c>
      <c r="U59" s="362" t="s">
        <v>1617</v>
      </c>
      <c r="V59" s="359">
        <v>211309</v>
      </c>
      <c r="W59" s="138" t="s">
        <v>1346</v>
      </c>
      <c r="X59" s="359">
        <v>43000</v>
      </c>
      <c r="Y59" s="134" t="s">
        <v>763</v>
      </c>
      <c r="Z59" s="359">
        <v>480000</v>
      </c>
      <c r="AA59" s="138" t="s">
        <v>1618</v>
      </c>
      <c r="AB59" s="359"/>
      <c r="AH59" s="359">
        <f t="shared" si="8"/>
        <v>734309</v>
      </c>
      <c r="AK59" s="364">
        <f t="shared" si="3"/>
        <v>0</v>
      </c>
      <c r="AL59" s="429" t="s">
        <v>1619</v>
      </c>
      <c r="AM59" s="429"/>
      <c r="AN59" s="447"/>
      <c r="AO59" s="447"/>
      <c r="AP59" s="447"/>
      <c r="AQ59" s="365">
        <f>0.6%+0.04%+0.1%+0.04%</f>
        <v>0.0078</v>
      </c>
      <c r="AR59" s="419">
        <f t="shared" si="2"/>
        <v>734309</v>
      </c>
      <c r="AS59" s="359">
        <f t="shared" si="9"/>
        <v>100</v>
      </c>
      <c r="AT59" s="359"/>
      <c r="AU59" s="359"/>
      <c r="AV59" s="359">
        <v>254309</v>
      </c>
      <c r="AW59" s="359"/>
      <c r="AX59" s="359"/>
      <c r="AY59" s="421"/>
      <c r="AZ59" s="422"/>
      <c r="BA59" s="359"/>
      <c r="BB59" s="359"/>
      <c r="BC59" s="359"/>
      <c r="BD59" s="359"/>
      <c r="BE59" s="359">
        <v>480000</v>
      </c>
      <c r="BX59" s="432"/>
      <c r="BZ59" s="134" t="s">
        <v>376</v>
      </c>
      <c r="CA59" s="134" t="s">
        <v>387</v>
      </c>
      <c r="CB59" s="134" t="s">
        <v>377</v>
      </c>
      <c r="CE59" s="149"/>
    </row>
    <row r="60" s="134" customFormat="1" customHeight="1" spans="1:83">
      <c r="A60" s="134">
        <v>38</v>
      </c>
      <c r="C60" s="138">
        <v>45106</v>
      </c>
      <c r="D60" s="444">
        <v>20230005434</v>
      </c>
      <c r="F60" s="429" t="s">
        <v>1620</v>
      </c>
      <c r="G60" s="440" t="s">
        <v>1621</v>
      </c>
      <c r="H60" s="1008" t="s">
        <v>1622</v>
      </c>
      <c r="I60" s="423" t="s">
        <v>1623</v>
      </c>
      <c r="J60" s="134">
        <v>138.26</v>
      </c>
      <c r="K60" s="134">
        <v>138.26</v>
      </c>
      <c r="L60" s="134">
        <v>5309.96</v>
      </c>
      <c r="M60" s="436">
        <v>734155</v>
      </c>
      <c r="N60" s="437"/>
      <c r="O60" s="445">
        <v>673536.7</v>
      </c>
      <c r="P60" s="446" t="s">
        <v>1624</v>
      </c>
      <c r="Q60" s="361">
        <v>45656</v>
      </c>
      <c r="R60" s="359"/>
      <c r="S60" s="362"/>
      <c r="T60" s="363" t="s">
        <v>1625</v>
      </c>
      <c r="U60" s="362" t="s">
        <v>1626</v>
      </c>
      <c r="V60" s="359">
        <v>2000</v>
      </c>
      <c r="W60" s="138">
        <v>44755</v>
      </c>
      <c r="X60" s="359">
        <v>18000</v>
      </c>
      <c r="Y60" s="443" t="s">
        <v>1398</v>
      </c>
      <c r="Z60" s="359">
        <v>50000</v>
      </c>
      <c r="AA60" s="134" t="s">
        <v>1627</v>
      </c>
      <c r="AB60" s="359">
        <v>204155</v>
      </c>
      <c r="AC60" s="134" t="s">
        <v>1628</v>
      </c>
      <c r="AD60" s="359">
        <v>460000</v>
      </c>
      <c r="AE60" s="362" t="s">
        <v>562</v>
      </c>
      <c r="AH60" s="359">
        <f t="shared" si="8"/>
        <v>734155</v>
      </c>
      <c r="AK60" s="364">
        <f t="shared" si="3"/>
        <v>0</v>
      </c>
      <c r="AL60" s="429" t="s">
        <v>1629</v>
      </c>
      <c r="AM60" s="429"/>
      <c r="AN60" s="447"/>
      <c r="AO60" s="447"/>
      <c r="AP60" s="447"/>
      <c r="AQ60" s="365">
        <f>0.6%+0.1%+0.04%</f>
        <v>0.0074</v>
      </c>
      <c r="AR60" s="419">
        <f t="shared" si="2"/>
        <v>734155</v>
      </c>
      <c r="AS60" s="359">
        <f t="shared" si="9"/>
        <v>100</v>
      </c>
      <c r="AT60" s="359"/>
      <c r="AU60" s="359"/>
      <c r="AV60" s="359"/>
      <c r="AW60" s="359"/>
      <c r="AX60" s="359"/>
      <c r="AY60" s="421"/>
      <c r="AZ60" s="430">
        <v>274155</v>
      </c>
      <c r="BA60" s="359"/>
      <c r="BB60" s="359">
        <v>460000</v>
      </c>
      <c r="BC60" s="359"/>
      <c r="BD60" s="359"/>
      <c r="BE60" s="359"/>
      <c r="BX60" s="432"/>
      <c r="BZ60" s="134" t="s">
        <v>376</v>
      </c>
      <c r="CA60" s="134" t="s">
        <v>387</v>
      </c>
      <c r="CB60" s="134" t="s">
        <v>377</v>
      </c>
      <c r="CE60" s="149"/>
    </row>
    <row r="61" s="134" customFormat="1" customHeight="1" spans="1:83">
      <c r="A61" s="134">
        <v>39</v>
      </c>
      <c r="C61" s="138">
        <v>44962</v>
      </c>
      <c r="D61" s="420">
        <v>20230000663</v>
      </c>
      <c r="F61" s="429" t="s">
        <v>1630</v>
      </c>
      <c r="G61" s="440" t="s">
        <v>1631</v>
      </c>
      <c r="H61" s="1008" t="s">
        <v>1632</v>
      </c>
      <c r="I61" s="414" t="s">
        <v>1633</v>
      </c>
      <c r="J61" s="134">
        <v>137.77</v>
      </c>
      <c r="K61" s="134">
        <v>137.77</v>
      </c>
      <c r="L61" s="134">
        <v>5374.96</v>
      </c>
      <c r="M61" s="436">
        <v>740509</v>
      </c>
      <c r="N61" s="437"/>
      <c r="O61" s="445">
        <v>679366.06</v>
      </c>
      <c r="P61" s="446" t="s">
        <v>1634</v>
      </c>
      <c r="Q61" s="448">
        <v>45652</v>
      </c>
      <c r="R61" s="359"/>
      <c r="S61" s="362"/>
      <c r="T61" s="363" t="s">
        <v>1635</v>
      </c>
      <c r="U61" s="362" t="s">
        <v>1636</v>
      </c>
      <c r="V61" s="359">
        <v>230509</v>
      </c>
      <c r="W61" s="134" t="s">
        <v>1383</v>
      </c>
      <c r="X61" s="359">
        <v>510000</v>
      </c>
      <c r="Y61" s="134" t="s">
        <v>1384</v>
      </c>
      <c r="Z61" s="359"/>
      <c r="AB61" s="359"/>
      <c r="AH61" s="359">
        <f t="shared" si="8"/>
        <v>740509</v>
      </c>
      <c r="AK61" s="364">
        <f t="shared" si="3"/>
        <v>0</v>
      </c>
      <c r="AL61" s="429" t="s">
        <v>1637</v>
      </c>
      <c r="AM61" s="429"/>
      <c r="AN61" s="447"/>
      <c r="AO61" s="447"/>
      <c r="AP61" s="447"/>
      <c r="AQ61" s="365">
        <f t="shared" si="10"/>
        <v>0.0054</v>
      </c>
      <c r="AR61" s="419">
        <f t="shared" si="2"/>
        <v>740509</v>
      </c>
      <c r="AS61" s="359">
        <f t="shared" si="9"/>
        <v>100</v>
      </c>
      <c r="AT61" s="359"/>
      <c r="AU61" s="359"/>
      <c r="AV61" s="359">
        <v>740509</v>
      </c>
      <c r="AW61" s="359"/>
      <c r="AX61" s="359"/>
      <c r="AY61" s="421"/>
      <c r="AZ61" s="428"/>
      <c r="BA61" s="359"/>
      <c r="BB61" s="359"/>
      <c r="BC61" s="359"/>
      <c r="BD61" s="359"/>
      <c r="BE61" s="359"/>
      <c r="BX61" s="432"/>
      <c r="BZ61" s="134" t="s">
        <v>376</v>
      </c>
      <c r="CA61" s="134" t="s">
        <v>387</v>
      </c>
      <c r="CB61" s="134" t="s">
        <v>377</v>
      </c>
      <c r="CE61" s="149"/>
    </row>
    <row r="62" s="134" customFormat="1" customHeight="1" spans="1:83">
      <c r="A62" s="134">
        <v>40</v>
      </c>
      <c r="C62" s="138">
        <v>44965</v>
      </c>
      <c r="D62" s="444">
        <v>20230001030</v>
      </c>
      <c r="F62" s="429" t="s">
        <v>1638</v>
      </c>
      <c r="G62" s="440" t="s">
        <v>1639</v>
      </c>
      <c r="H62" s="1008" t="s">
        <v>1640</v>
      </c>
      <c r="I62" s="423" t="s">
        <v>1641</v>
      </c>
      <c r="J62" s="134">
        <v>138.26</v>
      </c>
      <c r="K62" s="134">
        <v>138.26</v>
      </c>
      <c r="L62" s="134">
        <v>5354.96</v>
      </c>
      <c r="M62" s="436">
        <v>740377</v>
      </c>
      <c r="N62" s="437"/>
      <c r="O62" s="445">
        <v>679244.95</v>
      </c>
      <c r="P62" s="446" t="s">
        <v>1642</v>
      </c>
      <c r="Q62" s="448">
        <v>45656</v>
      </c>
      <c r="R62" s="359"/>
      <c r="T62" s="147" t="s">
        <v>1643</v>
      </c>
      <c r="U62" s="134" t="s">
        <v>1644</v>
      </c>
      <c r="V62" s="359">
        <v>130377</v>
      </c>
      <c r="W62" s="443" t="s">
        <v>1481</v>
      </c>
      <c r="X62" s="359">
        <v>110000</v>
      </c>
      <c r="Y62" s="443" t="s">
        <v>1349</v>
      </c>
      <c r="Z62" s="359">
        <v>500000</v>
      </c>
      <c r="AA62" s="134" t="s">
        <v>1645</v>
      </c>
      <c r="AB62" s="359"/>
      <c r="AH62" s="359">
        <f t="shared" si="8"/>
        <v>740377</v>
      </c>
      <c r="AK62" s="364">
        <f t="shared" si="3"/>
        <v>0</v>
      </c>
      <c r="AL62" s="429" t="s">
        <v>1646</v>
      </c>
      <c r="AM62" s="429"/>
      <c r="AN62" s="447"/>
      <c r="AO62" s="447"/>
      <c r="AP62" s="447"/>
      <c r="AQ62" s="365">
        <f t="shared" si="10"/>
        <v>0.0054</v>
      </c>
      <c r="AR62" s="419">
        <f t="shared" si="2"/>
        <v>740377</v>
      </c>
      <c r="AS62" s="359"/>
      <c r="AT62" s="359"/>
      <c r="AU62" s="359"/>
      <c r="AV62" s="359"/>
      <c r="AW62" s="359">
        <v>740377</v>
      </c>
      <c r="AX62" s="359"/>
      <c r="AY62" s="421"/>
      <c r="AZ62" s="422"/>
      <c r="BA62" s="359"/>
      <c r="BB62" s="359"/>
      <c r="BC62" s="359"/>
      <c r="BD62" s="359"/>
      <c r="BE62" s="359"/>
      <c r="BX62" s="432"/>
      <c r="BZ62" s="134" t="s">
        <v>376</v>
      </c>
      <c r="CA62" s="134" t="s">
        <v>387</v>
      </c>
      <c r="CB62" s="134" t="s">
        <v>377</v>
      </c>
      <c r="CE62" s="149"/>
    </row>
    <row r="63" s="134" customFormat="1" customHeight="1" spans="1:83">
      <c r="A63" s="134">
        <v>41</v>
      </c>
      <c r="C63" s="138">
        <v>44965</v>
      </c>
      <c r="D63" s="444">
        <v>20230001002</v>
      </c>
      <c r="F63" s="429" t="s">
        <v>1647</v>
      </c>
      <c r="G63" s="420" t="s">
        <v>1648</v>
      </c>
      <c r="H63" s="420"/>
      <c r="I63" s="414" t="s">
        <v>1649</v>
      </c>
      <c r="J63" s="134">
        <v>137.77</v>
      </c>
      <c r="K63" s="134">
        <v>137.77</v>
      </c>
      <c r="L63" s="134">
        <v>5538.22</v>
      </c>
      <c r="M63" s="436">
        <v>763000</v>
      </c>
      <c r="N63" s="437"/>
      <c r="O63" s="445">
        <v>700000</v>
      </c>
      <c r="P63" s="446" t="s">
        <v>1650</v>
      </c>
      <c r="Q63" s="448">
        <v>45656</v>
      </c>
      <c r="R63" s="359"/>
      <c r="S63" s="362"/>
      <c r="T63" s="420" t="s">
        <v>1320</v>
      </c>
      <c r="U63" s="420" t="s">
        <v>1320</v>
      </c>
      <c r="V63" s="359">
        <v>763000</v>
      </c>
      <c r="W63" s="138" t="s">
        <v>1481</v>
      </c>
      <c r="X63" s="359"/>
      <c r="Y63" s="443"/>
      <c r="Z63" s="359"/>
      <c r="AA63" s="443"/>
      <c r="AB63" s="359"/>
      <c r="AH63" s="359">
        <f t="shared" si="8"/>
        <v>763000</v>
      </c>
      <c r="AK63" s="364">
        <f t="shared" si="3"/>
        <v>0</v>
      </c>
      <c r="AL63" s="429" t="s">
        <v>1651</v>
      </c>
      <c r="AM63" s="429"/>
      <c r="AN63" s="447"/>
      <c r="AO63" s="447"/>
      <c r="AP63" s="447"/>
      <c r="AQ63" s="365">
        <f>0.6%+0.06%+0.14%</f>
        <v>0.008</v>
      </c>
      <c r="AR63" s="419">
        <f t="shared" si="2"/>
        <v>763000</v>
      </c>
      <c r="AS63" s="359"/>
      <c r="AT63" s="359">
        <f>100+100</f>
        <v>200</v>
      </c>
      <c r="AU63" s="359"/>
      <c r="AV63" s="359">
        <v>763000</v>
      </c>
      <c r="AW63" s="359"/>
      <c r="AX63" s="359"/>
      <c r="AY63" s="421"/>
      <c r="AZ63" s="422"/>
      <c r="BA63" s="359"/>
      <c r="BB63" s="359"/>
      <c r="BC63" s="359"/>
      <c r="BD63" s="359"/>
      <c r="BE63" s="359"/>
      <c r="BX63" s="432"/>
      <c r="BZ63" s="134" t="s">
        <v>376</v>
      </c>
      <c r="CA63" s="134" t="s">
        <v>387</v>
      </c>
      <c r="CB63" s="134" t="s">
        <v>377</v>
      </c>
      <c r="CE63" s="149"/>
    </row>
    <row r="64" s="134" customFormat="1" customHeight="1" spans="1:83">
      <c r="A64" s="134">
        <v>42</v>
      </c>
      <c r="C64" s="138">
        <v>44968</v>
      </c>
      <c r="D64" s="444">
        <v>20230001567</v>
      </c>
      <c r="F64" s="449" t="s">
        <v>1652</v>
      </c>
      <c r="G64" s="420" t="s">
        <v>1653</v>
      </c>
      <c r="H64" s="420"/>
      <c r="I64" s="423" t="s">
        <v>1654</v>
      </c>
      <c r="J64" s="134">
        <v>138.26</v>
      </c>
      <c r="K64" s="134">
        <v>138.26</v>
      </c>
      <c r="L64" s="134">
        <v>5520.02</v>
      </c>
      <c r="M64" s="436">
        <v>763198</v>
      </c>
      <c r="N64" s="437"/>
      <c r="O64" s="445">
        <v>700181.65</v>
      </c>
      <c r="P64" s="446" t="s">
        <v>1655</v>
      </c>
      <c r="Q64" s="448">
        <v>45656</v>
      </c>
      <c r="R64" s="359"/>
      <c r="S64" s="362"/>
      <c r="T64" s="416" t="s">
        <v>1653</v>
      </c>
      <c r="U64" s="416" t="s">
        <v>1656</v>
      </c>
      <c r="V64" s="359">
        <f>2000-2000</f>
        <v>0</v>
      </c>
      <c r="W64" s="138">
        <v>44754</v>
      </c>
      <c r="X64" s="359">
        <v>133198</v>
      </c>
      <c r="Y64" s="443" t="s">
        <v>1347</v>
      </c>
      <c r="Z64" s="359">
        <v>100000</v>
      </c>
      <c r="AA64" s="138" t="s">
        <v>1001</v>
      </c>
      <c r="AB64" s="359">
        <v>530000</v>
      </c>
      <c r="AC64" s="362" t="s">
        <v>1657</v>
      </c>
      <c r="AD64" s="138"/>
      <c r="AE64" s="138"/>
      <c r="AF64" s="138"/>
      <c r="AG64" s="138"/>
      <c r="AH64" s="359">
        <f t="shared" si="8"/>
        <v>763198</v>
      </c>
      <c r="AK64" s="364">
        <f t="shared" si="3"/>
        <v>0</v>
      </c>
      <c r="AL64" s="429" t="s">
        <v>1658</v>
      </c>
      <c r="AM64" s="429"/>
      <c r="AN64" s="447"/>
      <c r="AO64" s="447"/>
      <c r="AP64" s="447"/>
      <c r="AQ64" s="365">
        <f>0.4%+0.05%+0.14%</f>
        <v>0.0059</v>
      </c>
      <c r="AR64" s="419">
        <f t="shared" si="2"/>
        <v>763198</v>
      </c>
      <c r="AS64" s="359">
        <f>100</f>
        <v>100</v>
      </c>
      <c r="AT64" s="359"/>
      <c r="AU64" s="359"/>
      <c r="AV64" s="359"/>
      <c r="AW64" s="359"/>
      <c r="AX64" s="359">
        <v>233198</v>
      </c>
      <c r="AY64" s="421"/>
      <c r="AZ64" s="422"/>
      <c r="BA64" s="359"/>
      <c r="BB64" s="359"/>
      <c r="BC64" s="359"/>
      <c r="BD64" s="359"/>
      <c r="BE64" s="359"/>
      <c r="BG64" s="134">
        <v>530000</v>
      </c>
      <c r="BX64" s="432"/>
      <c r="BZ64" s="134" t="s">
        <v>376</v>
      </c>
      <c r="CA64" s="134" t="s">
        <v>387</v>
      </c>
      <c r="CB64" s="134" t="s">
        <v>377</v>
      </c>
      <c r="CE64" s="149"/>
    </row>
    <row r="65" s="134" customFormat="1" customHeight="1" spans="1:88">
      <c r="A65" s="134">
        <v>43</v>
      </c>
      <c r="C65" s="138">
        <v>45249</v>
      </c>
      <c r="D65" s="444">
        <v>20230009766</v>
      </c>
      <c r="F65" s="429" t="s">
        <v>1659</v>
      </c>
      <c r="G65" s="420" t="s">
        <v>1660</v>
      </c>
      <c r="H65" s="1009" t="s">
        <v>1661</v>
      </c>
      <c r="I65" s="414" t="s">
        <v>1662</v>
      </c>
      <c r="J65" s="134">
        <v>137.77</v>
      </c>
      <c r="K65" s="134">
        <v>137.77</v>
      </c>
      <c r="L65" s="134">
        <v>6482</v>
      </c>
      <c r="M65" s="436">
        <v>893025</v>
      </c>
      <c r="N65" s="437"/>
      <c r="O65" s="445">
        <v>819288.99</v>
      </c>
      <c r="P65" s="446" t="s">
        <v>1663</v>
      </c>
      <c r="Q65" s="448">
        <v>45656</v>
      </c>
      <c r="R65" s="359"/>
      <c r="T65" s="130" t="s">
        <v>1664</v>
      </c>
      <c r="U65" s="134" t="s">
        <v>1665</v>
      </c>
      <c r="V65" s="359">
        <f>2000+1000</f>
        <v>3000</v>
      </c>
      <c r="W65" s="138" t="s">
        <v>1666</v>
      </c>
      <c r="X65" s="359">
        <v>17000</v>
      </c>
      <c r="Y65" s="138" t="s">
        <v>1398</v>
      </c>
      <c r="Z65" s="359">
        <v>40000</v>
      </c>
      <c r="AA65" s="138" t="s">
        <v>1667</v>
      </c>
      <c r="AB65" s="359">
        <v>100000</v>
      </c>
      <c r="AC65" s="134" t="s">
        <v>1668</v>
      </c>
      <c r="AD65" s="134">
        <v>423025</v>
      </c>
      <c r="AE65" s="134" t="s">
        <v>1669</v>
      </c>
      <c r="AF65" s="134">
        <f>20000+290000</f>
        <v>310000</v>
      </c>
      <c r="AG65" s="143" t="s">
        <v>1670</v>
      </c>
      <c r="AH65" s="359">
        <f t="shared" si="8"/>
        <v>893025</v>
      </c>
      <c r="AK65" s="364">
        <f t="shared" si="3"/>
        <v>0</v>
      </c>
      <c r="AL65" s="429" t="s">
        <v>1671</v>
      </c>
      <c r="AM65" s="429"/>
      <c r="AN65" s="447"/>
      <c r="AO65" s="447"/>
      <c r="AP65" s="447"/>
      <c r="AQ65" s="365">
        <f>0.6%+0.1%+0.04%</f>
        <v>0.0074</v>
      </c>
      <c r="AR65" s="419">
        <f t="shared" si="2"/>
        <v>893025</v>
      </c>
      <c r="AS65" s="359"/>
      <c r="AT65" s="359"/>
      <c r="AU65" s="359"/>
      <c r="AV65" s="359"/>
      <c r="AW65" s="359"/>
      <c r="AX65" s="359"/>
      <c r="AY65" s="421"/>
      <c r="AZ65" s="422"/>
      <c r="BA65" s="359"/>
      <c r="BB65" s="359"/>
      <c r="BC65" s="359"/>
      <c r="BD65" s="359"/>
      <c r="BE65" s="359">
        <v>603025</v>
      </c>
      <c r="BF65" s="134">
        <v>290000</v>
      </c>
      <c r="BX65" s="432"/>
      <c r="BZ65" s="134" t="s">
        <v>376</v>
      </c>
      <c r="CA65" s="134" t="s">
        <v>387</v>
      </c>
      <c r="CB65" s="134" t="s">
        <v>377</v>
      </c>
      <c r="CE65" s="149"/>
    </row>
    <row r="66" s="134" customFormat="1" customHeight="1" spans="1:88">
      <c r="A66" s="134">
        <v>44</v>
      </c>
      <c r="C66" s="138">
        <v>45016</v>
      </c>
      <c r="D66" s="444">
        <v>20230002981</v>
      </c>
      <c r="F66" s="429" t="s">
        <v>1672</v>
      </c>
      <c r="G66" s="420" t="s">
        <v>1673</v>
      </c>
      <c r="H66" s="1009" t="s">
        <v>1674</v>
      </c>
      <c r="I66" s="414" t="s">
        <v>1675</v>
      </c>
      <c r="J66" s="134">
        <v>138.26</v>
      </c>
      <c r="K66" s="134">
        <v>138.26</v>
      </c>
      <c r="L66" s="134">
        <v>6609</v>
      </c>
      <c r="M66" s="358">
        <v>913760</v>
      </c>
      <c r="N66" s="359">
        <v>6492</v>
      </c>
      <c r="O66" s="445">
        <v>838311.93</v>
      </c>
      <c r="P66" s="446" t="s">
        <v>1676</v>
      </c>
      <c r="Q66" s="448">
        <v>45608</v>
      </c>
      <c r="R66" s="359"/>
      <c r="T66" s="134" t="s">
        <v>1673</v>
      </c>
      <c r="U66" s="134" t="s">
        <v>524</v>
      </c>
      <c r="V66" s="359">
        <v>20000</v>
      </c>
      <c r="W66" s="138" t="s">
        <v>1677</v>
      </c>
      <c r="X66" s="359">
        <f>60000+133760</f>
        <v>193760</v>
      </c>
      <c r="Y66" s="138" t="s">
        <v>1118</v>
      </c>
      <c r="Z66" s="359">
        <f>70000+630000</f>
        <v>700000</v>
      </c>
      <c r="AA66" s="134" t="s">
        <v>1044</v>
      </c>
      <c r="AB66" s="359"/>
      <c r="AH66" s="359">
        <f t="shared" si="8"/>
        <v>913760</v>
      </c>
      <c r="AK66" s="364">
        <f t="shared" si="3"/>
        <v>0</v>
      </c>
      <c r="AL66" s="429" t="s">
        <v>1678</v>
      </c>
      <c r="AM66" s="429"/>
      <c r="AN66" s="447"/>
      <c r="AO66" s="447"/>
      <c r="AP66" s="447"/>
      <c r="AQ66" s="365">
        <f>0.6%+0.06%+0.14%</f>
        <v>0.008</v>
      </c>
      <c r="AR66" s="419">
        <f t="shared" si="2"/>
        <v>913760</v>
      </c>
      <c r="AS66" s="359"/>
      <c r="AT66" s="359"/>
      <c r="AU66" s="359"/>
      <c r="AV66" s="359"/>
      <c r="AW66" s="359">
        <v>213760</v>
      </c>
      <c r="AX66" s="359"/>
      <c r="AY66" s="218"/>
      <c r="AZ66" s="425"/>
      <c r="BA66" s="359">
        <v>700000</v>
      </c>
      <c r="BB66" s="359"/>
      <c r="BC66" s="359"/>
      <c r="BD66" s="359"/>
      <c r="BE66" s="359"/>
      <c r="BX66" s="432"/>
      <c r="BZ66" s="134" t="s">
        <v>376</v>
      </c>
      <c r="CA66" s="134" t="s">
        <v>387</v>
      </c>
      <c r="CB66" s="134" t="s">
        <v>377</v>
      </c>
      <c r="CE66" s="149"/>
    </row>
    <row r="67" s="149" customFormat="1" customHeight="1" spans="1:88">
      <c r="D67" s="450"/>
      <c r="F67" s="451"/>
      <c r="G67" s="452"/>
      <c r="H67" s="452"/>
      <c r="I67" s="453" t="s">
        <v>1679</v>
      </c>
      <c r="J67" s="149">
        <v>38.67</v>
      </c>
      <c r="M67" s="402"/>
      <c r="N67" s="403">
        <v>84920</v>
      </c>
      <c r="O67" s="454"/>
      <c r="P67" s="455"/>
      <c r="Q67" s="455"/>
      <c r="R67" s="403"/>
      <c r="S67" s="406"/>
      <c r="T67" s="406"/>
      <c r="U67" s="406"/>
      <c r="V67" s="403"/>
      <c r="W67" s="456"/>
      <c r="X67" s="403"/>
      <c r="Y67" s="456"/>
      <c r="Z67" s="403"/>
      <c r="AB67" s="403"/>
      <c r="AH67" s="403">
        <f t="shared" si="8"/>
        <v>0</v>
      </c>
      <c r="AK67" s="409">
        <f t="shared" ref="AK67:AK88" si="11">M67-AH67</f>
        <v>0</v>
      </c>
      <c r="AL67" s="451"/>
      <c r="AM67" s="451"/>
      <c r="AN67" s="457"/>
      <c r="AO67" s="457"/>
      <c r="AP67" s="457"/>
      <c r="AQ67" s="410">
        <v>0.02</v>
      </c>
      <c r="AR67" s="411">
        <f t="shared" si="2"/>
        <v>0</v>
      </c>
      <c r="AS67" s="403"/>
      <c r="AT67" s="403"/>
      <c r="AU67" s="403"/>
      <c r="AV67" s="403"/>
      <c r="AW67" s="403"/>
      <c r="AX67" s="403"/>
      <c r="AY67" s="202"/>
      <c r="AZ67" s="458"/>
      <c r="BA67" s="403"/>
      <c r="BB67" s="403"/>
      <c r="BC67" s="403"/>
      <c r="BD67" s="403"/>
      <c r="BE67" s="403"/>
      <c r="BX67" s="459"/>
      <c r="CJ67" s="104"/>
    </row>
    <row r="68" s="149" customFormat="1" customHeight="1" spans="1:88">
      <c r="D68" s="450"/>
      <c r="F68" s="451"/>
      <c r="G68" s="452"/>
      <c r="H68" s="452"/>
      <c r="I68" s="453" t="s">
        <v>1680</v>
      </c>
      <c r="J68" s="149">
        <v>65.05</v>
      </c>
      <c r="M68" s="402"/>
      <c r="N68" s="403"/>
      <c r="O68" s="454"/>
      <c r="P68" s="455"/>
      <c r="Q68" s="455"/>
      <c r="R68" s="403"/>
      <c r="S68" s="406"/>
      <c r="T68" s="406"/>
      <c r="U68" s="406"/>
      <c r="V68" s="403"/>
      <c r="W68" s="456"/>
      <c r="X68" s="403"/>
      <c r="Y68" s="456"/>
      <c r="Z68" s="403"/>
      <c r="AB68" s="403"/>
      <c r="AH68" s="403">
        <f t="shared" si="8"/>
        <v>0</v>
      </c>
      <c r="AK68" s="409">
        <f t="shared" si="11"/>
        <v>0</v>
      </c>
      <c r="AL68" s="451"/>
      <c r="AM68" s="451"/>
      <c r="AN68" s="457"/>
      <c r="AO68" s="457"/>
      <c r="AP68" s="457"/>
      <c r="AQ68" s="410">
        <v>0.02</v>
      </c>
      <c r="AR68" s="411">
        <f t="shared" si="2"/>
        <v>0</v>
      </c>
      <c r="AS68" s="403"/>
      <c r="AT68" s="403"/>
      <c r="AU68" s="403"/>
      <c r="AV68" s="403"/>
      <c r="AW68" s="403"/>
      <c r="AX68" s="403"/>
      <c r="AY68" s="202"/>
      <c r="AZ68" s="458"/>
      <c r="BA68" s="403"/>
      <c r="BB68" s="403"/>
      <c r="BC68" s="403"/>
      <c r="BD68" s="403"/>
      <c r="BE68" s="403"/>
      <c r="BX68" s="459"/>
      <c r="CJ68" s="104"/>
    </row>
    <row r="69" s="149" customFormat="1" customHeight="1" spans="1:88">
      <c r="D69" s="450"/>
      <c r="F69" s="451"/>
      <c r="G69" s="452"/>
      <c r="H69" s="452"/>
      <c r="I69" s="453" t="s">
        <v>1681</v>
      </c>
      <c r="J69" s="149">
        <v>64.62</v>
      </c>
      <c r="M69" s="402"/>
      <c r="N69" s="403"/>
      <c r="O69" s="454"/>
      <c r="P69" s="455"/>
      <c r="Q69" s="455"/>
      <c r="R69" s="403"/>
      <c r="S69" s="406"/>
      <c r="T69" s="406"/>
      <c r="U69" s="406"/>
      <c r="V69" s="403"/>
      <c r="W69" s="456"/>
      <c r="X69" s="403"/>
      <c r="Y69" s="456"/>
      <c r="Z69" s="403"/>
      <c r="AB69" s="403"/>
      <c r="AH69" s="403">
        <f t="shared" si="8"/>
        <v>0</v>
      </c>
      <c r="AK69" s="409">
        <f t="shared" si="11"/>
        <v>0</v>
      </c>
      <c r="AL69" s="451"/>
      <c r="AM69" s="451"/>
      <c r="AN69" s="457"/>
      <c r="AO69" s="457"/>
      <c r="AP69" s="457"/>
      <c r="AQ69" s="410">
        <v>0.02</v>
      </c>
      <c r="AR69" s="411">
        <f t="shared" ref="AR69:AR85" si="12">SUM(AU69:BU69)</f>
        <v>0</v>
      </c>
      <c r="AS69" s="403"/>
      <c r="AT69" s="403"/>
      <c r="AU69" s="403"/>
      <c r="AV69" s="403"/>
      <c r="AW69" s="403"/>
      <c r="AX69" s="403"/>
      <c r="AY69" s="202"/>
      <c r="AZ69" s="458"/>
      <c r="BA69" s="403"/>
      <c r="BB69" s="403"/>
      <c r="BC69" s="403"/>
      <c r="BD69" s="403"/>
      <c r="BE69" s="403"/>
      <c r="BX69" s="459"/>
      <c r="CJ69" s="104"/>
    </row>
    <row r="70" s="149" customFormat="1" customHeight="1" spans="1:88">
      <c r="D70" s="450"/>
      <c r="F70" s="451"/>
      <c r="G70" s="452"/>
      <c r="H70" s="452"/>
      <c r="I70" s="453" t="s">
        <v>1682</v>
      </c>
      <c r="J70" s="149">
        <v>39.17</v>
      </c>
      <c r="L70" s="149">
        <v>2195.56</v>
      </c>
      <c r="M70" s="402"/>
      <c r="N70" s="403">
        <v>86000</v>
      </c>
      <c r="O70" s="454"/>
      <c r="P70" s="455"/>
      <c r="Q70" s="455"/>
      <c r="R70" s="403"/>
      <c r="S70" s="406"/>
      <c r="T70" s="406"/>
      <c r="U70" s="406"/>
      <c r="V70" s="403"/>
      <c r="W70" s="456"/>
      <c r="X70" s="403"/>
      <c r="Y70" s="456"/>
      <c r="Z70" s="403"/>
      <c r="AB70" s="403"/>
      <c r="AH70" s="403">
        <f t="shared" si="8"/>
        <v>0</v>
      </c>
      <c r="AK70" s="409">
        <f t="shared" si="11"/>
        <v>0</v>
      </c>
      <c r="AL70" s="451"/>
      <c r="AM70" s="451"/>
      <c r="AN70" s="457"/>
      <c r="AO70" s="457"/>
      <c r="AP70" s="457"/>
      <c r="AQ70" s="410">
        <v>0.02</v>
      </c>
      <c r="AR70" s="411">
        <f t="shared" si="12"/>
        <v>0</v>
      </c>
      <c r="AS70" s="403"/>
      <c r="AT70" s="403"/>
      <c r="AU70" s="403"/>
      <c r="AV70" s="403"/>
      <c r="AW70" s="403"/>
      <c r="AX70" s="403"/>
      <c r="AY70" s="202"/>
      <c r="AZ70" s="458"/>
      <c r="BA70" s="403"/>
      <c r="BB70" s="403"/>
      <c r="BC70" s="403"/>
      <c r="BD70" s="403"/>
      <c r="BE70" s="403"/>
      <c r="BX70" s="459"/>
      <c r="CJ70" s="104"/>
    </row>
    <row r="71" s="149" customFormat="1" customHeight="1" spans="1:88">
      <c r="D71" s="450"/>
      <c r="F71" s="451"/>
      <c r="G71" s="452"/>
      <c r="H71" s="452"/>
      <c r="I71" s="453" t="s">
        <v>1683</v>
      </c>
      <c r="J71" s="149">
        <v>28.18</v>
      </c>
      <c r="M71" s="402"/>
      <c r="N71" s="403">
        <v>61880</v>
      </c>
      <c r="O71" s="454"/>
      <c r="P71" s="455"/>
      <c r="Q71" s="455"/>
      <c r="R71" s="403"/>
      <c r="S71" s="406"/>
      <c r="T71" s="406"/>
      <c r="U71" s="406"/>
      <c r="V71" s="403">
        <f>2000-2000</f>
        <v>0</v>
      </c>
      <c r="W71" s="406">
        <v>45537</v>
      </c>
      <c r="X71" s="403"/>
      <c r="Y71" s="456"/>
      <c r="Z71" s="403"/>
      <c r="AB71" s="403"/>
      <c r="AH71" s="403">
        <f t="shared" si="8"/>
        <v>0</v>
      </c>
      <c r="AK71" s="409">
        <f t="shared" si="11"/>
        <v>0</v>
      </c>
      <c r="AL71" s="451"/>
      <c r="AM71" s="451"/>
      <c r="AN71" s="457"/>
      <c r="AO71" s="457"/>
      <c r="AP71" s="457"/>
      <c r="AQ71" s="410">
        <v>0.02</v>
      </c>
      <c r="AR71" s="411">
        <f t="shared" si="12"/>
        <v>0</v>
      </c>
      <c r="AS71" s="403"/>
      <c r="AT71" s="403"/>
      <c r="AU71" s="403"/>
      <c r="AV71" s="403"/>
      <c r="AW71" s="403"/>
      <c r="AX71" s="403"/>
      <c r="AY71" s="202"/>
      <c r="AZ71" s="458"/>
      <c r="BA71" s="403"/>
      <c r="BB71" s="403"/>
      <c r="BC71" s="403"/>
      <c r="BD71" s="403"/>
      <c r="BE71" s="403"/>
      <c r="BX71" s="459"/>
      <c r="CJ71" s="104"/>
    </row>
    <row r="72" s="149" customFormat="1" customHeight="1" spans="1:88">
      <c r="D72" s="450"/>
      <c r="F72" s="451"/>
      <c r="G72" s="452" t="s">
        <v>1684</v>
      </c>
      <c r="H72" s="452"/>
      <c r="I72" s="453" t="s">
        <v>1685</v>
      </c>
      <c r="J72" s="149">
        <v>24.68</v>
      </c>
      <c r="L72" s="149">
        <v>2196.11</v>
      </c>
      <c r="M72" s="402">
        <v>54200</v>
      </c>
      <c r="N72" s="403"/>
      <c r="O72" s="454"/>
      <c r="P72" s="455"/>
      <c r="Q72" s="455"/>
      <c r="R72" s="403"/>
      <c r="S72" s="406"/>
      <c r="T72" s="406"/>
      <c r="U72" s="406"/>
      <c r="V72" s="403">
        <v>3000</v>
      </c>
      <c r="W72" s="406">
        <v>45540</v>
      </c>
      <c r="X72" s="403">
        <v>51200</v>
      </c>
      <c r="Y72" s="406">
        <v>45566</v>
      </c>
      <c r="Z72" s="403"/>
      <c r="AB72" s="403"/>
      <c r="AH72" s="403">
        <f t="shared" si="8"/>
        <v>54200</v>
      </c>
      <c r="AK72" s="409">
        <f t="shared" si="11"/>
        <v>0</v>
      </c>
      <c r="AL72" s="451"/>
      <c r="AM72" s="451"/>
      <c r="AN72" s="457"/>
      <c r="AO72" s="457"/>
      <c r="AP72" s="457"/>
      <c r="AQ72" s="410">
        <v>0.02</v>
      </c>
      <c r="AR72" s="411">
        <f t="shared" si="12"/>
        <v>54200</v>
      </c>
      <c r="AS72" s="403"/>
      <c r="AT72" s="403"/>
      <c r="AU72" s="403"/>
      <c r="AV72" s="403"/>
      <c r="AW72" s="403"/>
      <c r="AX72" s="403"/>
      <c r="AY72" s="202"/>
      <c r="AZ72" s="458"/>
      <c r="BA72" s="403"/>
      <c r="BB72" s="403"/>
      <c r="BC72" s="403"/>
      <c r="BD72" s="403"/>
      <c r="BE72" s="403"/>
      <c r="BN72" s="149">
        <v>54200</v>
      </c>
      <c r="BX72" s="459"/>
      <c r="CJ72" s="104"/>
    </row>
    <row r="73" s="149" customFormat="1" customHeight="1" spans="1:88">
      <c r="D73" s="450"/>
      <c r="F73" s="451"/>
      <c r="G73" s="452"/>
      <c r="H73" s="452"/>
      <c r="I73" s="453" t="s">
        <v>1686</v>
      </c>
      <c r="J73" s="149">
        <v>39.17</v>
      </c>
      <c r="L73" s="149">
        <v>2195.56</v>
      </c>
      <c r="M73" s="402"/>
      <c r="N73" s="403">
        <v>86000</v>
      </c>
      <c r="O73" s="454"/>
      <c r="P73" s="455"/>
      <c r="Q73" s="455"/>
      <c r="R73" s="403"/>
      <c r="S73" s="406"/>
      <c r="T73" s="406"/>
      <c r="U73" s="406"/>
      <c r="V73" s="403"/>
      <c r="W73" s="456"/>
      <c r="X73" s="403"/>
      <c r="Y73" s="456"/>
      <c r="Z73" s="403"/>
      <c r="AB73" s="403"/>
      <c r="AH73" s="403">
        <f t="shared" si="8"/>
        <v>0</v>
      </c>
      <c r="AK73" s="409">
        <f t="shared" si="11"/>
        <v>0</v>
      </c>
      <c r="AL73" s="451"/>
      <c r="AM73" s="451"/>
      <c r="AN73" s="457"/>
      <c r="AO73" s="457"/>
      <c r="AP73" s="457"/>
      <c r="AQ73" s="410">
        <v>0.02</v>
      </c>
      <c r="AR73" s="411">
        <f t="shared" si="12"/>
        <v>0</v>
      </c>
      <c r="AS73" s="403"/>
      <c r="AT73" s="403"/>
      <c r="AU73" s="403"/>
      <c r="AV73" s="403"/>
      <c r="AW73" s="403"/>
      <c r="AX73" s="403"/>
      <c r="AY73" s="202"/>
      <c r="AZ73" s="458"/>
      <c r="BA73" s="403"/>
      <c r="BB73" s="403"/>
      <c r="BC73" s="403"/>
      <c r="BD73" s="403"/>
      <c r="BE73" s="403"/>
      <c r="BX73" s="459"/>
      <c r="CJ73" s="104"/>
    </row>
    <row r="74" s="149" customFormat="1" customHeight="1" spans="1:88">
      <c r="D74" s="450"/>
      <c r="F74" s="451"/>
      <c r="G74" s="452"/>
      <c r="H74" s="452"/>
      <c r="I74" s="453" t="s">
        <v>1687</v>
      </c>
      <c r="J74" s="149">
        <v>64.62</v>
      </c>
      <c r="M74" s="402"/>
      <c r="N74" s="403"/>
      <c r="O74" s="454"/>
      <c r="P74" s="455"/>
      <c r="Q74" s="455"/>
      <c r="R74" s="403"/>
      <c r="S74" s="406"/>
      <c r="T74" s="406"/>
      <c r="U74" s="406"/>
      <c r="V74" s="403"/>
      <c r="W74" s="456"/>
      <c r="X74" s="403"/>
      <c r="Y74" s="456"/>
      <c r="Z74" s="403"/>
      <c r="AB74" s="403"/>
      <c r="AH74" s="403">
        <f t="shared" si="8"/>
        <v>0</v>
      </c>
      <c r="AK74" s="409">
        <f t="shared" si="11"/>
        <v>0</v>
      </c>
      <c r="AL74" s="451"/>
      <c r="AM74" s="451"/>
      <c r="AN74" s="457"/>
      <c r="AO74" s="457"/>
      <c r="AP74" s="457"/>
      <c r="AQ74" s="410">
        <v>0.02</v>
      </c>
      <c r="AR74" s="411">
        <f t="shared" si="12"/>
        <v>0</v>
      </c>
      <c r="AS74" s="403"/>
      <c r="AT74" s="403"/>
      <c r="AU74" s="403"/>
      <c r="AV74" s="403"/>
      <c r="AW74" s="403"/>
      <c r="AX74" s="403"/>
      <c r="AY74" s="202"/>
      <c r="AZ74" s="458"/>
      <c r="BA74" s="403"/>
      <c r="BB74" s="403"/>
      <c r="BC74" s="403"/>
      <c r="BD74" s="403"/>
      <c r="BE74" s="403"/>
      <c r="BX74" s="459"/>
      <c r="CJ74" s="104"/>
    </row>
    <row r="75" s="149" customFormat="1" customHeight="1" spans="1:88">
      <c r="D75" s="450"/>
      <c r="F75" s="451"/>
      <c r="G75" s="452"/>
      <c r="H75" s="452"/>
      <c r="I75" s="453" t="s">
        <v>1688</v>
      </c>
      <c r="J75" s="149">
        <v>64.78</v>
      </c>
      <c r="M75" s="402"/>
      <c r="N75" s="403"/>
      <c r="O75" s="454"/>
      <c r="P75" s="455"/>
      <c r="Q75" s="455"/>
      <c r="R75" s="403"/>
      <c r="S75" s="406"/>
      <c r="T75" s="406"/>
      <c r="U75" s="406"/>
      <c r="V75" s="403"/>
      <c r="W75" s="456"/>
      <c r="X75" s="403"/>
      <c r="Y75" s="456"/>
      <c r="Z75" s="403"/>
      <c r="AB75" s="403"/>
      <c r="AH75" s="403">
        <f t="shared" si="8"/>
        <v>0</v>
      </c>
      <c r="AK75" s="409">
        <f t="shared" si="11"/>
        <v>0</v>
      </c>
      <c r="AL75" s="451"/>
      <c r="AM75" s="451"/>
      <c r="AN75" s="457"/>
      <c r="AO75" s="457"/>
      <c r="AP75" s="457"/>
      <c r="AQ75" s="410">
        <v>0.02</v>
      </c>
      <c r="AR75" s="411">
        <f t="shared" si="12"/>
        <v>0</v>
      </c>
      <c r="AS75" s="403"/>
      <c r="AT75" s="403"/>
      <c r="AU75" s="403"/>
      <c r="AV75" s="403"/>
      <c r="AW75" s="403"/>
      <c r="AX75" s="403"/>
      <c r="AY75" s="202"/>
      <c r="AZ75" s="458"/>
      <c r="BA75" s="403"/>
      <c r="BB75" s="403"/>
      <c r="BC75" s="403"/>
      <c r="BD75" s="403"/>
      <c r="BE75" s="403"/>
      <c r="BX75" s="459"/>
      <c r="CJ75" s="104"/>
    </row>
    <row r="76" s="149" customFormat="1" customHeight="1" spans="1:88">
      <c r="D76" s="450"/>
      <c r="F76" s="451"/>
      <c r="G76" s="452"/>
      <c r="H76" s="452"/>
      <c r="I76" s="453" t="s">
        <v>1689</v>
      </c>
      <c r="J76" s="149">
        <v>38.67</v>
      </c>
      <c r="L76" s="149">
        <v>2196.02</v>
      </c>
      <c r="M76" s="402"/>
      <c r="N76" s="403">
        <v>84920</v>
      </c>
      <c r="O76" s="454"/>
      <c r="P76" s="455"/>
      <c r="Q76" s="455"/>
      <c r="R76" s="403"/>
      <c r="S76" s="406"/>
      <c r="T76" s="406"/>
      <c r="U76" s="406"/>
      <c r="V76" s="403"/>
      <c r="W76" s="456"/>
      <c r="X76" s="403"/>
      <c r="Y76" s="456"/>
      <c r="Z76" s="403"/>
      <c r="AB76" s="403"/>
      <c r="AH76" s="403">
        <f t="shared" si="8"/>
        <v>0</v>
      </c>
      <c r="AK76" s="409">
        <f t="shared" si="11"/>
        <v>0</v>
      </c>
      <c r="AL76" s="451"/>
      <c r="AM76" s="451"/>
      <c r="AN76" s="457"/>
      <c r="AO76" s="457"/>
      <c r="AP76" s="457"/>
      <c r="AQ76" s="410">
        <v>0.02</v>
      </c>
      <c r="AR76" s="411">
        <f t="shared" si="12"/>
        <v>0</v>
      </c>
      <c r="AS76" s="403"/>
      <c r="AT76" s="403"/>
      <c r="AU76" s="403"/>
      <c r="AV76" s="403"/>
      <c r="AW76" s="403"/>
      <c r="AX76" s="403"/>
      <c r="AY76" s="202"/>
      <c r="AZ76" s="460"/>
      <c r="BA76" s="403"/>
      <c r="BB76" s="403"/>
      <c r="BC76" s="403"/>
      <c r="BD76" s="403"/>
      <c r="BE76" s="403"/>
      <c r="BX76" s="459"/>
      <c r="CJ76" s="104"/>
    </row>
    <row r="77" s="149" customFormat="1" customHeight="1" spans="1:88">
      <c r="D77" s="450"/>
      <c r="F77" s="451"/>
      <c r="G77" s="452" t="s">
        <v>1690</v>
      </c>
      <c r="H77" s="452"/>
      <c r="I77" s="453" t="s">
        <v>1691</v>
      </c>
      <c r="J77" s="149">
        <v>15.5</v>
      </c>
      <c r="L77" s="149">
        <v>2196.13</v>
      </c>
      <c r="M77" s="402">
        <v>34040</v>
      </c>
      <c r="N77" s="403"/>
      <c r="O77" s="454"/>
      <c r="P77" s="455"/>
      <c r="Q77" s="455"/>
      <c r="R77" s="403"/>
      <c r="S77" s="406"/>
      <c r="T77" s="406"/>
      <c r="U77" s="406"/>
      <c r="V77" s="403">
        <v>34040</v>
      </c>
      <c r="W77" s="406">
        <v>45536</v>
      </c>
      <c r="X77" s="403"/>
      <c r="Y77" s="456"/>
      <c r="Z77" s="403"/>
      <c r="AB77" s="403"/>
      <c r="AH77" s="403">
        <f t="shared" si="8"/>
        <v>34040</v>
      </c>
      <c r="AK77" s="409">
        <f t="shared" si="11"/>
        <v>0</v>
      </c>
      <c r="AL77" s="451"/>
      <c r="AM77" s="451"/>
      <c r="AN77" s="457"/>
      <c r="AO77" s="457"/>
      <c r="AP77" s="457"/>
      <c r="AQ77" s="410">
        <v>0.02</v>
      </c>
      <c r="AR77" s="411">
        <f t="shared" si="12"/>
        <v>34040</v>
      </c>
      <c r="AS77" s="403"/>
      <c r="AT77" s="403"/>
      <c r="AU77" s="403"/>
      <c r="AV77" s="403"/>
      <c r="AW77" s="403"/>
      <c r="AX77" s="403"/>
      <c r="AY77" s="202"/>
      <c r="AZ77" s="458"/>
      <c r="BA77" s="403"/>
      <c r="BB77" s="403"/>
      <c r="BC77" s="403"/>
      <c r="BD77" s="403"/>
      <c r="BE77" s="403"/>
      <c r="BN77" s="149">
        <v>34040</v>
      </c>
      <c r="BX77" s="459"/>
      <c r="CJ77" s="104"/>
    </row>
    <row r="78" s="149" customFormat="1" customHeight="1" spans="1:88">
      <c r="D78" s="450"/>
      <c r="F78" s="451"/>
      <c r="G78" s="452" t="s">
        <v>1692</v>
      </c>
      <c r="H78" s="452"/>
      <c r="I78" s="453" t="s">
        <v>1693</v>
      </c>
      <c r="J78" s="149">
        <v>22.57</v>
      </c>
      <c r="L78" s="149">
        <v>2195.84</v>
      </c>
      <c r="M78" s="402">
        <v>49560</v>
      </c>
      <c r="N78" s="403"/>
      <c r="O78" s="454"/>
      <c r="P78" s="455"/>
      <c r="Q78" s="455"/>
      <c r="R78" s="403"/>
      <c r="S78" s="406"/>
      <c r="T78" s="406"/>
      <c r="U78" s="406"/>
      <c r="V78" s="403">
        <v>2000</v>
      </c>
      <c r="W78" s="406">
        <v>45538</v>
      </c>
      <c r="X78" s="403">
        <v>47560</v>
      </c>
      <c r="Y78" s="406">
        <v>45576</v>
      </c>
      <c r="Z78" s="403"/>
      <c r="AB78" s="403"/>
      <c r="AH78" s="403">
        <f t="shared" si="8"/>
        <v>49560</v>
      </c>
      <c r="AK78" s="409">
        <f t="shared" si="11"/>
        <v>0</v>
      </c>
      <c r="AL78" s="451"/>
      <c r="AM78" s="451"/>
      <c r="AN78" s="457"/>
      <c r="AO78" s="457"/>
      <c r="AP78" s="457"/>
      <c r="AQ78" s="410">
        <v>0.02</v>
      </c>
      <c r="AR78" s="411">
        <f t="shared" si="12"/>
        <v>49560</v>
      </c>
      <c r="AS78" s="403"/>
      <c r="AT78" s="403"/>
      <c r="AU78" s="403"/>
      <c r="AV78" s="403"/>
      <c r="AW78" s="403"/>
      <c r="AX78" s="403"/>
      <c r="AY78" s="202"/>
      <c r="AZ78" s="458"/>
      <c r="BA78" s="403"/>
      <c r="BB78" s="403"/>
      <c r="BC78" s="403"/>
      <c r="BD78" s="403"/>
      <c r="BE78" s="403"/>
      <c r="BO78" s="149">
        <v>49560</v>
      </c>
      <c r="BX78" s="459"/>
      <c r="CJ78" s="104"/>
    </row>
    <row r="79" s="149" customFormat="1" customHeight="1" spans="1:88">
      <c r="D79" s="450"/>
      <c r="F79" s="451"/>
      <c r="G79" s="452" t="s">
        <v>1694</v>
      </c>
      <c r="H79" s="452"/>
      <c r="I79" s="453" t="s">
        <v>1695</v>
      </c>
      <c r="J79" s="149">
        <v>11.6</v>
      </c>
      <c r="L79" s="149">
        <v>2196.55</v>
      </c>
      <c r="M79" s="402">
        <v>25480</v>
      </c>
      <c r="N79" s="403"/>
      <c r="O79" s="454"/>
      <c r="P79" s="455"/>
      <c r="Q79" s="455"/>
      <c r="R79" s="403"/>
      <c r="S79" s="406"/>
      <c r="T79" s="406"/>
      <c r="U79" s="406"/>
      <c r="V79" s="403">
        <v>5000</v>
      </c>
      <c r="W79" s="406">
        <v>45538</v>
      </c>
      <c r="X79" s="403">
        <v>20480</v>
      </c>
      <c r="Y79" s="456">
        <v>45544</v>
      </c>
      <c r="Z79" s="403"/>
      <c r="AB79" s="403"/>
      <c r="AH79" s="403">
        <f t="shared" si="8"/>
        <v>25480</v>
      </c>
      <c r="AK79" s="409">
        <f t="shared" si="11"/>
        <v>0</v>
      </c>
      <c r="AL79" s="451"/>
      <c r="AM79" s="451"/>
      <c r="AN79" s="457"/>
      <c r="AO79" s="457"/>
      <c r="AP79" s="457"/>
      <c r="AQ79" s="410">
        <v>0.02</v>
      </c>
      <c r="AR79" s="411">
        <f t="shared" si="12"/>
        <v>25480</v>
      </c>
      <c r="AS79" s="403"/>
      <c r="AT79" s="403"/>
      <c r="AU79" s="403"/>
      <c r="AV79" s="403"/>
      <c r="AW79" s="403"/>
      <c r="AX79" s="403"/>
      <c r="AY79" s="202"/>
      <c r="AZ79" s="458"/>
      <c r="BA79" s="403"/>
      <c r="BB79" s="403"/>
      <c r="BC79" s="403"/>
      <c r="BD79" s="403"/>
      <c r="BE79" s="403"/>
      <c r="BN79" s="149">
        <v>25480</v>
      </c>
      <c r="BX79" s="459"/>
      <c r="CJ79" s="104"/>
    </row>
    <row r="80" s="149" customFormat="1" customHeight="1" spans="1:88">
      <c r="D80" s="450"/>
      <c r="F80" s="451"/>
      <c r="G80" s="452"/>
      <c r="H80" s="452"/>
      <c r="I80" s="453" t="s">
        <v>1696</v>
      </c>
      <c r="J80" s="149">
        <v>71.85</v>
      </c>
      <c r="M80" s="402"/>
      <c r="N80" s="403"/>
      <c r="O80" s="454"/>
      <c r="P80" s="455"/>
      <c r="Q80" s="455"/>
      <c r="R80" s="403"/>
      <c r="S80" s="406"/>
      <c r="T80" s="406"/>
      <c r="U80" s="406"/>
      <c r="V80" s="403"/>
      <c r="W80" s="456"/>
      <c r="X80" s="403"/>
      <c r="Y80" s="456"/>
      <c r="Z80" s="403"/>
      <c r="AB80" s="403"/>
      <c r="AH80" s="403">
        <f t="shared" si="8"/>
        <v>0</v>
      </c>
      <c r="AK80" s="409">
        <f t="shared" si="11"/>
        <v>0</v>
      </c>
      <c r="AL80" s="451"/>
      <c r="AM80" s="451"/>
      <c r="AN80" s="457"/>
      <c r="AO80" s="457"/>
      <c r="AP80" s="457"/>
      <c r="AQ80" s="410">
        <v>0.02</v>
      </c>
      <c r="AR80" s="411">
        <f t="shared" si="12"/>
        <v>0</v>
      </c>
      <c r="AS80" s="403"/>
      <c r="AT80" s="403"/>
      <c r="AU80" s="403"/>
      <c r="AV80" s="403"/>
      <c r="AW80" s="403"/>
      <c r="AX80" s="403"/>
      <c r="AY80" s="202"/>
      <c r="AZ80" s="458"/>
      <c r="BA80" s="403"/>
      <c r="BB80" s="403"/>
      <c r="BC80" s="403"/>
      <c r="BD80" s="403"/>
      <c r="BE80" s="403"/>
      <c r="BX80" s="459"/>
      <c r="CJ80" s="104"/>
    </row>
    <row r="81" s="149" customFormat="1" customHeight="1" spans="1:89">
      <c r="D81" s="450"/>
      <c r="F81" s="451"/>
      <c r="G81" s="452" t="s">
        <v>1697</v>
      </c>
      <c r="H81" s="452"/>
      <c r="I81" s="453" t="s">
        <v>1698</v>
      </c>
      <c r="J81" s="149">
        <v>18.65</v>
      </c>
      <c r="L81" s="149">
        <v>2196.25</v>
      </c>
      <c r="M81" s="402">
        <v>40960</v>
      </c>
      <c r="N81" s="403"/>
      <c r="O81" s="454"/>
      <c r="P81" s="455"/>
      <c r="Q81" s="455"/>
      <c r="R81" s="403"/>
      <c r="S81" s="406"/>
      <c r="T81" s="406"/>
      <c r="U81" s="406"/>
      <c r="V81" s="403">
        <v>2000</v>
      </c>
      <c r="W81" s="406">
        <v>45540</v>
      </c>
      <c r="X81" s="403">
        <v>38960</v>
      </c>
      <c r="Y81" s="456">
        <v>45558</v>
      </c>
      <c r="Z81" s="403"/>
      <c r="AB81" s="403"/>
      <c r="AH81" s="403">
        <f t="shared" si="8"/>
        <v>40960</v>
      </c>
      <c r="AK81" s="409">
        <f t="shared" si="11"/>
        <v>0</v>
      </c>
      <c r="AL81" s="451"/>
      <c r="AM81" s="451"/>
      <c r="AN81" s="457"/>
      <c r="AO81" s="457"/>
      <c r="AP81" s="457"/>
      <c r="AQ81" s="410">
        <v>0.02</v>
      </c>
      <c r="AR81" s="411">
        <f t="shared" si="12"/>
        <v>40960</v>
      </c>
      <c r="AS81" s="403"/>
      <c r="AT81" s="403"/>
      <c r="AU81" s="403"/>
      <c r="AV81" s="403"/>
      <c r="AW81" s="403"/>
      <c r="AX81" s="403"/>
      <c r="AY81" s="202"/>
      <c r="AZ81" s="458"/>
      <c r="BA81" s="403"/>
      <c r="BB81" s="403"/>
      <c r="BC81" s="403"/>
      <c r="BD81" s="403"/>
      <c r="BE81" s="403"/>
      <c r="BN81" s="149">
        <v>40960</v>
      </c>
      <c r="BX81" s="459"/>
      <c r="CJ81" s="104"/>
    </row>
    <row r="82" s="149" customFormat="1" customHeight="1" spans="1:89">
      <c r="D82" s="450"/>
      <c r="F82" s="451"/>
      <c r="G82" s="452" t="s">
        <v>1699</v>
      </c>
      <c r="H82" s="452"/>
      <c r="I82" s="453" t="s">
        <v>1700</v>
      </c>
      <c r="J82" s="149">
        <v>18.65</v>
      </c>
      <c r="L82" s="149">
        <v>2196.25</v>
      </c>
      <c r="M82" s="402">
        <v>40960</v>
      </c>
      <c r="N82" s="403"/>
      <c r="O82" s="454"/>
      <c r="P82" s="455"/>
      <c r="Q82" s="455"/>
      <c r="R82" s="403"/>
      <c r="S82" s="406"/>
      <c r="T82" s="406"/>
      <c r="U82" s="406"/>
      <c r="V82" s="403">
        <v>2000</v>
      </c>
      <c r="W82" s="406">
        <v>45537</v>
      </c>
      <c r="X82" s="403">
        <f>5000+33960</f>
        <v>38960</v>
      </c>
      <c r="Y82" s="456">
        <v>45545</v>
      </c>
      <c r="Z82" s="403"/>
      <c r="AB82" s="403"/>
      <c r="AH82" s="403">
        <f t="shared" si="8"/>
        <v>40960</v>
      </c>
      <c r="AK82" s="409">
        <f t="shared" si="11"/>
        <v>0</v>
      </c>
      <c r="AL82" s="451"/>
      <c r="AM82" s="451"/>
      <c r="AN82" s="457"/>
      <c r="AO82" s="457"/>
      <c r="AP82" s="457"/>
      <c r="AQ82" s="410">
        <v>0.02</v>
      </c>
      <c r="AR82" s="411">
        <f t="shared" si="12"/>
        <v>40960</v>
      </c>
      <c r="AS82" s="403"/>
      <c r="AT82" s="403"/>
      <c r="AU82" s="403"/>
      <c r="AV82" s="403"/>
      <c r="AW82" s="403"/>
      <c r="AX82" s="403"/>
      <c r="AY82" s="202"/>
      <c r="AZ82" s="458"/>
      <c r="BA82" s="403"/>
      <c r="BB82" s="403"/>
      <c r="BC82" s="403"/>
      <c r="BD82" s="403"/>
      <c r="BE82" s="403"/>
      <c r="BN82" s="149">
        <v>40960</v>
      </c>
      <c r="BX82" s="459"/>
      <c r="CJ82" s="104"/>
    </row>
    <row r="83" s="149" customFormat="1" customHeight="1" spans="1:89">
      <c r="D83" s="450"/>
      <c r="F83" s="451"/>
      <c r="G83" s="452"/>
      <c r="H83" s="452"/>
      <c r="I83" s="453" t="s">
        <v>1701</v>
      </c>
      <c r="J83" s="149">
        <v>70.14</v>
      </c>
      <c r="M83" s="402"/>
      <c r="N83" s="403"/>
      <c r="O83" s="454"/>
      <c r="P83" s="455"/>
      <c r="Q83" s="455"/>
      <c r="R83" s="403"/>
      <c r="S83" s="406"/>
      <c r="T83" s="406"/>
      <c r="U83" s="406"/>
      <c r="V83" s="403"/>
      <c r="W83" s="456"/>
      <c r="X83" s="403"/>
      <c r="Y83" s="456"/>
      <c r="Z83" s="403"/>
      <c r="AB83" s="403"/>
      <c r="AH83" s="403">
        <f t="shared" si="8"/>
        <v>0</v>
      </c>
      <c r="AK83" s="409">
        <f t="shared" si="11"/>
        <v>0</v>
      </c>
      <c r="AL83" s="451"/>
      <c r="AM83" s="451"/>
      <c r="AN83" s="457"/>
      <c r="AO83" s="457"/>
      <c r="AP83" s="457"/>
      <c r="AQ83" s="410">
        <v>0.02</v>
      </c>
      <c r="AR83" s="411">
        <f t="shared" si="12"/>
        <v>0</v>
      </c>
      <c r="AS83" s="403"/>
      <c r="AT83" s="403"/>
      <c r="AU83" s="403"/>
      <c r="AV83" s="403"/>
      <c r="AW83" s="403"/>
      <c r="AX83" s="403"/>
      <c r="AY83" s="202"/>
      <c r="AZ83" s="458"/>
      <c r="BA83" s="403"/>
      <c r="BB83" s="403"/>
      <c r="BC83" s="403"/>
      <c r="BD83" s="403"/>
      <c r="BE83" s="403"/>
      <c r="BX83" s="459"/>
      <c r="CJ83" s="104"/>
    </row>
    <row r="84" s="149" customFormat="1" customHeight="1" spans="1:89">
      <c r="D84" s="450"/>
      <c r="F84" s="451"/>
      <c r="G84" s="452" t="s">
        <v>1702</v>
      </c>
      <c r="H84" s="452"/>
      <c r="I84" s="453" t="s">
        <v>1703</v>
      </c>
      <c r="J84" s="149">
        <v>11.9</v>
      </c>
      <c r="L84" s="149">
        <v>2194.96</v>
      </c>
      <c r="M84" s="402">
        <v>26120</v>
      </c>
      <c r="N84" s="403"/>
      <c r="O84" s="454"/>
      <c r="P84" s="455"/>
      <c r="Q84" s="455"/>
      <c r="R84" s="403"/>
      <c r="S84" s="406"/>
      <c r="T84" s="406"/>
      <c r="U84" s="406"/>
      <c r="V84" s="403">
        <v>26120</v>
      </c>
      <c r="W84" s="406">
        <v>45536</v>
      </c>
      <c r="X84" s="403"/>
      <c r="Y84" s="456"/>
      <c r="Z84" s="403"/>
      <c r="AB84" s="403"/>
      <c r="AH84" s="403">
        <f t="shared" si="8"/>
        <v>26120</v>
      </c>
      <c r="AK84" s="409">
        <f t="shared" si="11"/>
        <v>0</v>
      </c>
      <c r="AL84" s="451"/>
      <c r="AM84" s="451"/>
      <c r="AN84" s="457"/>
      <c r="AO84" s="457"/>
      <c r="AP84" s="457"/>
      <c r="AQ84" s="410">
        <v>0.02</v>
      </c>
      <c r="AR84" s="411">
        <f t="shared" si="12"/>
        <v>26120</v>
      </c>
      <c r="AS84" s="403"/>
      <c r="AT84" s="403"/>
      <c r="AU84" s="403"/>
      <c r="AV84" s="403"/>
      <c r="AW84" s="403"/>
      <c r="AX84" s="403"/>
      <c r="AY84" s="202"/>
      <c r="AZ84" s="458"/>
      <c r="BA84" s="403"/>
      <c r="BB84" s="403"/>
      <c r="BC84" s="403"/>
      <c r="BD84" s="403"/>
      <c r="BE84" s="403"/>
      <c r="BN84" s="149">
        <v>26120</v>
      </c>
      <c r="BX84" s="459"/>
      <c r="CJ84" s="104"/>
    </row>
    <row r="85" s="149" customFormat="1" customHeight="1" spans="1:89">
      <c r="D85" s="450"/>
      <c r="F85" s="451"/>
      <c r="G85" s="452" t="s">
        <v>1704</v>
      </c>
      <c r="H85" s="452"/>
      <c r="I85" s="453" t="s">
        <v>1705</v>
      </c>
      <c r="J85" s="149">
        <v>14.05</v>
      </c>
      <c r="L85" s="149">
        <v>2195.02</v>
      </c>
      <c r="M85" s="402">
        <v>30840</v>
      </c>
      <c r="N85" s="403"/>
      <c r="O85" s="454"/>
      <c r="P85" s="455"/>
      <c r="Q85" s="455"/>
      <c r="R85" s="403"/>
      <c r="S85" s="406"/>
      <c r="T85" s="406"/>
      <c r="U85" s="406"/>
      <c r="V85" s="403">
        <v>30840</v>
      </c>
      <c r="W85" s="406">
        <v>45536</v>
      </c>
      <c r="X85" s="403"/>
      <c r="Y85" s="456"/>
      <c r="Z85" s="403"/>
      <c r="AB85" s="403"/>
      <c r="AH85" s="403">
        <f t="shared" si="8"/>
        <v>30840</v>
      </c>
      <c r="AK85" s="409">
        <f t="shared" si="11"/>
        <v>0</v>
      </c>
      <c r="AL85" s="451"/>
      <c r="AM85" s="451"/>
      <c r="AN85" s="457"/>
      <c r="AO85" s="457"/>
      <c r="AP85" s="457"/>
      <c r="AQ85" s="410">
        <v>0.02</v>
      </c>
      <c r="AR85" s="411">
        <f t="shared" si="12"/>
        <v>30840</v>
      </c>
      <c r="AS85" s="403"/>
      <c r="AT85" s="403"/>
      <c r="AU85" s="403"/>
      <c r="AV85" s="403"/>
      <c r="AW85" s="403"/>
      <c r="AX85" s="403"/>
      <c r="AY85" s="202"/>
      <c r="AZ85" s="460"/>
      <c r="BA85" s="403"/>
      <c r="BB85" s="403"/>
      <c r="BC85" s="403"/>
      <c r="BD85" s="403"/>
      <c r="BE85" s="403"/>
      <c r="BN85" s="149">
        <v>30840</v>
      </c>
      <c r="BX85" s="459"/>
      <c r="CJ85" s="104"/>
    </row>
    <row r="86" s="149" customFormat="1" customHeight="1" spans="1:89">
      <c r="D86" s="450"/>
      <c r="F86" s="451"/>
      <c r="G86" s="452"/>
      <c r="H86" s="452"/>
      <c r="I86" s="453" t="s">
        <v>1706</v>
      </c>
      <c r="J86" s="149">
        <v>31.42</v>
      </c>
      <c r="L86" s="149">
        <v>2196.05</v>
      </c>
      <c r="M86" s="402"/>
      <c r="N86" s="403">
        <v>69000</v>
      </c>
      <c r="O86" s="454"/>
      <c r="P86" s="455"/>
      <c r="Q86" s="455"/>
      <c r="R86" s="403"/>
      <c r="S86" s="406"/>
      <c r="T86" s="406"/>
      <c r="U86" s="406"/>
      <c r="V86" s="403"/>
      <c r="W86" s="456"/>
      <c r="X86" s="403"/>
      <c r="Y86" s="456"/>
      <c r="Z86" s="403"/>
      <c r="AB86" s="403"/>
      <c r="AH86" s="403">
        <f t="shared" si="8"/>
        <v>0</v>
      </c>
      <c r="AK86" s="409">
        <f t="shared" si="11"/>
        <v>0</v>
      </c>
      <c r="AL86" s="451"/>
      <c r="AM86" s="451"/>
      <c r="AN86" s="457"/>
      <c r="AO86" s="457"/>
      <c r="AP86" s="457"/>
      <c r="AQ86" s="461"/>
      <c r="AR86" s="411"/>
      <c r="AS86" s="403"/>
      <c r="AT86" s="403"/>
      <c r="AU86" s="403"/>
      <c r="AV86" s="403"/>
      <c r="AW86" s="403"/>
      <c r="AX86" s="403"/>
      <c r="AY86" s="202"/>
      <c r="AZ86" s="460"/>
      <c r="BA86" s="403"/>
      <c r="BB86" s="403"/>
      <c r="BC86" s="403"/>
      <c r="BD86" s="403"/>
      <c r="BE86" s="403"/>
      <c r="BX86" s="459"/>
      <c r="CJ86" s="104"/>
    </row>
    <row r="87" s="134" customFormat="1" ht="46" customHeight="1" spans="1:89">
      <c r="A87" s="134">
        <v>45</v>
      </c>
      <c r="C87" s="138">
        <v>45023</v>
      </c>
      <c r="D87" s="444">
        <v>20230003140</v>
      </c>
      <c r="F87" s="429" t="s">
        <v>1707</v>
      </c>
      <c r="G87" s="429" t="s">
        <v>1708</v>
      </c>
      <c r="H87" s="1009" t="s">
        <v>1709</v>
      </c>
      <c r="I87" s="414" t="s">
        <v>1710</v>
      </c>
      <c r="J87" s="134">
        <v>117.5</v>
      </c>
      <c r="K87" s="134">
        <v>117.5</v>
      </c>
      <c r="L87" s="134">
        <v>8050</v>
      </c>
      <c r="M87" s="436">
        <f>945956-81</f>
        <v>945875</v>
      </c>
      <c r="N87" s="437">
        <v>8017</v>
      </c>
      <c r="O87" s="445">
        <v>867775.23</v>
      </c>
      <c r="P87" s="446" t="s">
        <v>1711</v>
      </c>
      <c r="Q87" s="448">
        <v>45656</v>
      </c>
      <c r="R87" s="359"/>
      <c r="S87" s="362"/>
      <c r="T87" s="416" t="s">
        <v>1708</v>
      </c>
      <c r="U87" s="416" t="s">
        <v>1712</v>
      </c>
      <c r="V87" s="359">
        <f>2000-2000</f>
        <v>0</v>
      </c>
      <c r="W87" s="413" t="s">
        <v>1713</v>
      </c>
      <c r="X87" s="359">
        <v>20000</v>
      </c>
      <c r="Y87" s="438" t="s">
        <v>1714</v>
      </c>
      <c r="Z87" s="359">
        <v>116956</v>
      </c>
      <c r="AA87" s="138" t="s">
        <v>1715</v>
      </c>
      <c r="AB87" s="359">
        <v>209000</v>
      </c>
      <c r="AC87" s="134" t="s">
        <v>1459</v>
      </c>
      <c r="AD87" s="359">
        <v>600000</v>
      </c>
      <c r="AE87" s="362" t="s">
        <v>1112</v>
      </c>
      <c r="AF87" s="134">
        <v>-81</v>
      </c>
      <c r="AH87" s="359">
        <f t="shared" ref="AH87:AH119" si="13">V87+X87+Z87+AB87+AD87+AF87</f>
        <v>945875</v>
      </c>
      <c r="AK87" s="364">
        <f t="shared" si="11"/>
        <v>0</v>
      </c>
      <c r="AL87" s="429" t="s">
        <v>1716</v>
      </c>
      <c r="AM87" s="429"/>
      <c r="AN87" s="447"/>
      <c r="AO87" s="447"/>
      <c r="AP87" s="447"/>
      <c r="AQ87" s="365">
        <f>0.6%+0.14%</f>
        <v>0.0074</v>
      </c>
      <c r="AR87" s="419">
        <f t="shared" ref="AR87:AR133" si="14">SUM(AU87:BU87)</f>
        <v>945956</v>
      </c>
      <c r="AS87" s="359">
        <f>100</f>
        <v>100</v>
      </c>
      <c r="AT87" s="359"/>
      <c r="AU87" s="359"/>
      <c r="AV87" s="359"/>
      <c r="AW87" s="359"/>
      <c r="AX87" s="359">
        <v>345956</v>
      </c>
      <c r="AY87" s="218"/>
      <c r="AZ87" s="425"/>
      <c r="BA87" s="359">
        <v>600000</v>
      </c>
      <c r="BB87" s="359"/>
      <c r="BC87" s="359"/>
      <c r="BD87" s="359"/>
      <c r="BE87" s="359"/>
      <c r="BX87" s="432"/>
      <c r="BZ87" s="134" t="s">
        <v>376</v>
      </c>
      <c r="CA87" s="134" t="s">
        <v>387</v>
      </c>
      <c r="CB87" s="134" t="s">
        <v>377</v>
      </c>
      <c r="CE87" s="149"/>
    </row>
    <row r="88" s="134" customFormat="1" customHeight="1" spans="1:89">
      <c r="A88" s="149">
        <v>46</v>
      </c>
      <c r="B88" s="149"/>
      <c r="C88" s="450"/>
      <c r="D88" s="149"/>
      <c r="E88" s="450"/>
      <c r="F88" s="451" t="s">
        <v>1717</v>
      </c>
      <c r="G88" s="462" t="s">
        <v>1718</v>
      </c>
      <c r="H88" s="1012" t="s">
        <v>1719</v>
      </c>
      <c r="I88" s="463" t="s">
        <v>1720</v>
      </c>
      <c r="J88" s="149">
        <v>116.67</v>
      </c>
      <c r="K88" s="149"/>
      <c r="L88" s="149"/>
      <c r="M88" s="464"/>
      <c r="N88" s="465">
        <v>8237</v>
      </c>
      <c r="O88" s="454"/>
      <c r="P88" s="455"/>
      <c r="Q88" s="455"/>
      <c r="R88" s="403"/>
      <c r="S88" s="466">
        <v>45874</v>
      </c>
      <c r="T88" s="466"/>
      <c r="U88" s="466" t="s">
        <v>410</v>
      </c>
      <c r="V88" s="403">
        <v>20000</v>
      </c>
      <c r="W88" s="466" t="s">
        <v>1721</v>
      </c>
      <c r="X88" s="403">
        <v>-20000</v>
      </c>
      <c r="Y88" s="466">
        <v>45874</v>
      </c>
      <c r="Z88" s="403"/>
      <c r="AA88" s="456"/>
      <c r="AB88" s="403"/>
      <c r="AC88" s="456"/>
      <c r="AD88" s="456"/>
      <c r="AE88" s="456"/>
      <c r="AF88" s="456"/>
      <c r="AG88" s="456"/>
      <c r="AH88" s="403">
        <f t="shared" si="13"/>
        <v>0</v>
      </c>
      <c r="AI88" s="149"/>
      <c r="AJ88" s="149"/>
      <c r="AK88" s="409">
        <f t="shared" si="11"/>
        <v>0</v>
      </c>
      <c r="AL88" s="451" t="s">
        <v>1722</v>
      </c>
      <c r="AM88" s="451"/>
      <c r="AN88" s="457"/>
      <c r="AO88" s="457"/>
      <c r="AP88" s="457"/>
      <c r="AQ88" s="467"/>
      <c r="AR88" s="411">
        <f t="shared" si="14"/>
        <v>0</v>
      </c>
      <c r="AS88" s="403"/>
      <c r="AT88" s="403">
        <f>100+100</f>
        <v>200</v>
      </c>
      <c r="AU88" s="403"/>
      <c r="AV88" s="403"/>
      <c r="AW88" s="403"/>
      <c r="AX88" s="403"/>
      <c r="AY88" s="202"/>
      <c r="AZ88" s="458"/>
      <c r="BA88" s="403"/>
      <c r="BB88" s="403"/>
      <c r="BC88" s="403"/>
      <c r="BD88" s="403"/>
      <c r="BE88" s="403"/>
      <c r="BF88" s="149"/>
      <c r="BG88" s="149"/>
      <c r="BH88" s="149"/>
      <c r="BI88" s="149"/>
      <c r="BJ88" s="149"/>
      <c r="BK88" s="149"/>
      <c r="BL88" s="149"/>
      <c r="BM88" s="149"/>
      <c r="BN88" s="149"/>
      <c r="BO88" s="149"/>
      <c r="BP88" s="149"/>
      <c r="BQ88" s="149"/>
      <c r="BR88" s="149"/>
      <c r="BS88" s="149"/>
      <c r="BT88" s="149"/>
      <c r="BU88" s="149"/>
      <c r="BV88" s="149"/>
      <c r="BW88" s="149"/>
      <c r="BX88" s="459"/>
      <c r="BY88" s="149"/>
      <c r="BZ88" s="149"/>
      <c r="CA88" s="149"/>
      <c r="CB88" s="149" t="s">
        <v>377</v>
      </c>
      <c r="CC88" s="149"/>
      <c r="CD88" s="149"/>
      <c r="CE88" s="149"/>
      <c r="CF88" s="149"/>
      <c r="CG88" s="149"/>
      <c r="CH88" s="149"/>
      <c r="CI88" s="149"/>
      <c r="CJ88" s="149"/>
      <c r="CK88" s="149"/>
    </row>
    <row r="89" s="134" customFormat="1" customHeight="1" spans="1:89">
      <c r="A89" s="134">
        <v>47</v>
      </c>
      <c r="C89" s="138">
        <v>45520</v>
      </c>
      <c r="D89" s="420">
        <v>20240004715</v>
      </c>
      <c r="E89" s="134" t="s">
        <v>1723</v>
      </c>
      <c r="F89" s="429" t="s">
        <v>1724</v>
      </c>
      <c r="G89" s="420" t="s">
        <v>1725</v>
      </c>
      <c r="H89" s="420"/>
      <c r="I89" s="414" t="s">
        <v>1726</v>
      </c>
      <c r="J89" s="134">
        <v>115.94</v>
      </c>
      <c r="K89" s="134">
        <v>115.94</v>
      </c>
      <c r="L89" s="134">
        <f>M89/K89</f>
        <v>6190.71933758841</v>
      </c>
      <c r="M89" s="436">
        <f>717813-61</f>
        <v>717752</v>
      </c>
      <c r="N89" s="134">
        <v>6190.71</v>
      </c>
      <c r="O89" s="445">
        <v>658488.07</v>
      </c>
      <c r="P89" s="446" t="s">
        <v>1727</v>
      </c>
      <c r="Q89" s="448">
        <v>45719</v>
      </c>
      <c r="R89" s="359"/>
      <c r="S89" s="362"/>
      <c r="T89" s="362"/>
      <c r="U89" s="362"/>
      <c r="V89" s="359">
        <v>717813</v>
      </c>
      <c r="W89" s="362" t="s">
        <v>872</v>
      </c>
      <c r="X89" s="359">
        <v>-62</v>
      </c>
      <c r="Y89" s="138"/>
      <c r="Z89" s="359"/>
      <c r="AA89" s="138"/>
      <c r="AB89" s="359"/>
      <c r="AC89" s="138"/>
      <c r="AD89" s="138"/>
      <c r="AE89" s="138"/>
      <c r="AF89" s="420">
        <v>1</v>
      </c>
      <c r="AG89" s="468"/>
      <c r="AH89" s="359">
        <f t="shared" si="13"/>
        <v>717752</v>
      </c>
      <c r="AK89" s="364">
        <f t="shared" ref="AK89:AK152" si="15">M89-AH89</f>
        <v>0</v>
      </c>
      <c r="AL89" s="429"/>
      <c r="AM89" s="429"/>
      <c r="AN89" s="447"/>
      <c r="AO89" s="447"/>
      <c r="AP89" s="447"/>
      <c r="AQ89" s="365"/>
      <c r="AR89" s="419">
        <f t="shared" si="14"/>
        <v>0</v>
      </c>
      <c r="AS89" s="359"/>
      <c r="AT89" s="359"/>
      <c r="AU89" s="359"/>
      <c r="AV89" s="359"/>
      <c r="AW89" s="359"/>
      <c r="AX89" s="359"/>
      <c r="AY89" s="421"/>
      <c r="AZ89" s="422"/>
      <c r="BA89" s="359"/>
      <c r="BB89" s="359"/>
      <c r="BC89" s="359"/>
      <c r="BD89" s="359"/>
      <c r="BE89" s="359"/>
      <c r="BX89" s="432"/>
      <c r="BZ89" s="134" t="s">
        <v>376</v>
      </c>
      <c r="CB89" s="134" t="s">
        <v>377</v>
      </c>
      <c r="CE89" s="149"/>
    </row>
    <row r="90" s="134" customFormat="1" customHeight="1" spans="1:89">
      <c r="A90" s="134">
        <v>48</v>
      </c>
      <c r="C90" s="138">
        <v>45086</v>
      </c>
      <c r="D90" s="444">
        <v>20230004693</v>
      </c>
      <c r="F90" s="429" t="s">
        <v>1728</v>
      </c>
      <c r="G90" s="420" t="s">
        <v>1729</v>
      </c>
      <c r="H90" s="420"/>
      <c r="I90" s="423" t="s">
        <v>1730</v>
      </c>
      <c r="J90" s="134">
        <v>115.58</v>
      </c>
      <c r="K90" s="134">
        <v>115.58</v>
      </c>
      <c r="L90" s="134">
        <f>M90/K90</f>
        <v>5600</v>
      </c>
      <c r="M90" s="436">
        <f>647304-56</f>
        <v>647248</v>
      </c>
      <c r="N90" s="134">
        <v>5580.99</v>
      </c>
      <c r="O90" s="445">
        <v>593805.5</v>
      </c>
      <c r="P90" s="446" t="s">
        <v>1731</v>
      </c>
      <c r="Q90" s="448">
        <v>45656</v>
      </c>
      <c r="R90" s="359"/>
      <c r="S90" s="362"/>
      <c r="T90" s="362"/>
      <c r="U90" s="362" t="s">
        <v>383</v>
      </c>
      <c r="V90" s="359">
        <v>7304</v>
      </c>
      <c r="W90" s="362" t="s">
        <v>1732</v>
      </c>
      <c r="X90" s="359">
        <v>140000</v>
      </c>
      <c r="Y90" s="362" t="s">
        <v>1095</v>
      </c>
      <c r="Z90" s="359">
        <v>50000</v>
      </c>
      <c r="AA90" s="138" t="s">
        <v>440</v>
      </c>
      <c r="AB90" s="359">
        <v>450000</v>
      </c>
      <c r="AC90" s="362" t="s">
        <v>412</v>
      </c>
      <c r="AD90" s="134">
        <v>-56</v>
      </c>
      <c r="AE90" s="138">
        <v>45909</v>
      </c>
      <c r="AH90" s="359">
        <f t="shared" si="13"/>
        <v>647248</v>
      </c>
      <c r="AK90" s="364">
        <f t="shared" si="15"/>
        <v>0</v>
      </c>
      <c r="AL90" s="429" t="s">
        <v>1733</v>
      </c>
      <c r="AM90" s="429"/>
      <c r="AN90" s="447"/>
      <c r="AO90" s="447"/>
      <c r="AP90" s="447"/>
      <c r="AQ90" s="365">
        <f>0.4%+0.08%</f>
        <v>0.0048</v>
      </c>
      <c r="AR90" s="419">
        <f t="shared" si="14"/>
        <v>647304</v>
      </c>
      <c r="AS90" s="359"/>
      <c r="AT90" s="359">
        <v>100</v>
      </c>
      <c r="AU90" s="359"/>
      <c r="AV90" s="359"/>
      <c r="AW90" s="359"/>
      <c r="AX90" s="359"/>
      <c r="AY90" s="218"/>
      <c r="AZ90" s="292"/>
      <c r="BA90" s="359">
        <v>147304</v>
      </c>
      <c r="BB90" s="359"/>
      <c r="BC90" s="359"/>
      <c r="BD90" s="359"/>
      <c r="BE90" s="359"/>
      <c r="BJ90" s="134">
        <v>500000</v>
      </c>
      <c r="BX90" s="432"/>
      <c r="BZ90" s="134" t="s">
        <v>376</v>
      </c>
      <c r="CA90" s="134" t="s">
        <v>387</v>
      </c>
      <c r="CB90" s="134" t="s">
        <v>377</v>
      </c>
      <c r="CE90" s="149"/>
    </row>
    <row r="91" s="134" customFormat="1" customHeight="1" spans="1:89">
      <c r="A91" s="134">
        <v>49</v>
      </c>
      <c r="C91" s="138">
        <v>45047</v>
      </c>
      <c r="D91" s="444">
        <v>20230005310</v>
      </c>
      <c r="F91" s="429" t="s">
        <v>1734</v>
      </c>
      <c r="G91" s="440" t="s">
        <v>1735</v>
      </c>
      <c r="H91" s="1008" t="s">
        <v>1736</v>
      </c>
      <c r="I91" s="414" t="s">
        <v>1737</v>
      </c>
      <c r="J91" s="134">
        <v>115.94</v>
      </c>
      <c r="K91" s="134">
        <v>115.94</v>
      </c>
      <c r="L91" s="134">
        <v>5373.61</v>
      </c>
      <c r="M91" s="436">
        <f>623070-54</f>
        <v>623016</v>
      </c>
      <c r="O91" s="445">
        <v>571574.31</v>
      </c>
      <c r="P91" s="446" t="s">
        <v>1738</v>
      </c>
      <c r="Q91" s="448">
        <v>45651</v>
      </c>
      <c r="R91" s="359"/>
      <c r="S91" s="362"/>
      <c r="T91" s="440" t="s">
        <v>1735</v>
      </c>
      <c r="U91" s="440" t="s">
        <v>1739</v>
      </c>
      <c r="V91" s="359">
        <v>20000</v>
      </c>
      <c r="W91" s="469" t="s">
        <v>1740</v>
      </c>
      <c r="X91" s="359">
        <v>23070</v>
      </c>
      <c r="Y91" s="443" t="s">
        <v>1741</v>
      </c>
      <c r="Z91" s="359">
        <v>50000</v>
      </c>
      <c r="AA91" s="362" t="s">
        <v>1112</v>
      </c>
      <c r="AB91" s="359">
        <v>70000</v>
      </c>
      <c r="AC91" s="362" t="s">
        <v>1742</v>
      </c>
      <c r="AD91" s="359">
        <v>460000</v>
      </c>
      <c r="AE91" s="362" t="s">
        <v>1743</v>
      </c>
      <c r="AF91" s="420">
        <v>-54</v>
      </c>
      <c r="AG91" s="138"/>
      <c r="AH91" s="359">
        <f t="shared" si="13"/>
        <v>623016</v>
      </c>
      <c r="AK91" s="364">
        <f t="shared" si="15"/>
        <v>0</v>
      </c>
      <c r="AL91" s="429" t="s">
        <v>1744</v>
      </c>
      <c r="AM91" s="429"/>
      <c r="AN91" s="447"/>
      <c r="AO91" s="447"/>
      <c r="AP91" s="447"/>
      <c r="AQ91" s="365">
        <f>0.6%+0.14%+0.06%</f>
        <v>0.008</v>
      </c>
      <c r="AR91" s="419">
        <f t="shared" si="14"/>
        <v>623070</v>
      </c>
      <c r="AS91" s="359"/>
      <c r="AT91" s="359">
        <v>100</v>
      </c>
      <c r="AU91" s="359"/>
      <c r="AV91" s="359"/>
      <c r="AW91" s="359"/>
      <c r="AX91" s="359"/>
      <c r="AY91" s="218"/>
      <c r="AZ91" s="292"/>
      <c r="BA91" s="359"/>
      <c r="BB91" s="359">
        <v>163070</v>
      </c>
      <c r="BC91" s="359"/>
      <c r="BD91" s="359">
        <v>460000</v>
      </c>
      <c r="BE91" s="359"/>
      <c r="BX91" s="432"/>
      <c r="BZ91" s="134" t="s">
        <v>376</v>
      </c>
      <c r="CA91" s="134" t="s">
        <v>387</v>
      </c>
      <c r="CB91" s="134" t="s">
        <v>377</v>
      </c>
      <c r="CE91" s="149"/>
    </row>
    <row r="92" s="134" customFormat="1" customHeight="1" spans="1:89">
      <c r="A92" s="134">
        <v>50</v>
      </c>
      <c r="C92" s="138">
        <v>45074</v>
      </c>
      <c r="D92" s="444">
        <v>20230004501</v>
      </c>
      <c r="F92" s="1006" t="s">
        <v>1745</v>
      </c>
      <c r="G92" s="440" t="s">
        <v>1746</v>
      </c>
      <c r="H92" s="1008" t="s">
        <v>1747</v>
      </c>
      <c r="I92" s="423" t="s">
        <v>1748</v>
      </c>
      <c r="J92" s="134">
        <v>115.58</v>
      </c>
      <c r="K92" s="134">
        <v>115.58</v>
      </c>
      <c r="L92" s="134">
        <v>5382.96</v>
      </c>
      <c r="M92" s="436">
        <f>622216-54</f>
        <v>622162</v>
      </c>
      <c r="O92" s="445">
        <v>570790.83</v>
      </c>
      <c r="P92" s="446" t="s">
        <v>1749</v>
      </c>
      <c r="Q92" s="448">
        <v>45656</v>
      </c>
      <c r="R92" s="359"/>
      <c r="S92" s="362"/>
      <c r="T92" s="440" t="s">
        <v>1746</v>
      </c>
      <c r="U92" s="440" t="s">
        <v>1750</v>
      </c>
      <c r="V92" s="359">
        <v>20000</v>
      </c>
      <c r="W92" s="138" t="s">
        <v>1751</v>
      </c>
      <c r="X92" s="359">
        <v>150000</v>
      </c>
      <c r="Y92" s="138" t="s">
        <v>1467</v>
      </c>
      <c r="Z92" s="359">
        <v>17216</v>
      </c>
      <c r="AA92" s="138" t="s">
        <v>1752</v>
      </c>
      <c r="AB92" s="359">
        <v>435000</v>
      </c>
      <c r="AC92" s="362" t="s">
        <v>1044</v>
      </c>
      <c r="AD92" s="134">
        <v>-54</v>
      </c>
      <c r="AE92" s="138">
        <v>45909</v>
      </c>
      <c r="AH92" s="359">
        <f t="shared" si="13"/>
        <v>622162</v>
      </c>
      <c r="AK92" s="364">
        <f t="shared" si="15"/>
        <v>0</v>
      </c>
      <c r="AL92" s="429" t="s">
        <v>1753</v>
      </c>
      <c r="AM92" s="429"/>
      <c r="AN92" s="447"/>
      <c r="AO92" s="447"/>
      <c r="AP92" s="447"/>
      <c r="AQ92" s="365">
        <f>0.4%+0.05%+0.14%</f>
        <v>0.0059</v>
      </c>
      <c r="AR92" s="419">
        <f t="shared" si="14"/>
        <v>622216</v>
      </c>
      <c r="AS92" s="359"/>
      <c r="AT92" s="359">
        <v>100</v>
      </c>
      <c r="AU92" s="359"/>
      <c r="AV92" s="359"/>
      <c r="AW92" s="359"/>
      <c r="AX92" s="359"/>
      <c r="AY92" s="218">
        <v>187216</v>
      </c>
      <c r="AZ92" s="425"/>
      <c r="BA92" s="359">
        <v>435000</v>
      </c>
      <c r="BB92" s="359"/>
      <c r="BC92" s="359"/>
      <c r="BD92" s="359"/>
      <c r="BE92" s="359"/>
      <c r="BX92" s="432"/>
      <c r="BZ92" s="134" t="s">
        <v>376</v>
      </c>
      <c r="CA92" s="134" t="s">
        <v>387</v>
      </c>
      <c r="CB92" s="134" t="s">
        <v>377</v>
      </c>
      <c r="CE92" s="149"/>
    </row>
    <row r="93" s="134" customFormat="1" customHeight="1" spans="1:89">
      <c r="A93" s="134">
        <v>51</v>
      </c>
      <c r="C93" s="138">
        <v>44967</v>
      </c>
      <c r="D93" s="444">
        <v>20230001273</v>
      </c>
      <c r="F93" s="429" t="s">
        <v>1754</v>
      </c>
      <c r="G93" s="420" t="s">
        <v>1755</v>
      </c>
      <c r="H93" s="1009" t="s">
        <v>1756</v>
      </c>
      <c r="I93" s="414" t="s">
        <v>1757</v>
      </c>
      <c r="J93" s="134">
        <v>115.94</v>
      </c>
      <c r="K93" s="134">
        <v>115.94</v>
      </c>
      <c r="L93" s="134">
        <v>5167.38</v>
      </c>
      <c r="M93" s="436">
        <f>599158-52</f>
        <v>599106</v>
      </c>
      <c r="O93" s="445">
        <v>549638.53</v>
      </c>
      <c r="P93" s="446" t="s">
        <v>1758</v>
      </c>
      <c r="Q93" s="448">
        <v>45656</v>
      </c>
      <c r="R93" s="359"/>
      <c r="S93" s="362"/>
      <c r="T93" s="363" t="s">
        <v>1759</v>
      </c>
      <c r="U93" s="362" t="s">
        <v>1760</v>
      </c>
      <c r="V93" s="359">
        <v>199158</v>
      </c>
      <c r="W93" s="138" t="s">
        <v>1346</v>
      </c>
      <c r="X93" s="359">
        <v>200000</v>
      </c>
      <c r="Y93" s="138" t="s">
        <v>1761</v>
      </c>
      <c r="Z93" s="359">
        <v>200000</v>
      </c>
      <c r="AA93" s="138" t="s">
        <v>1762</v>
      </c>
      <c r="AB93" s="359">
        <v>-52</v>
      </c>
      <c r="AH93" s="359">
        <f t="shared" si="13"/>
        <v>599106</v>
      </c>
      <c r="AK93" s="364">
        <f t="shared" si="15"/>
        <v>0</v>
      </c>
      <c r="AL93" s="429" t="s">
        <v>1763</v>
      </c>
      <c r="AM93" s="429"/>
      <c r="AN93" s="447"/>
      <c r="AO93" s="447"/>
      <c r="AP93" s="447"/>
      <c r="AQ93" s="365">
        <f>0.6%+0.04%+0.1%</f>
        <v>0.0074</v>
      </c>
      <c r="AR93" s="419">
        <f t="shared" si="14"/>
        <v>599158</v>
      </c>
      <c r="AS93" s="359"/>
      <c r="AT93" s="359">
        <v>100</v>
      </c>
      <c r="AU93" s="359"/>
      <c r="AV93" s="359">
        <v>399158</v>
      </c>
      <c r="AW93" s="359"/>
      <c r="AX93" s="359"/>
      <c r="AY93" s="421">
        <v>200000</v>
      </c>
      <c r="AZ93" s="422"/>
      <c r="BA93" s="359"/>
      <c r="BB93" s="359"/>
      <c r="BC93" s="359"/>
      <c r="BD93" s="359"/>
      <c r="BE93" s="359"/>
      <c r="BX93" s="432"/>
      <c r="BZ93" s="134" t="s">
        <v>376</v>
      </c>
      <c r="CA93" s="134" t="s">
        <v>387</v>
      </c>
      <c r="CB93" s="134" t="s">
        <v>377</v>
      </c>
      <c r="CE93" s="149"/>
    </row>
    <row r="94" s="134" customFormat="1" customHeight="1" spans="1:89">
      <c r="A94" s="134">
        <v>52</v>
      </c>
      <c r="C94" s="138">
        <v>44966</v>
      </c>
      <c r="D94" s="442">
        <v>20230001131</v>
      </c>
      <c r="F94" s="429" t="s">
        <v>1764</v>
      </c>
      <c r="G94" s="420" t="s">
        <v>1765</v>
      </c>
      <c r="H94" s="1009" t="s">
        <v>1766</v>
      </c>
      <c r="I94" s="423" t="s">
        <v>1767</v>
      </c>
      <c r="J94" s="134">
        <v>115.58</v>
      </c>
      <c r="K94" s="134">
        <v>115.58</v>
      </c>
      <c r="L94" s="134">
        <v>5176.38</v>
      </c>
      <c r="M94" s="358">
        <f>598338-52</f>
        <v>598286</v>
      </c>
      <c r="O94" s="445">
        <v>548886.24</v>
      </c>
      <c r="P94" s="470" t="s">
        <v>1768</v>
      </c>
      <c r="Q94" s="448">
        <v>45656</v>
      </c>
      <c r="R94" s="359"/>
      <c r="S94" s="471"/>
      <c r="T94" s="472" t="s">
        <v>1769</v>
      </c>
      <c r="U94" s="473" t="s">
        <v>1770</v>
      </c>
      <c r="V94" s="134">
        <v>108338</v>
      </c>
      <c r="W94" s="138" t="s">
        <v>1377</v>
      </c>
      <c r="X94" s="359">
        <v>150000</v>
      </c>
      <c r="Y94" s="138" t="s">
        <v>1715</v>
      </c>
      <c r="Z94" s="359">
        <v>340000</v>
      </c>
      <c r="AA94" s="138" t="s">
        <v>1771</v>
      </c>
      <c r="AB94" s="359">
        <v>-52</v>
      </c>
      <c r="AC94" s="469"/>
      <c r="AD94" s="469"/>
      <c r="AE94" s="469"/>
      <c r="AF94" s="469"/>
      <c r="AG94" s="469"/>
      <c r="AH94" s="359">
        <f t="shared" si="13"/>
        <v>598286</v>
      </c>
      <c r="AK94" s="364">
        <f t="shared" si="15"/>
        <v>0</v>
      </c>
      <c r="AL94" s="429" t="s">
        <v>1772</v>
      </c>
      <c r="AM94" s="429"/>
      <c r="AN94" s="441"/>
      <c r="AO94" s="441"/>
      <c r="AP94" s="441"/>
      <c r="AQ94" s="365">
        <f>0.4%+0.04%+0.1%</f>
        <v>0.0054</v>
      </c>
      <c r="AR94" s="419">
        <f t="shared" si="14"/>
        <v>598338</v>
      </c>
      <c r="AS94" s="359">
        <f>100</f>
        <v>100</v>
      </c>
      <c r="AT94" s="359">
        <v>100</v>
      </c>
      <c r="AU94" s="359"/>
      <c r="AV94" s="359"/>
      <c r="AW94" s="359"/>
      <c r="AX94" s="359">
        <v>258338</v>
      </c>
      <c r="AY94" s="421"/>
      <c r="AZ94" s="433">
        <v>340000</v>
      </c>
      <c r="BA94" s="359"/>
      <c r="BB94" s="359"/>
      <c r="BC94" s="359"/>
      <c r="BD94" s="359"/>
      <c r="BE94" s="359"/>
      <c r="BX94" s="432"/>
      <c r="BZ94" s="134" t="s">
        <v>376</v>
      </c>
      <c r="CA94" s="134" t="s">
        <v>387</v>
      </c>
      <c r="CB94" s="134" t="s">
        <v>377</v>
      </c>
      <c r="CE94" s="149"/>
    </row>
    <row r="95" s="134" customFormat="1" ht="50" customHeight="1" spans="1:89">
      <c r="A95" s="134">
        <v>53</v>
      </c>
      <c r="C95" s="138">
        <v>44964</v>
      </c>
      <c r="D95" s="444">
        <v>20230000938</v>
      </c>
      <c r="F95" s="429" t="s">
        <v>1773</v>
      </c>
      <c r="G95" s="440" t="s">
        <v>1774</v>
      </c>
      <c r="H95" s="440"/>
      <c r="I95" s="414" t="s">
        <v>1775</v>
      </c>
      <c r="J95" s="134">
        <v>115.94</v>
      </c>
      <c r="K95" s="134">
        <v>115.94</v>
      </c>
      <c r="L95" s="134">
        <v>5338.51</v>
      </c>
      <c r="M95" s="436">
        <f>-53+619000</f>
        <v>618947</v>
      </c>
      <c r="N95" s="437"/>
      <c r="O95" s="445">
        <v>567841.28</v>
      </c>
      <c r="P95" s="446" t="s">
        <v>1776</v>
      </c>
      <c r="Q95" s="448">
        <v>45656</v>
      </c>
      <c r="R95" s="359"/>
      <c r="S95" s="416"/>
      <c r="T95" s="416" t="s">
        <v>1774</v>
      </c>
      <c r="U95" s="416" t="s">
        <v>1774</v>
      </c>
      <c r="V95" s="359">
        <v>619000</v>
      </c>
      <c r="W95" s="443" t="s">
        <v>1442</v>
      </c>
      <c r="X95" s="359">
        <v>-53</v>
      </c>
      <c r="Y95" s="138">
        <v>45909</v>
      </c>
      <c r="Z95" s="359"/>
      <c r="AB95" s="359"/>
      <c r="AH95" s="359">
        <f t="shared" si="13"/>
        <v>618947</v>
      </c>
      <c r="AK95" s="364">
        <f t="shared" si="15"/>
        <v>0</v>
      </c>
      <c r="AL95" s="429" t="s">
        <v>1777</v>
      </c>
      <c r="AM95" s="429"/>
      <c r="AN95" s="447"/>
      <c r="AO95" s="447"/>
      <c r="AP95" s="447"/>
      <c r="AQ95" s="365">
        <f>0.6%+0.06%+0.14%</f>
        <v>0.008</v>
      </c>
      <c r="AR95" s="419">
        <f t="shared" si="14"/>
        <v>619000</v>
      </c>
      <c r="AS95" s="359">
        <f>100+100</f>
        <v>200</v>
      </c>
      <c r="AT95" s="359">
        <v>100</v>
      </c>
      <c r="AU95" s="359"/>
      <c r="AV95" s="359">
        <v>619000</v>
      </c>
      <c r="AW95" s="359"/>
      <c r="AX95" s="359"/>
      <c r="AY95" s="421"/>
      <c r="AZ95" s="422"/>
      <c r="BA95" s="359"/>
      <c r="BB95" s="359"/>
      <c r="BC95" s="359"/>
      <c r="BD95" s="359"/>
      <c r="BE95" s="359"/>
      <c r="BZ95" s="134" t="s">
        <v>376</v>
      </c>
      <c r="CA95" s="134" t="s">
        <v>387</v>
      </c>
      <c r="CB95" s="134" t="s">
        <v>377</v>
      </c>
      <c r="CE95" s="149"/>
    </row>
    <row r="96" s="134" customFormat="1" customHeight="1" spans="1:89">
      <c r="A96" s="134">
        <v>54</v>
      </c>
      <c r="C96" s="138">
        <v>44965</v>
      </c>
      <c r="D96" s="444">
        <v>20230001016</v>
      </c>
      <c r="F96" s="429" t="s">
        <v>1778</v>
      </c>
      <c r="G96" s="440" t="s">
        <v>1779</v>
      </c>
      <c r="H96" s="440"/>
      <c r="I96" s="423" t="s">
        <v>1780</v>
      </c>
      <c r="J96" s="134">
        <v>115.58</v>
      </c>
      <c r="K96" s="134">
        <v>115.58</v>
      </c>
      <c r="L96" s="134">
        <v>5226.39</v>
      </c>
      <c r="M96" s="436">
        <f>-52+604118</f>
        <v>604066</v>
      </c>
      <c r="N96" s="437"/>
      <c r="O96" s="445">
        <v>554188.99</v>
      </c>
      <c r="P96" s="446" t="s">
        <v>1781</v>
      </c>
      <c r="Q96" s="448">
        <v>45656</v>
      </c>
      <c r="R96" s="359"/>
      <c r="S96" s="362"/>
      <c r="T96" s="426" t="s">
        <v>1782</v>
      </c>
      <c r="U96" s="416" t="s">
        <v>1783</v>
      </c>
      <c r="V96" s="359">
        <v>124118</v>
      </c>
      <c r="W96" s="138" t="s">
        <v>1481</v>
      </c>
      <c r="X96" s="359">
        <v>480000</v>
      </c>
      <c r="Y96" s="362" t="s">
        <v>1784</v>
      </c>
      <c r="Z96" s="359">
        <v>-52</v>
      </c>
      <c r="AA96" s="138"/>
      <c r="AB96" s="359"/>
      <c r="AC96" s="138"/>
      <c r="AD96" s="138"/>
      <c r="AE96" s="138"/>
      <c r="AF96" s="138"/>
      <c r="AG96" s="138"/>
      <c r="AH96" s="359">
        <f t="shared" si="13"/>
        <v>604066</v>
      </c>
      <c r="AK96" s="364">
        <f t="shared" si="15"/>
        <v>0</v>
      </c>
      <c r="AL96" s="429" t="s">
        <v>1785</v>
      </c>
      <c r="AM96" s="429"/>
      <c r="AN96" s="447"/>
      <c r="AO96" s="447"/>
      <c r="AP96" s="447"/>
      <c r="AQ96" s="365">
        <f>0.6%+0.1%+0.04%</f>
        <v>0.0074</v>
      </c>
      <c r="AR96" s="419">
        <f t="shared" si="14"/>
        <v>604118</v>
      </c>
      <c r="AS96" s="359">
        <f>100</f>
        <v>100</v>
      </c>
      <c r="AT96" s="359"/>
      <c r="AU96" s="359"/>
      <c r="AV96" s="359">
        <v>124118</v>
      </c>
      <c r="AW96" s="359"/>
      <c r="AX96" s="359"/>
      <c r="AY96" s="421"/>
      <c r="AZ96" s="422"/>
      <c r="BA96" s="359"/>
      <c r="BB96" s="359">
        <v>480000</v>
      </c>
      <c r="BC96" s="359"/>
      <c r="BD96" s="359"/>
      <c r="BE96" s="359"/>
      <c r="BZ96" s="134" t="s">
        <v>376</v>
      </c>
      <c r="CA96" s="134" t="s">
        <v>387</v>
      </c>
      <c r="CB96" s="134" t="s">
        <v>377</v>
      </c>
      <c r="CE96" s="149"/>
    </row>
    <row r="97" s="134" customFormat="1" customHeight="1" spans="1:83">
      <c r="A97" s="134">
        <v>55</v>
      </c>
      <c r="C97" s="138">
        <v>45040</v>
      </c>
      <c r="D97" s="444">
        <v>20230003632</v>
      </c>
      <c r="F97" s="429" t="s">
        <v>1786</v>
      </c>
      <c r="G97" s="440" t="s">
        <v>1787</v>
      </c>
      <c r="H97" s="440"/>
      <c r="I97" s="414" t="s">
        <v>1788</v>
      </c>
      <c r="J97" s="134">
        <v>115.94</v>
      </c>
      <c r="K97" s="134">
        <v>115.94</v>
      </c>
      <c r="L97" s="134">
        <v>5424.75</v>
      </c>
      <c r="M97" s="436">
        <f>-54+629000</f>
        <v>628946</v>
      </c>
      <c r="N97" s="437"/>
      <c r="O97" s="445">
        <v>577014.68</v>
      </c>
      <c r="P97" s="446" t="s">
        <v>1789</v>
      </c>
      <c r="Q97" s="448">
        <v>45656</v>
      </c>
      <c r="R97" s="359"/>
      <c r="S97" s="362"/>
      <c r="T97" s="440" t="s">
        <v>1787</v>
      </c>
      <c r="U97" s="440" t="s">
        <v>662</v>
      </c>
      <c r="V97" s="359">
        <v>20000</v>
      </c>
      <c r="W97" s="362" t="s">
        <v>1790</v>
      </c>
      <c r="X97" s="359">
        <v>169000</v>
      </c>
      <c r="Y97" s="138" t="s">
        <v>1791</v>
      </c>
      <c r="Z97" s="138">
        <v>440000</v>
      </c>
      <c r="AA97" s="138" t="s">
        <v>1126</v>
      </c>
      <c r="AB97" s="420">
        <v>-54</v>
      </c>
      <c r="AC97" s="420"/>
      <c r="AD97" s="138"/>
      <c r="AE97" s="138"/>
      <c r="AF97" s="138"/>
      <c r="AG97" s="138"/>
      <c r="AH97" s="359">
        <f t="shared" si="13"/>
        <v>628946</v>
      </c>
      <c r="AK97" s="364">
        <f t="shared" si="15"/>
        <v>0</v>
      </c>
      <c r="AL97" s="429" t="s">
        <v>1792</v>
      </c>
      <c r="AM97" s="429"/>
      <c r="AN97" s="447"/>
      <c r="AO97" s="447"/>
      <c r="AP97" s="447"/>
      <c r="AQ97" s="365">
        <f>0.5%+0.14%</f>
        <v>0.0064</v>
      </c>
      <c r="AR97" s="419">
        <f t="shared" si="14"/>
        <v>629000</v>
      </c>
      <c r="AS97" s="359">
        <v>100</v>
      </c>
      <c r="AT97" s="359"/>
      <c r="AU97" s="359"/>
      <c r="AV97" s="359"/>
      <c r="AW97" s="359"/>
      <c r="AX97" s="359">
        <v>189000</v>
      </c>
      <c r="AY97" s="421"/>
      <c r="AZ97" s="430">
        <v>440000</v>
      </c>
      <c r="BA97" s="359"/>
      <c r="BB97" s="359"/>
      <c r="BC97" s="359"/>
      <c r="BD97" s="359"/>
      <c r="BE97" s="359"/>
      <c r="BZ97" s="134" t="s">
        <v>376</v>
      </c>
      <c r="CA97" s="134" t="s">
        <v>387</v>
      </c>
      <c r="CB97" s="134" t="s">
        <v>377</v>
      </c>
      <c r="CE97" s="149"/>
    </row>
    <row r="98" s="134" customFormat="1" customHeight="1" spans="1:83">
      <c r="A98" s="134">
        <v>56</v>
      </c>
      <c r="C98" s="138">
        <v>44965</v>
      </c>
      <c r="D98" s="444">
        <v>20230001069</v>
      </c>
      <c r="F98" s="429" t="s">
        <v>1793</v>
      </c>
      <c r="G98" s="440" t="s">
        <v>1794</v>
      </c>
      <c r="H98" s="1008" t="s">
        <v>1795</v>
      </c>
      <c r="I98" s="423" t="s">
        <v>1796</v>
      </c>
      <c r="J98" s="134">
        <v>115.58</v>
      </c>
      <c r="K98" s="134">
        <v>115.58</v>
      </c>
      <c r="L98" s="134">
        <v>5271.38</v>
      </c>
      <c r="M98" s="436">
        <f>-53+609319</f>
        <v>609266</v>
      </c>
      <c r="N98" s="437"/>
      <c r="O98" s="445">
        <v>558959.63</v>
      </c>
      <c r="P98" s="446" t="s">
        <v>1797</v>
      </c>
      <c r="Q98" s="448">
        <v>45656</v>
      </c>
      <c r="R98" s="359"/>
      <c r="S98" s="362"/>
      <c r="T98" s="426" t="s">
        <v>1798</v>
      </c>
      <c r="U98" s="416" t="s">
        <v>1799</v>
      </c>
      <c r="V98" s="359">
        <v>189319</v>
      </c>
      <c r="W98" s="138" t="s">
        <v>1481</v>
      </c>
      <c r="X98" s="359">
        <v>20000</v>
      </c>
      <c r="Y98" s="134" t="s">
        <v>1384</v>
      </c>
      <c r="Z98" s="359">
        <v>400000</v>
      </c>
      <c r="AA98" s="138" t="s">
        <v>1451</v>
      </c>
      <c r="AB98" s="359">
        <v>-53</v>
      </c>
      <c r="AH98" s="359">
        <f t="shared" si="13"/>
        <v>609266</v>
      </c>
      <c r="AK98" s="364">
        <f t="shared" si="15"/>
        <v>0</v>
      </c>
      <c r="AL98" s="429" t="s">
        <v>1800</v>
      </c>
      <c r="AM98" s="429"/>
      <c r="AN98" s="447"/>
      <c r="AO98" s="447"/>
      <c r="AP98" s="447"/>
      <c r="AQ98" s="365">
        <f t="shared" ref="AQ98:AQ103" si="16">0.4%+0.04%+0.1%</f>
        <v>0.0054</v>
      </c>
      <c r="AR98" s="419">
        <f t="shared" si="14"/>
        <v>609319</v>
      </c>
      <c r="AS98" s="359">
        <v>100</v>
      </c>
      <c r="AT98" s="359"/>
      <c r="AU98" s="359"/>
      <c r="AV98" s="359">
        <v>189319</v>
      </c>
      <c r="AW98" s="359">
        <v>420000</v>
      </c>
      <c r="AX98" s="359"/>
      <c r="AY98" s="421"/>
      <c r="AZ98" s="422"/>
      <c r="BA98" s="359"/>
      <c r="BB98" s="359"/>
      <c r="BC98" s="359"/>
      <c r="BD98" s="359"/>
      <c r="BE98" s="359"/>
      <c r="BZ98" s="134" t="s">
        <v>376</v>
      </c>
      <c r="CA98" s="134" t="s">
        <v>387</v>
      </c>
      <c r="CB98" s="134" t="s">
        <v>377</v>
      </c>
      <c r="CE98" s="149"/>
    </row>
    <row r="99" s="134" customFormat="1" customHeight="1" spans="1:83">
      <c r="A99" s="134">
        <v>57</v>
      </c>
      <c r="C99" s="138">
        <v>45017</v>
      </c>
      <c r="D99" s="444">
        <v>20230003012</v>
      </c>
      <c r="F99" s="429" t="s">
        <v>1801</v>
      </c>
      <c r="G99" s="143" t="s">
        <v>1802</v>
      </c>
      <c r="H99" s="1010" t="s">
        <v>1803</v>
      </c>
      <c r="I99" s="414" t="s">
        <v>1804</v>
      </c>
      <c r="J99" s="134">
        <v>115.94</v>
      </c>
      <c r="K99" s="134">
        <v>115.94</v>
      </c>
      <c r="L99" s="134">
        <v>5285.38</v>
      </c>
      <c r="M99" s="436">
        <f>-53+612840</f>
        <v>612787</v>
      </c>
      <c r="N99" s="437"/>
      <c r="O99" s="445">
        <v>562189.91</v>
      </c>
      <c r="P99" s="446" t="s">
        <v>1805</v>
      </c>
      <c r="Q99" s="448">
        <v>45656</v>
      </c>
      <c r="R99" s="359"/>
      <c r="S99" s="362"/>
      <c r="T99" s="363" t="s">
        <v>1806</v>
      </c>
      <c r="U99" s="362" t="s">
        <v>1807</v>
      </c>
      <c r="V99" s="359">
        <v>2000</v>
      </c>
      <c r="W99" s="138">
        <v>44759</v>
      </c>
      <c r="X99" s="359">
        <v>18000</v>
      </c>
      <c r="Y99" s="438" t="s">
        <v>1398</v>
      </c>
      <c r="Z99" s="359">
        <f>8000+164840</f>
        <v>172840</v>
      </c>
      <c r="AA99" s="134" t="s">
        <v>1808</v>
      </c>
      <c r="AB99" s="359">
        <v>420000</v>
      </c>
      <c r="AC99" s="362" t="s">
        <v>1809</v>
      </c>
      <c r="AD99" s="134">
        <v>-53</v>
      </c>
      <c r="AH99" s="359">
        <f t="shared" si="13"/>
        <v>612787</v>
      </c>
      <c r="AK99" s="364">
        <f t="shared" si="15"/>
        <v>0</v>
      </c>
      <c r="AL99" s="429" t="s">
        <v>1810</v>
      </c>
      <c r="AM99" s="429"/>
      <c r="AN99" s="447"/>
      <c r="AO99" s="447"/>
      <c r="AP99" s="447"/>
      <c r="AQ99" s="365">
        <f>0.6%+0.1%</f>
        <v>0.007</v>
      </c>
      <c r="AR99" s="419">
        <f t="shared" si="14"/>
        <v>612840</v>
      </c>
      <c r="AS99" s="359"/>
      <c r="AT99" s="359">
        <v>100</v>
      </c>
      <c r="AU99" s="359"/>
      <c r="AV99" s="359"/>
      <c r="AW99" s="359"/>
      <c r="AX99" s="359">
        <v>192840</v>
      </c>
      <c r="AY99" s="421"/>
      <c r="AZ99" s="422"/>
      <c r="BA99" s="359">
        <v>420000</v>
      </c>
      <c r="BB99" s="359"/>
      <c r="BC99" s="359"/>
      <c r="BD99" s="359"/>
      <c r="BE99" s="359"/>
      <c r="BZ99" s="134" t="s">
        <v>376</v>
      </c>
      <c r="CA99" s="134" t="s">
        <v>387</v>
      </c>
      <c r="CB99" s="134" t="s">
        <v>377</v>
      </c>
      <c r="CE99" s="149"/>
    </row>
    <row r="100" s="134" customFormat="1" customHeight="1" spans="1:83">
      <c r="A100" s="134">
        <v>58</v>
      </c>
      <c r="C100" s="138">
        <v>45040</v>
      </c>
      <c r="D100" s="444">
        <v>20230003627</v>
      </c>
      <c r="F100" s="429" t="s">
        <v>1811</v>
      </c>
      <c r="G100" s="143" t="s">
        <v>1812</v>
      </c>
      <c r="H100" s="1010" t="s">
        <v>1813</v>
      </c>
      <c r="I100" s="414" t="s">
        <v>1814</v>
      </c>
      <c r="J100" s="134">
        <v>115.58</v>
      </c>
      <c r="K100" s="134">
        <v>115.58</v>
      </c>
      <c r="L100" s="134">
        <v>5316.38</v>
      </c>
      <c r="M100" s="436">
        <f>-53+614521</f>
        <v>614468</v>
      </c>
      <c r="N100" s="437"/>
      <c r="O100" s="445">
        <v>563732.11</v>
      </c>
      <c r="P100" s="446" t="s">
        <v>1815</v>
      </c>
      <c r="Q100" s="448">
        <v>45656</v>
      </c>
      <c r="R100" s="359"/>
      <c r="S100" s="416"/>
      <c r="T100" s="426" t="s">
        <v>1816</v>
      </c>
      <c r="U100" s="416" t="s">
        <v>1817</v>
      </c>
      <c r="V100" s="359">
        <f>2000</f>
        <v>2000</v>
      </c>
      <c r="W100" s="413">
        <v>44755</v>
      </c>
      <c r="X100" s="359">
        <v>18000</v>
      </c>
      <c r="Y100" s="438" t="s">
        <v>1398</v>
      </c>
      <c r="Z100" s="359">
        <v>594521</v>
      </c>
      <c r="AA100" s="134" t="s">
        <v>1791</v>
      </c>
      <c r="AB100" s="359">
        <v>-53</v>
      </c>
      <c r="AH100" s="359">
        <f t="shared" si="13"/>
        <v>614468</v>
      </c>
      <c r="AK100" s="364">
        <f t="shared" si="15"/>
        <v>0</v>
      </c>
      <c r="AL100" s="429" t="s">
        <v>1818</v>
      </c>
      <c r="AM100" s="429"/>
      <c r="AN100" s="447"/>
      <c r="AO100" s="447"/>
      <c r="AP100" s="447"/>
      <c r="AQ100" s="365">
        <f>0.6%+0.1%</f>
        <v>0.007</v>
      </c>
      <c r="AR100" s="419">
        <f t="shared" si="14"/>
        <v>614521</v>
      </c>
      <c r="AS100" s="359">
        <f t="shared" ref="AS100:AS103" si="17">100</f>
        <v>100</v>
      </c>
      <c r="AT100" s="359">
        <v>100</v>
      </c>
      <c r="AU100" s="359"/>
      <c r="AV100" s="359"/>
      <c r="AW100" s="359"/>
      <c r="AX100" s="359">
        <v>614521</v>
      </c>
      <c r="AY100" s="421"/>
      <c r="AZ100" s="422"/>
      <c r="BA100" s="359"/>
      <c r="BB100" s="359"/>
      <c r="BC100" s="359"/>
      <c r="BD100" s="359"/>
      <c r="BE100" s="359"/>
      <c r="BZ100" s="134" t="s">
        <v>376</v>
      </c>
      <c r="CA100" s="134" t="s">
        <v>387</v>
      </c>
      <c r="CB100" s="134" t="s">
        <v>377</v>
      </c>
      <c r="CE100" s="149"/>
    </row>
    <row r="101" s="134" customFormat="1" customHeight="1" spans="1:83">
      <c r="A101" s="134">
        <v>59</v>
      </c>
      <c r="C101" s="138">
        <v>44967</v>
      </c>
      <c r="D101" s="444">
        <v>20230001361</v>
      </c>
      <c r="F101" s="429" t="s">
        <v>1819</v>
      </c>
      <c r="G101" s="143" t="s">
        <v>1820</v>
      </c>
      <c r="H101" s="143"/>
      <c r="I101" s="414" t="s">
        <v>1821</v>
      </c>
      <c r="J101" s="134">
        <v>115.94</v>
      </c>
      <c r="K101" s="134">
        <v>115.94</v>
      </c>
      <c r="L101" s="134">
        <v>5412.4</v>
      </c>
      <c r="M101" s="436">
        <f>-54+627568</f>
        <v>627514</v>
      </c>
      <c r="N101" s="437"/>
      <c r="O101" s="445">
        <v>575700.92</v>
      </c>
      <c r="P101" s="446" t="s">
        <v>1822</v>
      </c>
      <c r="Q101" s="448">
        <v>45656</v>
      </c>
      <c r="R101" s="359"/>
      <c r="S101" s="362"/>
      <c r="T101" s="143" t="s">
        <v>1820</v>
      </c>
      <c r="U101" s="143" t="s">
        <v>1820</v>
      </c>
      <c r="V101" s="359">
        <v>20000</v>
      </c>
      <c r="W101" s="138" t="s">
        <v>1377</v>
      </c>
      <c r="X101" s="359">
        <v>177568</v>
      </c>
      <c r="Y101" s="438" t="s">
        <v>1346</v>
      </c>
      <c r="Z101" s="359">
        <v>430000</v>
      </c>
      <c r="AA101" s="134" t="s">
        <v>1434</v>
      </c>
      <c r="AB101" s="359">
        <v>-54</v>
      </c>
      <c r="AH101" s="359">
        <f t="shared" si="13"/>
        <v>627514</v>
      </c>
      <c r="AK101" s="364">
        <f t="shared" si="15"/>
        <v>0</v>
      </c>
      <c r="AL101" s="429" t="s">
        <v>1823</v>
      </c>
      <c r="AM101" s="429"/>
      <c r="AN101" s="447"/>
      <c r="AO101" s="447"/>
      <c r="AP101" s="447"/>
      <c r="AQ101" s="365">
        <f>0.6%+0.06%+0.14%</f>
        <v>0.008</v>
      </c>
      <c r="AR101" s="419">
        <f t="shared" si="14"/>
        <v>627568</v>
      </c>
      <c r="AS101" s="359"/>
      <c r="AT101" s="359"/>
      <c r="AU101" s="359"/>
      <c r="AV101" s="359">
        <v>197568</v>
      </c>
      <c r="AW101" s="359"/>
      <c r="AX101" s="359"/>
      <c r="AY101" s="421"/>
      <c r="AZ101" s="430">
        <v>430000</v>
      </c>
      <c r="BA101" s="359"/>
      <c r="BB101" s="359"/>
      <c r="BC101" s="359"/>
      <c r="BD101" s="359"/>
      <c r="BE101" s="359"/>
      <c r="BZ101" s="134" t="s">
        <v>376</v>
      </c>
      <c r="CA101" s="134" t="s">
        <v>387</v>
      </c>
      <c r="CB101" s="134" t="s">
        <v>377</v>
      </c>
      <c r="CE101" s="149"/>
    </row>
    <row r="102" s="134" customFormat="1" customHeight="1" spans="1:83">
      <c r="A102" s="134">
        <v>60</v>
      </c>
      <c r="C102" s="138">
        <v>44963</v>
      </c>
      <c r="D102" s="444">
        <v>20230000787</v>
      </c>
      <c r="F102" s="429" t="s">
        <v>1824</v>
      </c>
      <c r="G102" s="143" t="s">
        <v>1825</v>
      </c>
      <c r="H102" s="1010" t="s">
        <v>1826</v>
      </c>
      <c r="I102" s="414" t="s">
        <v>1827</v>
      </c>
      <c r="J102" s="134">
        <v>115.58</v>
      </c>
      <c r="K102" s="134">
        <v>115.58</v>
      </c>
      <c r="L102" s="134">
        <v>5341.38</v>
      </c>
      <c r="M102" s="436">
        <f>-53+617410</f>
        <v>617357</v>
      </c>
      <c r="N102" s="437"/>
      <c r="O102" s="445">
        <v>566382.57</v>
      </c>
      <c r="P102" s="446" t="s">
        <v>1828</v>
      </c>
      <c r="Q102" s="448">
        <v>45656</v>
      </c>
      <c r="R102" s="359"/>
      <c r="S102" s="416"/>
      <c r="T102" s="426" t="s">
        <v>1829</v>
      </c>
      <c r="U102" s="416" t="s">
        <v>1830</v>
      </c>
      <c r="V102" s="359">
        <v>187410</v>
      </c>
      <c r="W102" s="134" t="s">
        <v>1416</v>
      </c>
      <c r="X102" s="359">
        <v>430000</v>
      </c>
      <c r="Y102" s="438" t="s">
        <v>1118</v>
      </c>
      <c r="Z102" s="359">
        <v>-53</v>
      </c>
      <c r="AA102" s="138">
        <v>45909</v>
      </c>
      <c r="AB102" s="359"/>
      <c r="AH102" s="359">
        <f t="shared" si="13"/>
        <v>617357</v>
      </c>
      <c r="AK102" s="364">
        <f t="shared" si="15"/>
        <v>0</v>
      </c>
      <c r="AL102" s="429" t="s">
        <v>1831</v>
      </c>
      <c r="AM102" s="429"/>
      <c r="AN102" s="447"/>
      <c r="AO102" s="447"/>
      <c r="AP102" s="447"/>
      <c r="AQ102" s="365">
        <f t="shared" si="16"/>
        <v>0.0054</v>
      </c>
      <c r="AR102" s="419">
        <f t="shared" si="14"/>
        <v>617410</v>
      </c>
      <c r="AS102" s="359">
        <f t="shared" si="17"/>
        <v>100</v>
      </c>
      <c r="AT102" s="359">
        <v>100</v>
      </c>
      <c r="AU102" s="359"/>
      <c r="AV102" s="359">
        <v>187410</v>
      </c>
      <c r="AW102" s="359">
        <v>430000</v>
      </c>
      <c r="AX102" s="359"/>
      <c r="AY102" s="421"/>
      <c r="AZ102" s="422"/>
      <c r="BA102" s="359"/>
      <c r="BB102" s="359"/>
      <c r="BC102" s="359"/>
      <c r="BD102" s="359"/>
      <c r="BE102" s="359"/>
      <c r="BZ102" s="134" t="s">
        <v>376</v>
      </c>
      <c r="CA102" s="134" t="s">
        <v>387</v>
      </c>
      <c r="CB102" s="134" t="s">
        <v>377</v>
      </c>
      <c r="CE102" s="149"/>
    </row>
    <row r="103" s="134" customFormat="1" customHeight="1" spans="1:83">
      <c r="A103" s="134">
        <v>61</v>
      </c>
      <c r="C103" s="138">
        <v>44966</v>
      </c>
      <c r="D103" s="444">
        <v>20230001189</v>
      </c>
      <c r="F103" s="429" t="s">
        <v>1832</v>
      </c>
      <c r="G103" s="134" t="s">
        <v>1833</v>
      </c>
      <c r="H103" s="1006" t="s">
        <v>1834</v>
      </c>
      <c r="I103" s="423" t="s">
        <v>1835</v>
      </c>
      <c r="J103" s="134">
        <v>115.94</v>
      </c>
      <c r="K103" s="134">
        <v>115.94</v>
      </c>
      <c r="L103" s="134">
        <v>5377.38</v>
      </c>
      <c r="M103" s="436">
        <f>-54+623508</f>
        <v>623454</v>
      </c>
      <c r="N103" s="437"/>
      <c r="O103" s="445">
        <v>571976.15</v>
      </c>
      <c r="P103" s="446" t="s">
        <v>1836</v>
      </c>
      <c r="Q103" s="448">
        <v>45656</v>
      </c>
      <c r="R103" s="359"/>
      <c r="S103" s="362"/>
      <c r="T103" s="426" t="s">
        <v>1837</v>
      </c>
      <c r="U103" s="416" t="s">
        <v>1838</v>
      </c>
      <c r="V103" s="359">
        <v>167508</v>
      </c>
      <c r="W103" s="438" t="s">
        <v>1377</v>
      </c>
      <c r="X103" s="359">
        <v>20000</v>
      </c>
      <c r="Y103" s="438" t="s">
        <v>1839</v>
      </c>
      <c r="Z103" s="359">
        <v>436000</v>
      </c>
      <c r="AA103" s="134" t="s">
        <v>926</v>
      </c>
      <c r="AB103" s="359">
        <v>-54</v>
      </c>
      <c r="AH103" s="359">
        <f t="shared" si="13"/>
        <v>623454</v>
      </c>
      <c r="AK103" s="364">
        <f t="shared" si="15"/>
        <v>0</v>
      </c>
      <c r="AL103" s="429" t="s">
        <v>1840</v>
      </c>
      <c r="AM103" s="429"/>
      <c r="AN103" s="447"/>
      <c r="AO103" s="447"/>
      <c r="AP103" s="447"/>
      <c r="AQ103" s="365">
        <f t="shared" si="16"/>
        <v>0.0054</v>
      </c>
      <c r="AR103" s="419">
        <f t="shared" si="14"/>
        <v>623508</v>
      </c>
      <c r="AS103" s="359">
        <f t="shared" si="17"/>
        <v>100</v>
      </c>
      <c r="AT103" s="359"/>
      <c r="AU103" s="359"/>
      <c r="AV103" s="359">
        <v>187508</v>
      </c>
      <c r="AW103" s="359">
        <v>436000</v>
      </c>
      <c r="AX103" s="359"/>
      <c r="AY103" s="421"/>
      <c r="AZ103" s="422"/>
      <c r="BA103" s="359"/>
      <c r="BB103" s="359"/>
      <c r="BC103" s="359"/>
      <c r="BD103" s="359"/>
      <c r="BE103" s="359"/>
      <c r="BZ103" s="134" t="s">
        <v>376</v>
      </c>
      <c r="CA103" s="134" t="s">
        <v>387</v>
      </c>
      <c r="CB103" s="134" t="s">
        <v>377</v>
      </c>
      <c r="CE103" s="149"/>
    </row>
    <row r="104" s="134" customFormat="1" customHeight="1" spans="1:83">
      <c r="A104" s="134">
        <v>62</v>
      </c>
      <c r="C104" s="138">
        <v>44966</v>
      </c>
      <c r="D104" s="444">
        <v>20230001249</v>
      </c>
      <c r="F104" s="429" t="s">
        <v>1841</v>
      </c>
      <c r="G104" s="143" t="s">
        <v>1684</v>
      </c>
      <c r="H104" s="143"/>
      <c r="I104" s="414" t="s">
        <v>1842</v>
      </c>
      <c r="J104" s="134">
        <v>115.58</v>
      </c>
      <c r="K104" s="134">
        <v>115.58</v>
      </c>
      <c r="L104" s="134">
        <v>5534.04</v>
      </c>
      <c r="M104" s="436">
        <f>-55+639680</f>
        <v>639625</v>
      </c>
      <c r="N104" s="437"/>
      <c r="O104" s="445">
        <v>586811.93</v>
      </c>
      <c r="P104" s="446" t="s">
        <v>1843</v>
      </c>
      <c r="Q104" s="448">
        <v>45656</v>
      </c>
      <c r="R104" s="359"/>
      <c r="S104" s="362"/>
      <c r="T104" s="362" t="s">
        <v>1684</v>
      </c>
      <c r="U104" s="362" t="s">
        <v>1684</v>
      </c>
      <c r="V104" s="359">
        <v>20000</v>
      </c>
      <c r="W104" s="138" t="s">
        <v>1442</v>
      </c>
      <c r="X104" s="359">
        <v>619680</v>
      </c>
      <c r="Y104" s="438" t="s">
        <v>1377</v>
      </c>
      <c r="Z104" s="359">
        <v>-55</v>
      </c>
      <c r="AB104" s="359"/>
      <c r="AH104" s="359">
        <f t="shared" si="13"/>
        <v>639625</v>
      </c>
      <c r="AK104" s="364">
        <f t="shared" si="15"/>
        <v>0</v>
      </c>
      <c r="AL104" s="429" t="s">
        <v>1844</v>
      </c>
      <c r="AM104" s="429"/>
      <c r="AN104" s="447"/>
      <c r="AO104" s="447"/>
      <c r="AP104" s="447"/>
      <c r="AQ104" s="365">
        <f>0.5%+0.05%+0.14%</f>
        <v>0.0069</v>
      </c>
      <c r="AR104" s="419">
        <f t="shared" si="14"/>
        <v>639680</v>
      </c>
      <c r="AS104" s="359"/>
      <c r="AT104" s="359">
        <v>100</v>
      </c>
      <c r="AU104" s="359"/>
      <c r="AV104" s="359">
        <v>639680</v>
      </c>
      <c r="AW104" s="359"/>
      <c r="AX104" s="359"/>
      <c r="AY104" s="421"/>
      <c r="AZ104" s="422"/>
      <c r="BA104" s="359"/>
      <c r="BB104" s="359"/>
      <c r="BC104" s="359"/>
      <c r="BD104" s="359"/>
      <c r="BE104" s="359"/>
      <c r="BZ104" s="134" t="s">
        <v>376</v>
      </c>
      <c r="CA104" s="134" t="s">
        <v>387</v>
      </c>
      <c r="CB104" s="134" t="s">
        <v>377</v>
      </c>
      <c r="CE104" s="149"/>
    </row>
    <row r="105" s="134" customFormat="1" customHeight="1" spans="1:83">
      <c r="A105" s="134">
        <v>63</v>
      </c>
      <c r="C105" s="138">
        <v>44968</v>
      </c>
      <c r="D105" s="444">
        <v>20230001425</v>
      </c>
      <c r="F105" s="429" t="s">
        <v>1845</v>
      </c>
      <c r="G105" s="134" t="s">
        <v>1846</v>
      </c>
      <c r="I105" s="423" t="s">
        <v>1847</v>
      </c>
      <c r="J105" s="134">
        <v>115.94</v>
      </c>
      <c r="K105" s="134">
        <v>115.94</v>
      </c>
      <c r="L105" s="134">
        <v>5528.81</v>
      </c>
      <c r="M105" s="436">
        <f>-55+641066</f>
        <v>641011</v>
      </c>
      <c r="N105" s="437"/>
      <c r="O105" s="445">
        <v>588083.49</v>
      </c>
      <c r="P105" s="446" t="s">
        <v>1848</v>
      </c>
      <c r="Q105" s="448">
        <v>45656</v>
      </c>
      <c r="R105" s="359"/>
      <c r="S105" s="362"/>
      <c r="T105" s="416" t="s">
        <v>1846</v>
      </c>
      <c r="U105" s="416" t="s">
        <v>1846</v>
      </c>
      <c r="V105" s="359">
        <f>52066</f>
        <v>52066</v>
      </c>
      <c r="W105" s="413" t="s">
        <v>1346</v>
      </c>
      <c r="X105" s="359">
        <v>90000</v>
      </c>
      <c r="Y105" s="438" t="s">
        <v>1348</v>
      </c>
      <c r="Z105" s="359">
        <v>499000</v>
      </c>
      <c r="AA105" s="362" t="s">
        <v>928</v>
      </c>
      <c r="AB105" s="359">
        <v>-55</v>
      </c>
      <c r="AH105" s="359">
        <f t="shared" si="13"/>
        <v>641011</v>
      </c>
      <c r="AK105" s="364">
        <f t="shared" si="15"/>
        <v>0</v>
      </c>
      <c r="AL105" s="429"/>
      <c r="AM105" s="429"/>
      <c r="AN105" s="447"/>
      <c r="AO105" s="447"/>
      <c r="AP105" s="447"/>
      <c r="AQ105" s="365">
        <f>0.5%+0.05%+0.14%</f>
        <v>0.0069</v>
      </c>
      <c r="AR105" s="419">
        <f t="shared" si="14"/>
        <v>641066</v>
      </c>
      <c r="AS105" s="359">
        <f>100</f>
        <v>100</v>
      </c>
      <c r="AT105" s="359"/>
      <c r="AU105" s="359"/>
      <c r="AV105" s="359">
        <v>142066</v>
      </c>
      <c r="AW105" s="359"/>
      <c r="AX105" s="359"/>
      <c r="AY105" s="421"/>
      <c r="AZ105" s="422"/>
      <c r="BA105" s="359">
        <v>499000</v>
      </c>
      <c r="BB105" s="359"/>
      <c r="BC105" s="359"/>
      <c r="BD105" s="359"/>
      <c r="BE105" s="359"/>
      <c r="BZ105" s="134" t="s">
        <v>376</v>
      </c>
      <c r="CA105" s="134" t="s">
        <v>387</v>
      </c>
      <c r="CB105" s="134" t="s">
        <v>377</v>
      </c>
      <c r="CE105" s="149"/>
    </row>
    <row r="106" s="134" customFormat="1" customHeight="1" spans="1:83">
      <c r="A106" s="134">
        <v>64</v>
      </c>
      <c r="C106" s="138">
        <v>44963</v>
      </c>
      <c r="D106" s="444">
        <v>20230000845</v>
      </c>
      <c r="F106" s="429" t="s">
        <v>1849</v>
      </c>
      <c r="G106" s="134" t="s">
        <v>1850</v>
      </c>
      <c r="H106" s="1006" t="s">
        <v>1851</v>
      </c>
      <c r="I106" s="414" t="s">
        <v>1852</v>
      </c>
      <c r="J106" s="134">
        <v>115.58</v>
      </c>
      <c r="K106" s="134">
        <v>115.58</v>
      </c>
      <c r="L106" s="134">
        <v>5406.38</v>
      </c>
      <c r="M106" s="436">
        <f>-54+624924</f>
        <v>624870</v>
      </c>
      <c r="N106" s="437"/>
      <c r="O106" s="445">
        <v>573275.23</v>
      </c>
      <c r="P106" s="446" t="s">
        <v>1853</v>
      </c>
      <c r="Q106" s="361">
        <v>45652</v>
      </c>
      <c r="R106" s="359"/>
      <c r="S106" s="362"/>
      <c r="T106" s="363" t="s">
        <v>1854</v>
      </c>
      <c r="U106" s="362" t="s">
        <v>1855</v>
      </c>
      <c r="V106" s="359">
        <v>187924</v>
      </c>
      <c r="W106" s="438" t="s">
        <v>1416</v>
      </c>
      <c r="X106" s="359">
        <v>437000</v>
      </c>
      <c r="Y106" s="438" t="s">
        <v>1856</v>
      </c>
      <c r="Z106" s="359">
        <v>-54</v>
      </c>
      <c r="AB106" s="359"/>
      <c r="AH106" s="359">
        <f t="shared" si="13"/>
        <v>624870</v>
      </c>
      <c r="AK106" s="364">
        <f t="shared" si="15"/>
        <v>0</v>
      </c>
      <c r="AL106" s="429" t="s">
        <v>1857</v>
      </c>
      <c r="AM106" s="429"/>
      <c r="AN106" s="447"/>
      <c r="AO106" s="447"/>
      <c r="AP106" s="447"/>
      <c r="AQ106" s="365">
        <f>0.4%+0.04%+0.1%</f>
        <v>0.0054</v>
      </c>
      <c r="AR106" s="419">
        <f t="shared" si="14"/>
        <v>624924</v>
      </c>
      <c r="AS106" s="359"/>
      <c r="AT106" s="359">
        <v>100</v>
      </c>
      <c r="AU106" s="359"/>
      <c r="AV106" s="359">
        <v>187924</v>
      </c>
      <c r="AW106" s="359">
        <v>437000</v>
      </c>
      <c r="AX106" s="359"/>
      <c r="AY106" s="421"/>
      <c r="AZ106" s="422"/>
      <c r="BA106" s="359"/>
      <c r="BB106" s="359"/>
      <c r="BC106" s="359"/>
      <c r="BD106" s="359"/>
      <c r="BE106" s="359"/>
      <c r="BZ106" s="134" t="s">
        <v>376</v>
      </c>
      <c r="CA106" s="134" t="s">
        <v>387</v>
      </c>
      <c r="CB106" s="134" t="s">
        <v>377</v>
      </c>
      <c r="CE106" s="149"/>
    </row>
    <row r="107" s="134" customFormat="1" customHeight="1" spans="1:83">
      <c r="A107" s="134">
        <v>65</v>
      </c>
      <c r="C107" s="138">
        <v>44964</v>
      </c>
      <c r="D107" s="444">
        <v>20230000975</v>
      </c>
      <c r="F107" s="429" t="s">
        <v>1858</v>
      </c>
      <c r="G107" s="440" t="s">
        <v>1859</v>
      </c>
      <c r="H107" s="1010" t="s">
        <v>1860</v>
      </c>
      <c r="I107" s="423" t="s">
        <v>1861</v>
      </c>
      <c r="J107" s="134">
        <v>115.94</v>
      </c>
      <c r="K107" s="134">
        <v>115.94</v>
      </c>
      <c r="L107" s="134">
        <v>6560.42</v>
      </c>
      <c r="M107" s="436">
        <f>-66+760681</f>
        <v>760615</v>
      </c>
      <c r="N107" s="437"/>
      <c r="O107" s="445">
        <v>697811.93</v>
      </c>
      <c r="P107" s="446" t="s">
        <v>1862</v>
      </c>
      <c r="Q107" s="448">
        <v>45656</v>
      </c>
      <c r="R107" s="359"/>
      <c r="S107" s="416"/>
      <c r="T107" s="426" t="s">
        <v>1863</v>
      </c>
      <c r="U107" s="416" t="s">
        <v>1864</v>
      </c>
      <c r="V107" s="359">
        <v>460681</v>
      </c>
      <c r="W107" s="134" t="s">
        <v>1442</v>
      </c>
      <c r="X107" s="359">
        <v>300000</v>
      </c>
      <c r="Y107" s="134" t="s">
        <v>1384</v>
      </c>
      <c r="Z107" s="359">
        <v>-66</v>
      </c>
      <c r="AA107" s="138">
        <v>45909</v>
      </c>
      <c r="AB107" s="359"/>
      <c r="AH107" s="359">
        <f t="shared" si="13"/>
        <v>760615</v>
      </c>
      <c r="AK107" s="364">
        <f t="shared" si="15"/>
        <v>0</v>
      </c>
      <c r="AL107" s="429" t="s">
        <v>1865</v>
      </c>
      <c r="AM107" s="429"/>
      <c r="AN107" s="447"/>
      <c r="AO107" s="447"/>
      <c r="AP107" s="447"/>
      <c r="AQ107" s="365">
        <f>0.6%+0.1%</f>
        <v>0.007</v>
      </c>
      <c r="AR107" s="419">
        <f t="shared" si="14"/>
        <v>760681</v>
      </c>
      <c r="AS107" s="359"/>
      <c r="AT107" s="359">
        <f>100+100</f>
        <v>200</v>
      </c>
      <c r="AU107" s="359"/>
      <c r="AV107" s="359">
        <v>760681</v>
      </c>
      <c r="AW107" s="359"/>
      <c r="AX107" s="359"/>
      <c r="AY107" s="421"/>
      <c r="AZ107" s="422"/>
      <c r="BA107" s="359"/>
      <c r="BB107" s="359"/>
      <c r="BC107" s="359"/>
      <c r="BD107" s="359"/>
      <c r="BE107" s="359"/>
      <c r="BZ107" s="134" t="s">
        <v>376</v>
      </c>
      <c r="CA107" s="134" t="s">
        <v>387</v>
      </c>
      <c r="CB107" s="134" t="s">
        <v>377</v>
      </c>
      <c r="CE107" s="149"/>
    </row>
    <row r="108" s="134" customFormat="1" customHeight="1" spans="1:83">
      <c r="A108" s="134">
        <v>66</v>
      </c>
      <c r="C108" s="138">
        <v>45204</v>
      </c>
      <c r="D108" s="444">
        <v>20230008735</v>
      </c>
      <c r="F108" s="429" t="s">
        <v>1866</v>
      </c>
      <c r="G108" s="143" t="s">
        <v>1867</v>
      </c>
      <c r="H108" s="1010" t="s">
        <v>1868</v>
      </c>
      <c r="I108" s="414" t="s">
        <v>1869</v>
      </c>
      <c r="J108" s="134">
        <v>115.58</v>
      </c>
      <c r="K108" s="134">
        <v>115.58</v>
      </c>
      <c r="L108" s="134">
        <v>6630</v>
      </c>
      <c r="M108" s="436">
        <f>-66+766362</f>
        <v>766296</v>
      </c>
      <c r="N108" s="437">
        <v>6566.42</v>
      </c>
      <c r="O108" s="445">
        <v>703023.85</v>
      </c>
      <c r="P108" s="446" t="s">
        <v>1870</v>
      </c>
      <c r="Q108" s="448">
        <v>45716</v>
      </c>
      <c r="R108" s="359"/>
      <c r="S108" s="362"/>
      <c r="T108" s="362" t="s">
        <v>1867</v>
      </c>
      <c r="U108" s="362" t="s">
        <v>524</v>
      </c>
      <c r="V108" s="359">
        <v>20000</v>
      </c>
      <c r="W108" s="138" t="s">
        <v>1871</v>
      </c>
      <c r="X108" s="359">
        <v>100000</v>
      </c>
      <c r="Y108" s="438" t="s">
        <v>1354</v>
      </c>
      <c r="Z108" s="359">
        <v>400000</v>
      </c>
      <c r="AA108" s="362" t="s">
        <v>1035</v>
      </c>
      <c r="AB108" s="359">
        <v>100000</v>
      </c>
      <c r="AC108" s="362" t="s">
        <v>1872</v>
      </c>
      <c r="AD108" s="134">
        <v>146362</v>
      </c>
      <c r="AE108" s="134" t="s">
        <v>1016</v>
      </c>
      <c r="AF108" s="134">
        <v>-66</v>
      </c>
      <c r="AG108" s="138">
        <v>45909</v>
      </c>
      <c r="AH108" s="359">
        <f t="shared" si="13"/>
        <v>766296</v>
      </c>
      <c r="AK108" s="364">
        <f t="shared" si="15"/>
        <v>0</v>
      </c>
      <c r="AL108" s="429" t="s">
        <v>1873</v>
      </c>
      <c r="AM108" s="429"/>
      <c r="AN108" s="447"/>
      <c r="AO108" s="447"/>
      <c r="AP108" s="447"/>
      <c r="AQ108" s="365">
        <f t="shared" ref="AQ108:AQ110" si="18">0.6%+0.06%+0.14%</f>
        <v>0.008</v>
      </c>
      <c r="AR108" s="419">
        <f t="shared" si="14"/>
        <v>766362</v>
      </c>
      <c r="AS108" s="359"/>
      <c r="AT108" s="359"/>
      <c r="AU108" s="359"/>
      <c r="AV108" s="359"/>
      <c r="AW108" s="359"/>
      <c r="AX108" s="359"/>
      <c r="AY108" s="218"/>
      <c r="AZ108" s="292"/>
      <c r="BA108" s="359"/>
      <c r="BB108" s="359"/>
      <c r="BC108" s="359"/>
      <c r="BD108" s="359"/>
      <c r="BE108" s="359"/>
      <c r="BG108" s="134">
        <v>766362</v>
      </c>
      <c r="BZ108" s="134" t="s">
        <v>376</v>
      </c>
      <c r="CA108" s="134" t="s">
        <v>387</v>
      </c>
      <c r="CB108" s="134" t="s">
        <v>377</v>
      </c>
      <c r="CE108" s="149"/>
    </row>
    <row r="109" s="134" customFormat="1" ht="45" customHeight="1" spans="1:83">
      <c r="A109" s="134">
        <v>67</v>
      </c>
      <c r="C109" s="138">
        <v>44999</v>
      </c>
      <c r="D109" s="444">
        <v>20230002408</v>
      </c>
      <c r="F109" s="429" t="s">
        <v>792</v>
      </c>
      <c r="G109" s="143" t="s">
        <v>1874</v>
      </c>
      <c r="H109" s="1010" t="s">
        <v>1875</v>
      </c>
      <c r="I109" s="423" t="s">
        <v>1876</v>
      </c>
      <c r="J109" s="134">
        <v>117.14</v>
      </c>
      <c r="K109" s="134">
        <v>117.14</v>
      </c>
      <c r="L109" s="134">
        <v>8050</v>
      </c>
      <c r="M109" s="436">
        <v>942977</v>
      </c>
      <c r="N109" s="437">
        <v>8047</v>
      </c>
      <c r="O109" s="445">
        <v>865116.51</v>
      </c>
      <c r="P109" s="446" t="s">
        <v>1877</v>
      </c>
      <c r="Q109" s="448">
        <v>45617</v>
      </c>
      <c r="R109" s="359"/>
      <c r="S109" s="362"/>
      <c r="T109" s="416" t="s">
        <v>793</v>
      </c>
      <c r="U109" s="416" t="s">
        <v>793</v>
      </c>
      <c r="V109" s="359">
        <f>2000-2000</f>
        <v>0</v>
      </c>
      <c r="W109" s="138">
        <v>44757</v>
      </c>
      <c r="X109" s="359">
        <v>20000</v>
      </c>
      <c r="Y109" s="438" t="s">
        <v>1878</v>
      </c>
      <c r="Z109" s="359">
        <v>400000</v>
      </c>
      <c r="AA109" s="134" t="s">
        <v>1879</v>
      </c>
      <c r="AB109" s="359">
        <v>522977</v>
      </c>
      <c r="AC109" s="362" t="s">
        <v>928</v>
      </c>
      <c r="AH109" s="359">
        <f t="shared" si="13"/>
        <v>942977</v>
      </c>
      <c r="AK109" s="364">
        <f t="shared" si="15"/>
        <v>0</v>
      </c>
      <c r="AL109" s="429" t="s">
        <v>1880</v>
      </c>
      <c r="AM109" s="429"/>
      <c r="AN109" s="447"/>
      <c r="AO109" s="447"/>
      <c r="AP109" s="447"/>
      <c r="AQ109" s="365">
        <f>0.6%+0.14%</f>
        <v>0.0074</v>
      </c>
      <c r="AR109" s="419">
        <f t="shared" si="14"/>
        <v>942977</v>
      </c>
      <c r="AS109" s="359">
        <f>100</f>
        <v>100</v>
      </c>
      <c r="AT109" s="359"/>
      <c r="AU109" s="359"/>
      <c r="AV109" s="359"/>
      <c r="AW109" s="359"/>
      <c r="AX109" s="359"/>
      <c r="AY109" s="218"/>
      <c r="AZ109" s="425"/>
      <c r="BA109" s="359">
        <v>942977</v>
      </c>
      <c r="BB109" s="359"/>
      <c r="BC109" s="359"/>
      <c r="BD109" s="359"/>
      <c r="BE109" s="359"/>
      <c r="BZ109" s="134" t="s">
        <v>376</v>
      </c>
      <c r="CA109" s="134" t="s">
        <v>387</v>
      </c>
      <c r="CB109" s="134" t="s">
        <v>377</v>
      </c>
      <c r="CE109" s="149"/>
    </row>
    <row r="110" s="134" customFormat="1" customHeight="1" spans="1:83">
      <c r="A110" s="134">
        <v>68</v>
      </c>
      <c r="C110" s="138">
        <v>44968</v>
      </c>
      <c r="D110" s="444">
        <v>20230001469</v>
      </c>
      <c r="F110" s="429" t="s">
        <v>1881</v>
      </c>
      <c r="G110" s="134" t="s">
        <v>1882</v>
      </c>
      <c r="H110" s="1006" t="s">
        <v>1883</v>
      </c>
      <c r="I110" s="414" t="s">
        <v>1884</v>
      </c>
      <c r="J110" s="134">
        <v>116.67</v>
      </c>
      <c r="K110" s="134">
        <v>116.67</v>
      </c>
      <c r="L110" s="134">
        <v>8057</v>
      </c>
      <c r="M110" s="436">
        <f>940091-81</f>
        <v>940010</v>
      </c>
      <c r="N110" s="437"/>
      <c r="O110" s="445">
        <v>862394.5</v>
      </c>
      <c r="P110" s="446" t="s">
        <v>1885</v>
      </c>
      <c r="Q110" s="448">
        <v>45617</v>
      </c>
      <c r="R110" s="359"/>
      <c r="S110" s="362"/>
      <c r="T110" s="134" t="s">
        <v>1882</v>
      </c>
      <c r="U110" s="134" t="s">
        <v>1886</v>
      </c>
      <c r="V110" s="359">
        <v>20000</v>
      </c>
      <c r="W110" s="138" t="s">
        <v>1346</v>
      </c>
      <c r="X110" s="359">
        <v>20000</v>
      </c>
      <c r="Y110" s="438" t="s">
        <v>1887</v>
      </c>
      <c r="Z110" s="359">
        <v>200000</v>
      </c>
      <c r="AA110" s="134" t="s">
        <v>1348</v>
      </c>
      <c r="AB110" s="359">
        <v>270000</v>
      </c>
      <c r="AC110" s="134" t="s">
        <v>1349</v>
      </c>
      <c r="AD110" s="134">
        <v>140091</v>
      </c>
      <c r="AE110" s="134" t="s">
        <v>1609</v>
      </c>
      <c r="AF110" s="359">
        <f>290000-81</f>
        <v>289919</v>
      </c>
      <c r="AG110" s="362" t="s">
        <v>1112</v>
      </c>
      <c r="AH110" s="359">
        <f t="shared" si="13"/>
        <v>940010</v>
      </c>
      <c r="AK110" s="364">
        <f t="shared" si="15"/>
        <v>0</v>
      </c>
      <c r="AL110" s="429" t="s">
        <v>1888</v>
      </c>
      <c r="AM110" s="429"/>
      <c r="AN110" s="447"/>
      <c r="AO110" s="447"/>
      <c r="AP110" s="447"/>
      <c r="AQ110" s="365">
        <f t="shared" si="18"/>
        <v>0.008</v>
      </c>
      <c r="AR110" s="419">
        <f t="shared" si="14"/>
        <v>940091</v>
      </c>
      <c r="AS110" s="359"/>
      <c r="AT110" s="359"/>
      <c r="AU110" s="359"/>
      <c r="AV110" s="359">
        <v>240000</v>
      </c>
      <c r="AW110" s="359"/>
      <c r="AX110" s="359"/>
      <c r="AY110" s="421"/>
      <c r="AZ110" s="422"/>
      <c r="BA110" s="359">
        <v>700091</v>
      </c>
      <c r="BB110" s="359"/>
      <c r="BC110" s="359"/>
      <c r="BD110" s="359"/>
      <c r="BE110" s="359"/>
      <c r="BZ110" s="134" t="s">
        <v>376</v>
      </c>
      <c r="CA110" s="134" t="s">
        <v>387</v>
      </c>
      <c r="CB110" s="134" t="s">
        <v>377</v>
      </c>
      <c r="CE110" s="149"/>
    </row>
    <row r="111" s="134" customFormat="1" customHeight="1" spans="1:83">
      <c r="A111" s="134">
        <v>69</v>
      </c>
      <c r="C111" s="138">
        <v>45147</v>
      </c>
      <c r="D111" s="444">
        <v>20230006724</v>
      </c>
      <c r="F111" s="429" t="s">
        <v>1889</v>
      </c>
      <c r="G111" s="134" t="s">
        <v>1890</v>
      </c>
      <c r="I111" s="423" t="s">
        <v>1891</v>
      </c>
      <c r="J111" s="134">
        <v>115.58</v>
      </c>
      <c r="K111" s="134">
        <v>115.58</v>
      </c>
      <c r="L111" s="134">
        <v>5680</v>
      </c>
      <c r="M111" s="436">
        <f>-57+656551</f>
        <v>656494</v>
      </c>
      <c r="N111" s="437">
        <v>5587.19</v>
      </c>
      <c r="O111" s="445">
        <v>602288.07</v>
      </c>
      <c r="P111" s="446" t="s">
        <v>1892</v>
      </c>
      <c r="Q111" s="448">
        <v>45617</v>
      </c>
      <c r="R111" s="359"/>
      <c r="S111" s="362"/>
      <c r="T111" s="362"/>
      <c r="U111" s="362" t="s">
        <v>400</v>
      </c>
      <c r="V111" s="359">
        <v>20000</v>
      </c>
      <c r="W111" s="362" t="s">
        <v>1035</v>
      </c>
      <c r="X111" s="359">
        <f>120000+56551</f>
        <v>176551</v>
      </c>
      <c r="Y111" s="362" t="s">
        <v>1893</v>
      </c>
      <c r="Z111" s="359">
        <v>460000</v>
      </c>
      <c r="AA111" s="362" t="s">
        <v>1036</v>
      </c>
      <c r="AB111" s="359">
        <v>-57</v>
      </c>
      <c r="AH111" s="359">
        <f t="shared" si="13"/>
        <v>656494</v>
      </c>
      <c r="AK111" s="364">
        <f t="shared" si="15"/>
        <v>0</v>
      </c>
      <c r="AL111" s="429" t="s">
        <v>1894</v>
      </c>
      <c r="AM111" s="429"/>
      <c r="AN111" s="447"/>
      <c r="AO111" s="447"/>
      <c r="AP111" s="447"/>
      <c r="AQ111" s="365">
        <f>0.5%+0.03%+0.14%</f>
        <v>0.0067</v>
      </c>
      <c r="AR111" s="419">
        <f t="shared" si="14"/>
        <v>656551</v>
      </c>
      <c r="AS111" s="359"/>
      <c r="AT111" s="359"/>
      <c r="AU111" s="359"/>
      <c r="AV111" s="359"/>
      <c r="AW111" s="359"/>
      <c r="AX111" s="359"/>
      <c r="AY111" s="421"/>
      <c r="AZ111" s="428"/>
      <c r="BA111" s="359"/>
      <c r="BB111" s="359">
        <v>196551</v>
      </c>
      <c r="BC111" s="359">
        <v>460000</v>
      </c>
      <c r="BD111" s="359"/>
      <c r="BE111" s="359"/>
      <c r="BZ111" s="134" t="s">
        <v>376</v>
      </c>
      <c r="CA111" s="134" t="s">
        <v>387</v>
      </c>
      <c r="CB111" s="134" t="s">
        <v>377</v>
      </c>
      <c r="CE111" s="149"/>
    </row>
    <row r="112" s="134" customFormat="1" customHeight="1" spans="1:83">
      <c r="A112" s="134">
        <v>70</v>
      </c>
      <c r="C112" s="138">
        <v>45100</v>
      </c>
      <c r="D112" s="444">
        <v>20230005301</v>
      </c>
      <c r="F112" s="429" t="s">
        <v>1895</v>
      </c>
      <c r="G112" s="134" t="s">
        <v>1896</v>
      </c>
      <c r="H112" s="1006" t="s">
        <v>1897</v>
      </c>
      <c r="I112" s="414" t="s">
        <v>1898</v>
      </c>
      <c r="J112" s="134">
        <v>115.58</v>
      </c>
      <c r="K112" s="134">
        <v>115.58</v>
      </c>
      <c r="L112" s="134">
        <v>5623.32</v>
      </c>
      <c r="M112" s="436">
        <f>-56+650000</f>
        <v>649944</v>
      </c>
      <c r="N112" s="437">
        <v>5293.39</v>
      </c>
      <c r="O112" s="445">
        <v>596278.9</v>
      </c>
      <c r="P112" s="446" t="s">
        <v>1899</v>
      </c>
      <c r="Q112" s="448">
        <v>45617</v>
      </c>
      <c r="R112" s="359"/>
      <c r="S112" s="362"/>
      <c r="T112" s="362"/>
      <c r="U112" s="362" t="s">
        <v>496</v>
      </c>
      <c r="V112" s="359">
        <v>20000</v>
      </c>
      <c r="W112" s="362" t="s">
        <v>1667</v>
      </c>
      <c r="X112" s="359">
        <v>80000</v>
      </c>
      <c r="Y112" s="362" t="s">
        <v>448</v>
      </c>
      <c r="Z112" s="359">
        <f>25000+5000</f>
        <v>30000</v>
      </c>
      <c r="AA112" s="362" t="s">
        <v>976</v>
      </c>
      <c r="AB112" s="359">
        <v>520000</v>
      </c>
      <c r="AC112" s="362" t="s">
        <v>1900</v>
      </c>
      <c r="AD112" s="134">
        <v>-56</v>
      </c>
      <c r="AH112" s="359">
        <f t="shared" si="13"/>
        <v>649944</v>
      </c>
      <c r="AK112" s="364">
        <f t="shared" si="15"/>
        <v>0</v>
      </c>
      <c r="AL112" s="429" t="s">
        <v>1901</v>
      </c>
      <c r="AM112" s="429"/>
      <c r="AN112" s="447"/>
      <c r="AO112" s="447"/>
      <c r="AP112" s="447"/>
      <c r="AQ112" s="365">
        <f>0.6%+0.05%+0.14%</f>
        <v>0.0079</v>
      </c>
      <c r="AR112" s="419">
        <f t="shared" si="14"/>
        <v>650000</v>
      </c>
      <c r="AS112" s="359"/>
      <c r="AT112" s="359"/>
      <c r="AU112" s="359"/>
      <c r="AV112" s="359"/>
      <c r="AW112" s="359"/>
      <c r="AX112" s="359"/>
      <c r="AY112" s="218"/>
      <c r="AZ112" s="292"/>
      <c r="BA112" s="359">
        <v>130000</v>
      </c>
      <c r="BB112" s="359">
        <v>520000</v>
      </c>
      <c r="BC112" s="359"/>
      <c r="BD112" s="359"/>
      <c r="BE112" s="359"/>
      <c r="BZ112" s="134" t="s">
        <v>376</v>
      </c>
      <c r="CA112" s="134" t="s">
        <v>387</v>
      </c>
      <c r="CB112" s="134" t="s">
        <v>377</v>
      </c>
      <c r="CE112" s="149"/>
    </row>
    <row r="113" s="134" customFormat="1" customHeight="1" spans="1:83">
      <c r="A113" s="134">
        <v>71</v>
      </c>
      <c r="C113" s="138">
        <v>45048</v>
      </c>
      <c r="D113" s="444">
        <v>20230003813</v>
      </c>
      <c r="F113" s="429" t="s">
        <v>1902</v>
      </c>
      <c r="G113" s="143" t="s">
        <v>1690</v>
      </c>
      <c r="H113" s="143"/>
      <c r="I113" s="423" t="s">
        <v>1903</v>
      </c>
      <c r="J113" s="134">
        <v>115.58</v>
      </c>
      <c r="K113" s="134">
        <v>115.58</v>
      </c>
      <c r="L113" s="134">
        <v>5363.79</v>
      </c>
      <c r="M113" s="436">
        <f>-54+620000</f>
        <v>619946</v>
      </c>
      <c r="N113" s="437">
        <v>5339.16</v>
      </c>
      <c r="O113" s="445">
        <v>568757.8</v>
      </c>
      <c r="P113" s="446" t="s">
        <v>1904</v>
      </c>
      <c r="Q113" s="448">
        <v>45617</v>
      </c>
      <c r="R113" s="359"/>
      <c r="S113" s="416"/>
      <c r="T113" s="416" t="s">
        <v>1690</v>
      </c>
      <c r="U113" s="416" t="s">
        <v>1690</v>
      </c>
      <c r="V113" s="359">
        <f>2000</f>
        <v>2000</v>
      </c>
      <c r="W113" s="413">
        <v>44753</v>
      </c>
      <c r="X113" s="359">
        <v>20000</v>
      </c>
      <c r="Y113" s="438" t="s">
        <v>984</v>
      </c>
      <c r="Z113" s="359">
        <v>330000</v>
      </c>
      <c r="AA113" s="134" t="s">
        <v>1064</v>
      </c>
      <c r="AB113" s="359">
        <v>270000</v>
      </c>
      <c r="AC113" s="416" t="s">
        <v>1905</v>
      </c>
      <c r="AD113" s="134">
        <v>-54</v>
      </c>
      <c r="AH113" s="359">
        <f t="shared" si="13"/>
        <v>621946</v>
      </c>
      <c r="AK113" s="364">
        <f t="shared" si="15"/>
        <v>-2000</v>
      </c>
      <c r="AL113" s="429" t="s">
        <v>1906</v>
      </c>
      <c r="AM113" s="429"/>
      <c r="AN113" s="447"/>
      <c r="AO113" s="447"/>
      <c r="AP113" s="447"/>
      <c r="AQ113" s="365">
        <f>0.6%+0.05%+0.14%+0.06%</f>
        <v>0.0085</v>
      </c>
      <c r="AR113" s="419">
        <f t="shared" si="14"/>
        <v>620000</v>
      </c>
      <c r="AS113" s="359">
        <f>100+100+100</f>
        <v>300</v>
      </c>
      <c r="AT113" s="359">
        <f>100+100</f>
        <v>200</v>
      </c>
      <c r="AU113" s="359"/>
      <c r="AV113" s="359"/>
      <c r="AW113" s="359"/>
      <c r="AX113" s="359"/>
      <c r="AY113" s="218">
        <v>350000</v>
      </c>
      <c r="AZ113" s="425"/>
      <c r="BA113" s="359"/>
      <c r="BB113" s="359">
        <v>270000</v>
      </c>
      <c r="BC113" s="359"/>
      <c r="BD113" s="359"/>
      <c r="BE113" s="359"/>
      <c r="BZ113" s="134" t="s">
        <v>376</v>
      </c>
      <c r="CA113" s="134" t="s">
        <v>387</v>
      </c>
      <c r="CB113" s="134" t="s">
        <v>377</v>
      </c>
      <c r="CE113" s="149"/>
    </row>
    <row r="114" s="134" customFormat="1" customHeight="1" spans="1:83">
      <c r="A114" s="134">
        <v>72</v>
      </c>
      <c r="C114" s="138">
        <v>44963</v>
      </c>
      <c r="D114" s="444">
        <v>20230000839</v>
      </c>
      <c r="F114" s="429" t="s">
        <v>1907</v>
      </c>
      <c r="G114" s="143" t="s">
        <v>1908</v>
      </c>
      <c r="H114" s="143"/>
      <c r="I114" s="414" t="s">
        <v>1909</v>
      </c>
      <c r="J114" s="134">
        <v>115.58</v>
      </c>
      <c r="K114" s="134">
        <v>115.58</v>
      </c>
      <c r="L114" s="134">
        <v>5284.66</v>
      </c>
      <c r="M114" s="436">
        <f>-53+610854</f>
        <v>610801</v>
      </c>
      <c r="N114" s="437"/>
      <c r="O114" s="445">
        <v>560367.89</v>
      </c>
      <c r="P114" s="446" t="s">
        <v>1910</v>
      </c>
      <c r="Q114" s="448">
        <v>45617</v>
      </c>
      <c r="R114" s="359"/>
      <c r="S114" s="416"/>
      <c r="T114" s="416" t="s">
        <v>1911</v>
      </c>
      <c r="U114" s="416" t="s">
        <v>1911</v>
      </c>
      <c r="V114" s="359">
        <v>310854</v>
      </c>
      <c r="W114" s="438" t="s">
        <v>1416</v>
      </c>
      <c r="X114" s="134">
        <v>300000</v>
      </c>
      <c r="Y114" s="134" t="s">
        <v>1384</v>
      </c>
      <c r="Z114" s="359">
        <v>-53</v>
      </c>
      <c r="AB114" s="359"/>
      <c r="AH114" s="359">
        <f t="shared" si="13"/>
        <v>610801</v>
      </c>
      <c r="AK114" s="364">
        <f t="shared" si="15"/>
        <v>0</v>
      </c>
      <c r="AL114" s="429" t="s">
        <v>1912</v>
      </c>
      <c r="AM114" s="429"/>
      <c r="AN114" s="447"/>
      <c r="AO114" s="447"/>
      <c r="AP114" s="447"/>
      <c r="AQ114" s="365">
        <f>0.6%+0.05%+0.14%</f>
        <v>0.0079</v>
      </c>
      <c r="AR114" s="419">
        <f t="shared" si="14"/>
        <v>610854</v>
      </c>
      <c r="AS114" s="359">
        <f t="shared" ref="AS114:AS119" si="19">100</f>
        <v>100</v>
      </c>
      <c r="AT114" s="359">
        <v>100</v>
      </c>
      <c r="AU114" s="359"/>
      <c r="AV114" s="359">
        <v>610854</v>
      </c>
      <c r="AW114" s="359"/>
      <c r="AX114" s="359"/>
      <c r="AY114" s="421"/>
      <c r="AZ114" s="422"/>
      <c r="BA114" s="359"/>
      <c r="BB114" s="359"/>
      <c r="BC114" s="359"/>
      <c r="BD114" s="359"/>
      <c r="BE114" s="359"/>
      <c r="BZ114" s="134" t="s">
        <v>376</v>
      </c>
      <c r="CA114" s="134" t="s">
        <v>387</v>
      </c>
      <c r="CB114" s="134" t="s">
        <v>377</v>
      </c>
      <c r="CE114" s="149"/>
    </row>
    <row r="115" s="134" customFormat="1" customHeight="1" spans="1:83">
      <c r="A115" s="134">
        <v>73</v>
      </c>
      <c r="C115" s="138">
        <v>44962</v>
      </c>
      <c r="D115" s="444">
        <v>20230000683</v>
      </c>
      <c r="F115" s="429" t="s">
        <v>1913</v>
      </c>
      <c r="G115" s="143" t="s">
        <v>1914</v>
      </c>
      <c r="H115" s="1010" t="s">
        <v>1915</v>
      </c>
      <c r="I115" s="414" t="s">
        <v>1916</v>
      </c>
      <c r="J115" s="134">
        <v>115.58</v>
      </c>
      <c r="K115" s="134">
        <v>115.58</v>
      </c>
      <c r="L115" s="134">
        <v>5182.38</v>
      </c>
      <c r="M115" s="436">
        <f>-52+599032</f>
        <v>598980</v>
      </c>
      <c r="N115" s="437"/>
      <c r="O115" s="445">
        <v>549522.94</v>
      </c>
      <c r="P115" s="446" t="s">
        <v>1917</v>
      </c>
      <c r="Q115" s="448">
        <v>45617</v>
      </c>
      <c r="R115" s="359"/>
      <c r="S115" s="362"/>
      <c r="T115" s="363" t="s">
        <v>1918</v>
      </c>
      <c r="U115" s="362" t="s">
        <v>1919</v>
      </c>
      <c r="V115" s="359">
        <v>120032</v>
      </c>
      <c r="W115" s="134" t="s">
        <v>1383</v>
      </c>
      <c r="X115" s="359">
        <v>130000</v>
      </c>
      <c r="Y115" s="438" t="s">
        <v>1920</v>
      </c>
      <c r="Z115" s="359">
        <v>349000</v>
      </c>
      <c r="AA115" s="134" t="s">
        <v>1482</v>
      </c>
      <c r="AB115" s="359">
        <v>-52</v>
      </c>
      <c r="AH115" s="359">
        <f t="shared" si="13"/>
        <v>598980</v>
      </c>
      <c r="AK115" s="364">
        <f t="shared" si="15"/>
        <v>0</v>
      </c>
      <c r="AL115" s="429" t="s">
        <v>1921</v>
      </c>
      <c r="AM115" s="429"/>
      <c r="AN115" s="447"/>
      <c r="AO115" s="447"/>
      <c r="AP115" s="447"/>
      <c r="AQ115" s="365">
        <f>0.6%+0.04%+0.1%</f>
        <v>0.0074</v>
      </c>
      <c r="AR115" s="419">
        <f t="shared" si="14"/>
        <v>599032</v>
      </c>
      <c r="AS115" s="359">
        <v>100</v>
      </c>
      <c r="AT115" s="359"/>
      <c r="AU115" s="359"/>
      <c r="AV115" s="359"/>
      <c r="AW115" s="359"/>
      <c r="AX115" s="359">
        <v>599032</v>
      </c>
      <c r="AY115" s="421"/>
      <c r="AZ115" s="422"/>
      <c r="BA115" s="359"/>
      <c r="BB115" s="359"/>
      <c r="BC115" s="359"/>
      <c r="BD115" s="359"/>
      <c r="BE115" s="359"/>
      <c r="BZ115" s="134" t="s">
        <v>376</v>
      </c>
      <c r="CA115" s="134" t="s">
        <v>387</v>
      </c>
      <c r="CB115" s="134" t="s">
        <v>377</v>
      </c>
      <c r="CE115" s="149"/>
    </row>
    <row r="116" s="134" customFormat="1" customHeight="1" spans="1:83">
      <c r="A116" s="134">
        <v>74</v>
      </c>
      <c r="C116" s="138">
        <v>44985</v>
      </c>
      <c r="D116" s="444">
        <v>20230002094</v>
      </c>
      <c r="F116" s="429" t="s">
        <v>1922</v>
      </c>
      <c r="G116" s="143" t="s">
        <v>1694</v>
      </c>
      <c r="H116" s="1010" t="s">
        <v>1923</v>
      </c>
      <c r="I116" s="414" t="s">
        <v>1924</v>
      </c>
      <c r="J116" s="134">
        <v>115.58</v>
      </c>
      <c r="K116" s="134">
        <v>115.58</v>
      </c>
      <c r="L116" s="134">
        <v>5380</v>
      </c>
      <c r="M116" s="436">
        <f>621874-54</f>
        <v>621820</v>
      </c>
      <c r="N116" s="437">
        <v>5376.36</v>
      </c>
      <c r="O116" s="445">
        <v>570477.06</v>
      </c>
      <c r="P116" s="446" t="s">
        <v>1925</v>
      </c>
      <c r="Q116" s="448">
        <v>45617</v>
      </c>
      <c r="R116" s="359"/>
      <c r="S116" s="362"/>
      <c r="T116" s="143" t="s">
        <v>1694</v>
      </c>
      <c r="U116" s="143" t="s">
        <v>1926</v>
      </c>
      <c r="V116" s="359">
        <v>20000</v>
      </c>
      <c r="W116" s="138" t="s">
        <v>1348</v>
      </c>
      <c r="X116" s="359">
        <v>501874</v>
      </c>
      <c r="Y116" s="438" t="s">
        <v>1878</v>
      </c>
      <c r="Z116" s="359">
        <v>100000</v>
      </c>
      <c r="AA116" s="134" t="s">
        <v>1927</v>
      </c>
      <c r="AB116" s="359">
        <v>-54</v>
      </c>
      <c r="AH116" s="359">
        <f t="shared" si="13"/>
        <v>621820</v>
      </c>
      <c r="AK116" s="364">
        <f t="shared" si="15"/>
        <v>0</v>
      </c>
      <c r="AL116" s="429" t="s">
        <v>1928</v>
      </c>
      <c r="AM116" s="429"/>
      <c r="AN116" s="447"/>
      <c r="AO116" s="447"/>
      <c r="AP116" s="447"/>
      <c r="AQ116" s="365">
        <f>0.4%+0.14%</f>
        <v>0.0054</v>
      </c>
      <c r="AR116" s="419">
        <f t="shared" si="14"/>
        <v>621874</v>
      </c>
      <c r="AS116" s="359"/>
      <c r="AT116" s="359">
        <v>100</v>
      </c>
      <c r="AU116" s="359"/>
      <c r="AV116" s="134">
        <v>521874</v>
      </c>
      <c r="AW116" s="359"/>
      <c r="AX116" s="359">
        <v>100000</v>
      </c>
      <c r="AY116" s="421"/>
      <c r="AZ116" s="422"/>
      <c r="BA116" s="359"/>
      <c r="BB116" s="359"/>
      <c r="BC116" s="359"/>
      <c r="BD116" s="359"/>
      <c r="BE116" s="359"/>
      <c r="BZ116" s="134" t="s">
        <v>376</v>
      </c>
      <c r="CA116" s="134" t="s">
        <v>387</v>
      </c>
      <c r="CB116" s="134" t="s">
        <v>377</v>
      </c>
      <c r="CE116" s="149"/>
    </row>
    <row r="117" s="134" customFormat="1" customHeight="1" spans="1:83">
      <c r="A117" s="134">
        <v>75</v>
      </c>
      <c r="C117" s="138">
        <v>44966</v>
      </c>
      <c r="D117" s="444">
        <v>20230001152</v>
      </c>
      <c r="F117" s="429" t="s">
        <v>1929</v>
      </c>
      <c r="G117" s="143" t="s">
        <v>1930</v>
      </c>
      <c r="H117" s="1010" t="s">
        <v>1931</v>
      </c>
      <c r="I117" s="423" t="s">
        <v>1932</v>
      </c>
      <c r="J117" s="134">
        <v>115.58</v>
      </c>
      <c r="K117" s="134">
        <v>115.58</v>
      </c>
      <c r="L117" s="134">
        <v>5232.38</v>
      </c>
      <c r="M117" s="436">
        <f>-52+604811</f>
        <v>604759</v>
      </c>
      <c r="N117" s="437"/>
      <c r="O117" s="445">
        <v>554824.77</v>
      </c>
      <c r="P117" s="446" t="s">
        <v>1933</v>
      </c>
      <c r="Q117" s="448">
        <v>45617</v>
      </c>
      <c r="R117" s="359"/>
      <c r="S117" s="362"/>
      <c r="T117" s="426" t="s">
        <v>1934</v>
      </c>
      <c r="U117" s="416" t="s">
        <v>1935</v>
      </c>
      <c r="V117" s="359">
        <v>6411</v>
      </c>
      <c r="W117" s="438" t="s">
        <v>1377</v>
      </c>
      <c r="X117" s="359">
        <v>20000</v>
      </c>
      <c r="Y117" s="438" t="s">
        <v>1839</v>
      </c>
      <c r="Z117" s="359">
        <v>95400</v>
      </c>
      <c r="AA117" s="134" t="s">
        <v>1791</v>
      </c>
      <c r="AB117" s="359">
        <v>483000</v>
      </c>
      <c r="AC117" s="134" t="s">
        <v>1591</v>
      </c>
      <c r="AD117" s="134">
        <v>-52</v>
      </c>
      <c r="AE117" s="138">
        <v>45909</v>
      </c>
      <c r="AH117" s="359">
        <f t="shared" si="13"/>
        <v>604759</v>
      </c>
      <c r="AK117" s="364">
        <f t="shared" si="15"/>
        <v>0</v>
      </c>
      <c r="AL117" s="429" t="s">
        <v>1936</v>
      </c>
      <c r="AM117" s="429"/>
      <c r="AN117" s="447"/>
      <c r="AO117" s="447"/>
      <c r="AP117" s="447"/>
      <c r="AQ117" s="365">
        <f>0.6%+0.1%</f>
        <v>0.007</v>
      </c>
      <c r="AR117" s="419">
        <f t="shared" si="14"/>
        <v>604811</v>
      </c>
      <c r="AS117" s="359">
        <f t="shared" si="19"/>
        <v>100</v>
      </c>
      <c r="AT117" s="359"/>
      <c r="AU117" s="359"/>
      <c r="AV117" s="359"/>
      <c r="AW117" s="359"/>
      <c r="AX117" s="359">
        <v>121811</v>
      </c>
      <c r="AY117" s="421">
        <v>483000</v>
      </c>
      <c r="AZ117" s="422"/>
      <c r="BA117" s="359"/>
      <c r="BB117" s="359"/>
      <c r="BC117" s="359"/>
      <c r="BD117" s="359"/>
      <c r="BE117" s="359"/>
      <c r="BZ117" s="134" t="s">
        <v>376</v>
      </c>
      <c r="CA117" s="134" t="s">
        <v>387</v>
      </c>
      <c r="CB117" s="134" t="s">
        <v>377</v>
      </c>
      <c r="CE117" s="149"/>
    </row>
    <row r="118" s="134" customFormat="1" customHeight="1" spans="1:83">
      <c r="A118" s="134">
        <v>76</v>
      </c>
      <c r="C118" s="138">
        <v>45021</v>
      </c>
      <c r="D118" s="444">
        <v>20230003103</v>
      </c>
      <c r="F118" s="474" t="s">
        <v>1937</v>
      </c>
      <c r="G118" s="143" t="s">
        <v>1938</v>
      </c>
      <c r="H118" s="1010" t="s">
        <v>594</v>
      </c>
      <c r="I118" s="414" t="s">
        <v>1939</v>
      </c>
      <c r="J118" s="134">
        <v>115.58</v>
      </c>
      <c r="K118" s="134">
        <v>115.58</v>
      </c>
      <c r="L118" s="134">
        <v>5238.39</v>
      </c>
      <c r="M118" s="436">
        <f>-52+605505</f>
        <v>605453</v>
      </c>
      <c r="N118" s="437"/>
      <c r="O118" s="445">
        <v>555461.47</v>
      </c>
      <c r="P118" s="446" t="s">
        <v>1940</v>
      </c>
      <c r="Q118" s="448">
        <v>45617</v>
      </c>
      <c r="R118" s="359"/>
      <c r="S118" s="416"/>
      <c r="T118" s="426" t="s">
        <v>1941</v>
      </c>
      <c r="U118" s="416" t="s">
        <v>1942</v>
      </c>
      <c r="V118" s="359">
        <f>2000</f>
        <v>2000</v>
      </c>
      <c r="W118" s="413">
        <v>44773</v>
      </c>
      <c r="X118" s="359">
        <v>18000</v>
      </c>
      <c r="Y118" s="438" t="s">
        <v>1398</v>
      </c>
      <c r="Z118" s="359">
        <v>45505</v>
      </c>
      <c r="AA118" s="134" t="s">
        <v>1506</v>
      </c>
      <c r="AB118" s="359">
        <v>60000</v>
      </c>
      <c r="AC118" s="134" t="s">
        <v>607</v>
      </c>
      <c r="AD118" s="359">
        <v>30000</v>
      </c>
      <c r="AE118" s="416" t="s">
        <v>752</v>
      </c>
      <c r="AF118" s="134">
        <f>-52+450000</f>
        <v>449948</v>
      </c>
      <c r="AG118" s="134" t="s">
        <v>1943</v>
      </c>
      <c r="AH118" s="359">
        <f t="shared" si="13"/>
        <v>605453</v>
      </c>
      <c r="AK118" s="364">
        <f t="shared" si="15"/>
        <v>0</v>
      </c>
      <c r="AL118" s="429" t="s">
        <v>1944</v>
      </c>
      <c r="AM118" s="429"/>
      <c r="AN118" s="447"/>
      <c r="AO118" s="447"/>
      <c r="AP118" s="447"/>
      <c r="AQ118" s="365">
        <f>0.4%+0.04%+0.1%+0.04%</f>
        <v>0.0058</v>
      </c>
      <c r="AR118" s="419">
        <f t="shared" si="14"/>
        <v>605505</v>
      </c>
      <c r="AS118" s="359">
        <f>100+100+100</f>
        <v>300</v>
      </c>
      <c r="AT118" s="359">
        <v>100</v>
      </c>
      <c r="AU118" s="359"/>
      <c r="AV118" s="359"/>
      <c r="AW118" s="359"/>
      <c r="AX118" s="359"/>
      <c r="AY118" s="421"/>
      <c r="AZ118" s="430">
        <v>125505</v>
      </c>
      <c r="BA118" s="359"/>
      <c r="BB118" s="359"/>
      <c r="BC118" s="359"/>
      <c r="BD118" s="359"/>
      <c r="BE118" s="359"/>
      <c r="BM118" s="134">
        <v>480000</v>
      </c>
      <c r="BZ118" s="134" t="s">
        <v>376</v>
      </c>
      <c r="CA118" s="134" t="s">
        <v>387</v>
      </c>
      <c r="CB118" s="134" t="s">
        <v>377</v>
      </c>
      <c r="CE118" s="149"/>
    </row>
    <row r="119" s="134" customFormat="1" customHeight="1" spans="1:83">
      <c r="A119" s="134">
        <v>77</v>
      </c>
      <c r="C119" s="138">
        <v>44964</v>
      </c>
      <c r="D119" s="444">
        <v>20230000967</v>
      </c>
      <c r="F119" s="429" t="s">
        <v>1945</v>
      </c>
      <c r="G119" s="143" t="s">
        <v>1702</v>
      </c>
      <c r="H119" s="1010" t="s">
        <v>1946</v>
      </c>
      <c r="I119" s="423" t="s">
        <v>1947</v>
      </c>
      <c r="J119" s="134">
        <v>115.58</v>
      </c>
      <c r="K119" s="134">
        <v>115.58</v>
      </c>
      <c r="L119" s="134">
        <v>5277.38</v>
      </c>
      <c r="M119" s="436">
        <f>-53+610013</f>
        <v>609960</v>
      </c>
      <c r="N119" s="437"/>
      <c r="O119" s="445">
        <v>559596.33</v>
      </c>
      <c r="P119" s="446" t="s">
        <v>1948</v>
      </c>
      <c r="Q119" s="448">
        <v>45617</v>
      </c>
      <c r="R119" s="359"/>
      <c r="S119" s="416"/>
      <c r="T119" s="426" t="s">
        <v>1949</v>
      </c>
      <c r="U119" s="416" t="s">
        <v>1950</v>
      </c>
      <c r="V119" s="359">
        <v>122013</v>
      </c>
      <c r="W119" s="134" t="s">
        <v>1442</v>
      </c>
      <c r="X119" s="359">
        <v>488000</v>
      </c>
      <c r="Y119" s="438" t="s">
        <v>1609</v>
      </c>
      <c r="Z119" s="359">
        <v>-53</v>
      </c>
      <c r="AB119" s="359"/>
      <c r="AH119" s="359">
        <f t="shared" si="13"/>
        <v>609960</v>
      </c>
      <c r="AK119" s="364">
        <f t="shared" si="15"/>
        <v>0</v>
      </c>
      <c r="AL119" s="429" t="s">
        <v>1951</v>
      </c>
      <c r="AM119" s="429"/>
      <c r="AN119" s="447"/>
      <c r="AO119" s="447"/>
      <c r="AP119" s="447"/>
      <c r="AQ119" s="365">
        <f t="shared" ref="AQ119:AQ122" si="20">0.6%+0.04%+0.1%</f>
        <v>0.0074</v>
      </c>
      <c r="AR119" s="419">
        <f t="shared" si="14"/>
        <v>610013</v>
      </c>
      <c r="AS119" s="359">
        <f t="shared" si="19"/>
        <v>100</v>
      </c>
      <c r="AT119" s="359">
        <v>100</v>
      </c>
      <c r="AU119" s="359"/>
      <c r="AV119" s="359"/>
      <c r="AW119" s="359">
        <v>610013</v>
      </c>
      <c r="AX119" s="359"/>
      <c r="AY119" s="421"/>
      <c r="AZ119" s="428"/>
      <c r="BA119" s="359"/>
      <c r="BB119" s="359"/>
      <c r="BC119" s="359"/>
      <c r="BD119" s="359"/>
      <c r="BE119" s="359"/>
      <c r="BZ119" s="134" t="s">
        <v>376</v>
      </c>
      <c r="CA119" s="134" t="s">
        <v>387</v>
      </c>
      <c r="CB119" s="134" t="s">
        <v>377</v>
      </c>
      <c r="CE119" s="149"/>
    </row>
    <row r="120" s="134" customFormat="1" customHeight="1" spans="1:83">
      <c r="A120" s="134">
        <v>78</v>
      </c>
      <c r="C120" s="138">
        <v>44963</v>
      </c>
      <c r="D120" s="444">
        <v>20230000768</v>
      </c>
      <c r="F120" s="429" t="s">
        <v>1952</v>
      </c>
      <c r="G120" s="440" t="s">
        <v>1704</v>
      </c>
      <c r="H120" s="1008" t="s">
        <v>1953</v>
      </c>
      <c r="I120" s="414" t="s">
        <v>1954</v>
      </c>
      <c r="J120" s="134">
        <v>115.58</v>
      </c>
      <c r="K120" s="134">
        <v>115.58</v>
      </c>
      <c r="L120" s="134">
        <v>5283.38</v>
      </c>
      <c r="M120" s="436">
        <f>-53+610706</f>
        <v>610653</v>
      </c>
      <c r="N120" s="437"/>
      <c r="O120" s="445">
        <v>560232.11</v>
      </c>
      <c r="P120" s="446" t="s">
        <v>1955</v>
      </c>
      <c r="Q120" s="448">
        <v>45617</v>
      </c>
      <c r="R120" s="359"/>
      <c r="S120" s="416"/>
      <c r="T120" s="426" t="s">
        <v>1956</v>
      </c>
      <c r="U120" s="416" t="s">
        <v>1957</v>
      </c>
      <c r="V120" s="359">
        <v>150706</v>
      </c>
      <c r="W120" s="134" t="s">
        <v>1416</v>
      </c>
      <c r="X120" s="359">
        <v>460000</v>
      </c>
      <c r="Y120" s="438" t="s">
        <v>1771</v>
      </c>
      <c r="Z120" s="359">
        <v>-53</v>
      </c>
      <c r="AA120" s="138">
        <v>45909</v>
      </c>
      <c r="AB120" s="359"/>
      <c r="AH120" s="359">
        <f t="shared" ref="AH120:AH128" si="21">V120+X120+Z120+AB120+AD120+AF120</f>
        <v>610653</v>
      </c>
      <c r="AK120" s="364">
        <f t="shared" si="15"/>
        <v>0</v>
      </c>
      <c r="AL120" s="429" t="s">
        <v>1958</v>
      </c>
      <c r="AM120" s="429"/>
      <c r="AN120" s="447"/>
      <c r="AO120" s="447"/>
      <c r="AP120" s="447"/>
      <c r="AQ120" s="365">
        <f t="shared" si="20"/>
        <v>0.0074</v>
      </c>
      <c r="AR120" s="419">
        <f t="shared" si="14"/>
        <v>610706</v>
      </c>
      <c r="AS120" s="359">
        <f>100+100</f>
        <v>200</v>
      </c>
      <c r="AT120" s="359"/>
      <c r="AU120" s="359"/>
      <c r="AV120" s="359">
        <v>150706</v>
      </c>
      <c r="AW120" s="359"/>
      <c r="AX120" s="359"/>
      <c r="AY120" s="421"/>
      <c r="AZ120" s="430">
        <v>460000</v>
      </c>
      <c r="BA120" s="359"/>
      <c r="BB120" s="359"/>
      <c r="BC120" s="359"/>
      <c r="BD120" s="359"/>
      <c r="BE120" s="359"/>
      <c r="BZ120" s="134" t="s">
        <v>376</v>
      </c>
      <c r="CA120" s="134" t="s">
        <v>387</v>
      </c>
      <c r="CB120" s="134" t="s">
        <v>377</v>
      </c>
      <c r="CE120" s="149"/>
    </row>
    <row r="121" s="134" customFormat="1" customHeight="1" spans="1:83">
      <c r="A121" s="134">
        <v>79</v>
      </c>
      <c r="C121" s="138">
        <v>44968</v>
      </c>
      <c r="D121" s="444">
        <v>20230001457</v>
      </c>
      <c r="F121" s="429" t="s">
        <v>1959</v>
      </c>
      <c r="G121" s="143" t="s">
        <v>1960</v>
      </c>
      <c r="H121" s="1010" t="s">
        <v>1961</v>
      </c>
      <c r="I121" s="423" t="s">
        <v>1962</v>
      </c>
      <c r="J121" s="134">
        <v>115.58</v>
      </c>
      <c r="K121" s="134">
        <v>115.58</v>
      </c>
      <c r="L121" s="134">
        <v>5452.23</v>
      </c>
      <c r="M121" s="436">
        <f>630223-55</f>
        <v>630168</v>
      </c>
      <c r="N121" s="437"/>
      <c r="O121" s="445">
        <v>578135.78</v>
      </c>
      <c r="P121" s="446" t="s">
        <v>1963</v>
      </c>
      <c r="Q121" s="448">
        <v>45617</v>
      </c>
      <c r="R121" s="359"/>
      <c r="S121" s="362"/>
      <c r="T121" s="143" t="s">
        <v>1960</v>
      </c>
      <c r="U121" s="143" t="s">
        <v>1960</v>
      </c>
      <c r="V121" s="359">
        <v>20000</v>
      </c>
      <c r="W121" s="138" t="s">
        <v>1481</v>
      </c>
      <c r="X121" s="359">
        <v>61223</v>
      </c>
      <c r="Y121" s="438" t="s">
        <v>1347</v>
      </c>
      <c r="Z121" s="359">
        <v>50000</v>
      </c>
      <c r="AA121" s="134" t="s">
        <v>1964</v>
      </c>
      <c r="AB121" s="359">
        <v>499000</v>
      </c>
      <c r="AC121" s="362" t="s">
        <v>796</v>
      </c>
      <c r="AD121" s="134">
        <v>-55</v>
      </c>
      <c r="AH121" s="359">
        <f t="shared" si="21"/>
        <v>630168</v>
      </c>
      <c r="AK121" s="364">
        <f t="shared" si="15"/>
        <v>0</v>
      </c>
      <c r="AL121" s="429" t="s">
        <v>1965</v>
      </c>
      <c r="AM121" s="429"/>
      <c r="AN121" s="447"/>
      <c r="AO121" s="447"/>
      <c r="AP121" s="447"/>
      <c r="AQ121" s="365">
        <f>0.5%+0.05%+0.14%+0.06%</f>
        <v>0.0075</v>
      </c>
      <c r="AR121" s="419">
        <f t="shared" si="14"/>
        <v>630223</v>
      </c>
      <c r="AS121" s="359"/>
      <c r="AT121" s="359"/>
      <c r="AU121" s="359"/>
      <c r="AV121" s="359"/>
      <c r="AW121" s="359">
        <v>131223</v>
      </c>
      <c r="AX121" s="359"/>
      <c r="AY121" s="421"/>
      <c r="AZ121" s="422"/>
      <c r="BA121" s="359"/>
      <c r="BB121" s="359"/>
      <c r="BC121" s="359"/>
      <c r="BD121" s="359">
        <v>499000</v>
      </c>
      <c r="BE121" s="359"/>
      <c r="BZ121" s="134" t="s">
        <v>376</v>
      </c>
      <c r="CA121" s="134" t="s">
        <v>387</v>
      </c>
      <c r="CB121" s="134" t="s">
        <v>377</v>
      </c>
      <c r="CE121" s="149"/>
    </row>
    <row r="122" s="134" customFormat="1" customHeight="1" spans="1:83">
      <c r="A122" s="134">
        <v>80</v>
      </c>
      <c r="C122" s="138">
        <v>44963</v>
      </c>
      <c r="D122" s="444">
        <v>20230000811</v>
      </c>
      <c r="F122" s="474" t="s">
        <v>1966</v>
      </c>
      <c r="G122" s="143" t="s">
        <v>1967</v>
      </c>
      <c r="H122" s="1010" t="s">
        <v>1968</v>
      </c>
      <c r="I122" s="414" t="s">
        <v>1969</v>
      </c>
      <c r="J122" s="134">
        <v>115.58</v>
      </c>
      <c r="K122" s="134">
        <v>115.58</v>
      </c>
      <c r="L122" s="134">
        <v>5328.38</v>
      </c>
      <c r="M122" s="436">
        <f>615908-53</f>
        <v>615855</v>
      </c>
      <c r="N122" s="437"/>
      <c r="O122" s="445">
        <v>565004.59</v>
      </c>
      <c r="P122" s="446" t="s">
        <v>1970</v>
      </c>
      <c r="Q122" s="448">
        <v>45617</v>
      </c>
      <c r="R122" s="359"/>
      <c r="S122" s="416"/>
      <c r="T122" s="426" t="s">
        <v>1971</v>
      </c>
      <c r="U122" s="416" t="s">
        <v>1972</v>
      </c>
      <c r="V122" s="359">
        <v>184908</v>
      </c>
      <c r="W122" s="134" t="s">
        <v>1416</v>
      </c>
      <c r="X122" s="359">
        <v>431000</v>
      </c>
      <c r="Y122" s="438" t="s">
        <v>1856</v>
      </c>
      <c r="Z122" s="359">
        <v>-53</v>
      </c>
      <c r="AB122" s="359"/>
      <c r="AH122" s="359">
        <f t="shared" si="21"/>
        <v>615855</v>
      </c>
      <c r="AK122" s="364">
        <f t="shared" si="15"/>
        <v>0</v>
      </c>
      <c r="AL122" s="429" t="s">
        <v>1973</v>
      </c>
      <c r="AM122" s="429"/>
      <c r="AN122" s="447"/>
      <c r="AO122" s="447"/>
      <c r="AP122" s="447"/>
      <c r="AQ122" s="365">
        <f t="shared" si="20"/>
        <v>0.0074</v>
      </c>
      <c r="AR122" s="419">
        <f t="shared" si="14"/>
        <v>615908</v>
      </c>
      <c r="AS122" s="359">
        <f>100</f>
        <v>100</v>
      </c>
      <c r="AT122" s="359">
        <v>100</v>
      </c>
      <c r="AU122" s="359"/>
      <c r="AV122" s="359">
        <v>184908</v>
      </c>
      <c r="AW122" s="359">
        <v>431000</v>
      </c>
      <c r="AX122" s="359"/>
      <c r="AY122" s="421"/>
      <c r="AZ122" s="422"/>
      <c r="BA122" s="359"/>
      <c r="BB122" s="359"/>
      <c r="BC122" s="359"/>
      <c r="BD122" s="359"/>
      <c r="BE122" s="359"/>
      <c r="BZ122" s="134" t="s">
        <v>376</v>
      </c>
      <c r="CA122" s="134" t="s">
        <v>387</v>
      </c>
      <c r="CB122" s="134" t="s">
        <v>377</v>
      </c>
      <c r="CE122" s="149"/>
    </row>
    <row r="123" s="134" customFormat="1" customHeight="1" spans="1:83">
      <c r="A123" s="134">
        <v>81</v>
      </c>
      <c r="C123" s="138">
        <v>44975</v>
      </c>
      <c r="D123" s="444">
        <v>20230001701</v>
      </c>
      <c r="F123" s="429" t="s">
        <v>1974</v>
      </c>
      <c r="G123" s="143" t="s">
        <v>1975</v>
      </c>
      <c r="H123" s="1010" t="s">
        <v>1976</v>
      </c>
      <c r="I123" s="423" t="s">
        <v>1977</v>
      </c>
      <c r="J123" s="134">
        <v>115.58</v>
      </c>
      <c r="K123" s="134">
        <v>115.58</v>
      </c>
      <c r="L123" s="134">
        <v>5347.38</v>
      </c>
      <c r="M123" s="436">
        <f>-53+618104</f>
        <v>618051</v>
      </c>
      <c r="N123" s="437"/>
      <c r="O123" s="445">
        <v>567019.27</v>
      </c>
      <c r="P123" s="446" t="s">
        <v>1978</v>
      </c>
      <c r="Q123" s="448">
        <v>45617</v>
      </c>
      <c r="R123" s="359"/>
      <c r="S123" s="416"/>
      <c r="T123" s="1013" t="s">
        <v>1979</v>
      </c>
      <c r="U123" s="362" t="s">
        <v>1980</v>
      </c>
      <c r="V123" s="359">
        <v>2000</v>
      </c>
      <c r="W123" s="138">
        <v>44752</v>
      </c>
      <c r="X123" s="359">
        <v>18000</v>
      </c>
      <c r="Y123" s="438" t="s">
        <v>1398</v>
      </c>
      <c r="Z123" s="359">
        <v>18104</v>
      </c>
      <c r="AA123" s="134" t="s">
        <v>763</v>
      </c>
      <c r="AB123" s="359">
        <v>20000</v>
      </c>
      <c r="AC123" s="416" t="s">
        <v>1809</v>
      </c>
      <c r="AD123" s="359">
        <v>70000</v>
      </c>
      <c r="AE123" s="416" t="s">
        <v>1530</v>
      </c>
      <c r="AF123" s="359">
        <f>-53+490000</f>
        <v>489947</v>
      </c>
      <c r="AG123" s="416" t="s">
        <v>1981</v>
      </c>
      <c r="AH123" s="359">
        <f t="shared" si="21"/>
        <v>618051</v>
      </c>
      <c r="AK123" s="364">
        <f t="shared" si="15"/>
        <v>0</v>
      </c>
      <c r="AL123" s="429" t="s">
        <v>1982</v>
      </c>
      <c r="AM123" s="429"/>
      <c r="AN123" s="447"/>
      <c r="AO123" s="447"/>
      <c r="AP123" s="447"/>
      <c r="AQ123" s="365">
        <f>0.4%+0.04%+0.1%+0.04%</f>
        <v>0.0058</v>
      </c>
      <c r="AR123" s="419">
        <f t="shared" si="14"/>
        <v>618104</v>
      </c>
      <c r="AS123" s="359"/>
      <c r="AT123" s="359">
        <v>100</v>
      </c>
      <c r="AU123" s="359"/>
      <c r="AV123" s="359"/>
      <c r="AW123" s="359"/>
      <c r="AX123" s="359"/>
      <c r="AY123" s="421"/>
      <c r="AZ123" s="422"/>
      <c r="BA123" s="359"/>
      <c r="BB123" s="359">
        <v>128104</v>
      </c>
      <c r="BC123" s="359"/>
      <c r="BD123" s="359">
        <v>490000</v>
      </c>
      <c r="BE123" s="359"/>
      <c r="BZ123" s="134" t="s">
        <v>376</v>
      </c>
      <c r="CA123" s="134" t="s">
        <v>387</v>
      </c>
      <c r="CB123" s="134" t="s">
        <v>377</v>
      </c>
      <c r="CE123" s="149"/>
    </row>
    <row r="124" s="134" customFormat="1" customHeight="1" spans="1:83">
      <c r="A124" s="134">
        <v>82</v>
      </c>
      <c r="C124" s="138">
        <v>44966</v>
      </c>
      <c r="D124" s="444">
        <v>20230001118</v>
      </c>
      <c r="F124" s="429" t="s">
        <v>1983</v>
      </c>
      <c r="G124" s="143" t="s">
        <v>1984</v>
      </c>
      <c r="H124" s="1010" t="s">
        <v>1985</v>
      </c>
      <c r="I124" s="414" t="s">
        <v>1986</v>
      </c>
      <c r="J124" s="134">
        <v>115.58</v>
      </c>
      <c r="K124" s="134">
        <v>115.58</v>
      </c>
      <c r="L124" s="134">
        <v>5353.38</v>
      </c>
      <c r="M124" s="436">
        <f>-54+618797</f>
        <v>618743</v>
      </c>
      <c r="N124" s="437"/>
      <c r="O124" s="445">
        <v>567654.13</v>
      </c>
      <c r="P124" s="446" t="s">
        <v>1987</v>
      </c>
      <c r="Q124" s="448">
        <v>45617</v>
      </c>
      <c r="R124" s="359"/>
      <c r="S124" s="362"/>
      <c r="T124" s="426" t="s">
        <v>1988</v>
      </c>
      <c r="U124" s="416" t="s">
        <v>1989</v>
      </c>
      <c r="V124" s="359">
        <v>289797</v>
      </c>
      <c r="W124" s="438" t="s">
        <v>1377</v>
      </c>
      <c r="X124" s="134">
        <v>30000</v>
      </c>
      <c r="Y124" s="134" t="s">
        <v>1346</v>
      </c>
      <c r="Z124" s="359">
        <v>299000</v>
      </c>
      <c r="AA124" s="362" t="s">
        <v>1990</v>
      </c>
      <c r="AB124" s="359">
        <v>-54</v>
      </c>
      <c r="AH124" s="359">
        <f t="shared" si="21"/>
        <v>618743</v>
      </c>
      <c r="AK124" s="364">
        <f t="shared" si="15"/>
        <v>0</v>
      </c>
      <c r="AL124" s="429" t="s">
        <v>1991</v>
      </c>
      <c r="AM124" s="429"/>
      <c r="AN124" s="447"/>
      <c r="AO124" s="447"/>
      <c r="AP124" s="447"/>
      <c r="AQ124" s="365">
        <f>0.4%+0.04%+0.1%</f>
        <v>0.0054</v>
      </c>
      <c r="AR124" s="419">
        <f t="shared" si="14"/>
        <v>618797</v>
      </c>
      <c r="AS124" s="359"/>
      <c r="AT124" s="359">
        <v>100</v>
      </c>
      <c r="AU124" s="359"/>
      <c r="AV124" s="359">
        <v>319797</v>
      </c>
      <c r="AW124" s="359"/>
      <c r="AX124" s="359"/>
      <c r="AY124" s="421"/>
      <c r="AZ124" s="422"/>
      <c r="BA124" s="359">
        <v>299000</v>
      </c>
      <c r="BB124" s="359"/>
      <c r="BC124" s="359"/>
      <c r="BD124" s="359"/>
      <c r="BE124" s="359"/>
      <c r="BZ124" s="134" t="s">
        <v>376</v>
      </c>
      <c r="CA124" s="134" t="s">
        <v>387</v>
      </c>
      <c r="CB124" s="134" t="s">
        <v>377</v>
      </c>
      <c r="CE124" s="149"/>
    </row>
    <row r="125" s="134" customFormat="1" customHeight="1" spans="1:83">
      <c r="A125" s="134">
        <v>83</v>
      </c>
      <c r="C125" s="138">
        <v>44967</v>
      </c>
      <c r="D125" s="444">
        <v>20230001276</v>
      </c>
      <c r="F125" s="429" t="s">
        <v>1992</v>
      </c>
      <c r="G125" s="143" t="s">
        <v>1993</v>
      </c>
      <c r="H125" s="1010" t="s">
        <v>1994</v>
      </c>
      <c r="I125" s="423" t="s">
        <v>1995</v>
      </c>
      <c r="J125" s="134">
        <v>115.58</v>
      </c>
      <c r="K125" s="134">
        <v>115.58</v>
      </c>
      <c r="L125" s="134">
        <v>5392.38</v>
      </c>
      <c r="M125" s="436">
        <f>-54+623305</f>
        <v>623251</v>
      </c>
      <c r="N125" s="437"/>
      <c r="O125" s="445">
        <v>571789.91</v>
      </c>
      <c r="P125" s="446" t="s">
        <v>1996</v>
      </c>
      <c r="Q125" s="448">
        <v>45617</v>
      </c>
      <c r="R125" s="359"/>
      <c r="S125" s="362"/>
      <c r="T125" s="363" t="s">
        <v>1997</v>
      </c>
      <c r="U125" s="362" t="s">
        <v>1998</v>
      </c>
      <c r="V125" s="359">
        <v>233305</v>
      </c>
      <c r="W125" s="134" t="s">
        <v>1346</v>
      </c>
      <c r="X125" s="359">
        <f>72000+18000</f>
        <v>90000</v>
      </c>
      <c r="Y125" s="362" t="s">
        <v>1999</v>
      </c>
      <c r="Z125" s="359">
        <v>300000</v>
      </c>
      <c r="AA125" s="362" t="s">
        <v>2000</v>
      </c>
      <c r="AB125" s="359">
        <v>-54</v>
      </c>
      <c r="AH125" s="359">
        <f t="shared" si="21"/>
        <v>623251</v>
      </c>
      <c r="AK125" s="364">
        <f t="shared" si="15"/>
        <v>0</v>
      </c>
      <c r="AL125" s="429" t="s">
        <v>2001</v>
      </c>
      <c r="AM125" s="429"/>
      <c r="AN125" s="447"/>
      <c r="AO125" s="447"/>
      <c r="AP125" s="447"/>
      <c r="AQ125" s="365">
        <f>0.6%+0.1%+0.04%</f>
        <v>0.0074</v>
      </c>
      <c r="AR125" s="419">
        <f t="shared" si="14"/>
        <v>623305</v>
      </c>
      <c r="AS125" s="359"/>
      <c r="AT125" s="359">
        <v>100</v>
      </c>
      <c r="AU125" s="359"/>
      <c r="AV125" s="359"/>
      <c r="AW125" s="359"/>
      <c r="AX125" s="359"/>
      <c r="AY125" s="421"/>
      <c r="AZ125" s="422"/>
      <c r="BA125" s="359">
        <v>323305</v>
      </c>
      <c r="BB125" s="359"/>
      <c r="BC125" s="359">
        <v>300000</v>
      </c>
      <c r="BD125" s="359"/>
      <c r="BE125" s="359"/>
      <c r="BZ125" s="134" t="s">
        <v>376</v>
      </c>
      <c r="CA125" s="134" t="s">
        <v>387</v>
      </c>
      <c r="CB125" s="134" t="s">
        <v>377</v>
      </c>
      <c r="CE125" s="149"/>
    </row>
    <row r="126" s="134" customFormat="1" customHeight="1" spans="1:83">
      <c r="A126" s="134">
        <v>84</v>
      </c>
      <c r="C126" s="138">
        <v>44965</v>
      </c>
      <c r="D126" s="444">
        <v>20230001043</v>
      </c>
      <c r="F126" s="429" t="s">
        <v>2002</v>
      </c>
      <c r="G126" s="143" t="s">
        <v>2003</v>
      </c>
      <c r="H126" s="1010" t="s">
        <v>2004</v>
      </c>
      <c r="I126" s="414" t="s">
        <v>2005</v>
      </c>
      <c r="J126" s="134">
        <v>115.58</v>
      </c>
      <c r="K126" s="134">
        <v>115.58</v>
      </c>
      <c r="L126" s="134">
        <v>5398.38</v>
      </c>
      <c r="M126" s="436">
        <f>-54+623999</f>
        <v>623945</v>
      </c>
      <c r="N126" s="437"/>
      <c r="O126" s="445">
        <v>572426.61</v>
      </c>
      <c r="P126" s="446" t="s">
        <v>2006</v>
      </c>
      <c r="Q126" s="448">
        <v>45617</v>
      </c>
      <c r="R126" s="359"/>
      <c r="S126" s="362"/>
      <c r="T126" s="363" t="s">
        <v>2007</v>
      </c>
      <c r="U126" s="362" t="s">
        <v>2008</v>
      </c>
      <c r="V126" s="359">
        <v>2000</v>
      </c>
      <c r="W126" s="138">
        <v>44775</v>
      </c>
      <c r="X126" s="359">
        <v>18000</v>
      </c>
      <c r="Y126" s="438" t="s">
        <v>1398</v>
      </c>
      <c r="Z126" s="359">
        <v>179999</v>
      </c>
      <c r="AA126" s="134" t="s">
        <v>1481</v>
      </c>
      <c r="AB126" s="359">
        <v>374000</v>
      </c>
      <c r="AC126" s="134" t="s">
        <v>2009</v>
      </c>
      <c r="AD126" s="359">
        <v>50000</v>
      </c>
      <c r="AE126" s="362" t="s">
        <v>1990</v>
      </c>
      <c r="AF126" s="134">
        <v>-54</v>
      </c>
      <c r="AH126" s="359">
        <f t="shared" si="21"/>
        <v>623945</v>
      </c>
      <c r="AK126" s="364">
        <f t="shared" si="15"/>
        <v>0</v>
      </c>
      <c r="AL126" s="429" t="s">
        <v>2010</v>
      </c>
      <c r="AM126" s="429"/>
      <c r="AN126" s="447"/>
      <c r="AO126" s="447"/>
      <c r="AP126" s="447"/>
      <c r="AQ126" s="365">
        <f>0.4%+0.04%+0.1%</f>
        <v>0.0054</v>
      </c>
      <c r="AR126" s="419">
        <f t="shared" si="14"/>
        <v>623999</v>
      </c>
      <c r="AS126" s="359"/>
      <c r="AT126" s="359"/>
      <c r="AU126" s="359"/>
      <c r="AV126" s="359"/>
      <c r="AW126" s="359"/>
      <c r="AX126" s="359"/>
      <c r="AY126" s="421"/>
      <c r="AZ126" s="428"/>
      <c r="BA126" s="359">
        <v>623999</v>
      </c>
      <c r="BB126" s="359"/>
      <c r="BC126" s="359"/>
      <c r="BD126" s="359"/>
      <c r="BE126" s="359"/>
      <c r="BZ126" s="134" t="s">
        <v>376</v>
      </c>
      <c r="CA126" s="134" t="s">
        <v>387</v>
      </c>
      <c r="CB126" s="134" t="s">
        <v>377</v>
      </c>
      <c r="CE126" s="149"/>
    </row>
    <row r="127" s="134" customFormat="1" customHeight="1" spans="1:83">
      <c r="A127" s="134">
        <v>85</v>
      </c>
      <c r="C127" s="138">
        <v>44966</v>
      </c>
      <c r="D127" s="444">
        <v>20230001164</v>
      </c>
      <c r="F127" s="429" t="s">
        <v>2011</v>
      </c>
      <c r="G127" s="420" t="s">
        <v>2012</v>
      </c>
      <c r="H127" s="1009" t="s">
        <v>2013</v>
      </c>
      <c r="I127" s="423" t="s">
        <v>2014</v>
      </c>
      <c r="J127" s="134">
        <v>115.58</v>
      </c>
      <c r="K127" s="134">
        <v>115.58</v>
      </c>
      <c r="L127" s="134">
        <v>5549.78</v>
      </c>
      <c r="M127" s="436">
        <f>-55+641500</f>
        <v>641445</v>
      </c>
      <c r="N127" s="437"/>
      <c r="O127" s="445">
        <v>588481.65</v>
      </c>
      <c r="P127" s="446" t="s">
        <v>2015</v>
      </c>
      <c r="Q127" s="448">
        <v>45617</v>
      </c>
      <c r="R127" s="359"/>
      <c r="S127" s="362"/>
      <c r="T127" s="420" t="s">
        <v>2012</v>
      </c>
      <c r="U127" s="420" t="s">
        <v>2012</v>
      </c>
      <c r="V127" s="359">
        <v>10000</v>
      </c>
      <c r="W127" s="138" t="s">
        <v>1481</v>
      </c>
      <c r="X127" s="359">
        <v>122500</v>
      </c>
      <c r="Y127" s="138" t="s">
        <v>1377</v>
      </c>
      <c r="Z127" s="359">
        <v>10000</v>
      </c>
      <c r="AA127" s="138" t="s">
        <v>2016</v>
      </c>
      <c r="AB127" s="359">
        <v>499000</v>
      </c>
      <c r="AC127" s="362" t="s">
        <v>2017</v>
      </c>
      <c r="AD127" s="134">
        <v>-55</v>
      </c>
      <c r="AH127" s="359">
        <f t="shared" si="21"/>
        <v>641445</v>
      </c>
      <c r="AK127" s="364">
        <f t="shared" si="15"/>
        <v>0</v>
      </c>
      <c r="AL127" s="429" t="s">
        <v>2018</v>
      </c>
      <c r="AM127" s="429"/>
      <c r="AN127" s="447"/>
      <c r="AO127" s="447"/>
      <c r="AP127" s="447"/>
      <c r="AQ127" s="365">
        <f>0.4%+0.04%+0.14%</f>
        <v>0.0058</v>
      </c>
      <c r="AR127" s="419">
        <f t="shared" si="14"/>
        <v>641500</v>
      </c>
      <c r="AS127" s="359"/>
      <c r="AT127" s="359"/>
      <c r="AU127" s="359"/>
      <c r="AV127" s="359">
        <v>132500</v>
      </c>
      <c r="AW127" s="359"/>
      <c r="AX127" s="359"/>
      <c r="AY127" s="421"/>
      <c r="AZ127" s="422"/>
      <c r="BA127" s="359">
        <v>509000</v>
      </c>
      <c r="BB127" s="359"/>
      <c r="BC127" s="359"/>
      <c r="BD127" s="359"/>
      <c r="BE127" s="359"/>
      <c r="BZ127" s="134" t="s">
        <v>376</v>
      </c>
      <c r="CA127" s="134" t="s">
        <v>387</v>
      </c>
      <c r="CB127" s="134" t="s">
        <v>377</v>
      </c>
      <c r="CE127" s="149"/>
    </row>
    <row r="128" s="134" customFormat="1" customHeight="1" spans="1:83">
      <c r="A128" s="134">
        <v>86</v>
      </c>
      <c r="C128" s="138">
        <v>45044</v>
      </c>
      <c r="D128" s="444">
        <v>20230003749</v>
      </c>
      <c r="F128" s="429" t="s">
        <v>2019</v>
      </c>
      <c r="G128" s="420" t="s">
        <v>2020</v>
      </c>
      <c r="H128" s="1009" t="s">
        <v>2021</v>
      </c>
      <c r="I128" s="414" t="s">
        <v>2022</v>
      </c>
      <c r="J128" s="134">
        <v>115.58</v>
      </c>
      <c r="K128" s="134">
        <v>115.58</v>
      </c>
      <c r="L128" s="134">
        <v>5500</v>
      </c>
      <c r="M128" s="436">
        <f>-55+635745</f>
        <v>635690</v>
      </c>
      <c r="N128" s="437"/>
      <c r="O128" s="445">
        <v>583201.83</v>
      </c>
      <c r="P128" s="446" t="s">
        <v>2023</v>
      </c>
      <c r="Q128" s="448">
        <v>45617</v>
      </c>
      <c r="R128" s="359"/>
      <c r="S128" s="362"/>
      <c r="T128" s="362" t="s">
        <v>2024</v>
      </c>
      <c r="U128" s="362" t="s">
        <v>2025</v>
      </c>
      <c r="V128" s="359">
        <f>2000</f>
        <v>2000</v>
      </c>
      <c r="W128" s="138">
        <v>44751</v>
      </c>
      <c r="X128" s="359">
        <v>18000</v>
      </c>
      <c r="Y128" s="443" t="s">
        <v>1347</v>
      </c>
      <c r="Z128" s="359">
        <v>100000</v>
      </c>
      <c r="AA128" s="134" t="s">
        <v>2026</v>
      </c>
      <c r="AB128" s="359">
        <v>185745</v>
      </c>
      <c r="AC128" s="134" t="s">
        <v>1482</v>
      </c>
      <c r="AD128" s="134">
        <v>330000</v>
      </c>
      <c r="AE128" s="134" t="s">
        <v>1400</v>
      </c>
      <c r="AF128" s="134">
        <v>-55</v>
      </c>
      <c r="AG128" s="138">
        <v>45909</v>
      </c>
      <c r="AH128" s="359">
        <f t="shared" si="21"/>
        <v>635690</v>
      </c>
      <c r="AK128" s="364">
        <f t="shared" si="15"/>
        <v>0</v>
      </c>
      <c r="AL128" s="429" t="s">
        <v>2027</v>
      </c>
      <c r="AM128" s="429"/>
      <c r="AN128" s="447"/>
      <c r="AO128" s="447"/>
      <c r="AP128" s="447"/>
      <c r="AQ128" s="365">
        <f>0.6%+0.06%+0.14%</f>
        <v>0.008</v>
      </c>
      <c r="AR128" s="419">
        <f t="shared" si="14"/>
        <v>635754</v>
      </c>
      <c r="AS128" s="359"/>
      <c r="AT128" s="359"/>
      <c r="AU128" s="359"/>
      <c r="AV128" s="359"/>
      <c r="AW128" s="359"/>
      <c r="AX128" s="359">
        <v>305754</v>
      </c>
      <c r="AY128" s="421">
        <v>330000</v>
      </c>
      <c r="AZ128" s="422"/>
      <c r="BA128" s="359"/>
      <c r="BB128" s="359"/>
      <c r="BC128" s="359"/>
      <c r="BD128" s="359"/>
      <c r="BE128" s="359"/>
      <c r="BZ128" s="134" t="s">
        <v>376</v>
      </c>
      <c r="CA128" s="134" t="s">
        <v>387</v>
      </c>
      <c r="CB128" s="134" t="s">
        <v>377</v>
      </c>
      <c r="CE128" s="149"/>
    </row>
    <row r="129" s="134" customFormat="1" customHeight="1" spans="1:83">
      <c r="A129" s="134">
        <v>87</v>
      </c>
      <c r="C129" s="138">
        <v>44965</v>
      </c>
      <c r="D129" s="444">
        <v>20230001057</v>
      </c>
      <c r="F129" s="429" t="s">
        <v>2028</v>
      </c>
      <c r="G129" s="440" t="s">
        <v>2029</v>
      </c>
      <c r="H129" s="1008" t="s">
        <v>2030</v>
      </c>
      <c r="I129" s="414" t="s">
        <v>2031</v>
      </c>
      <c r="J129" s="134">
        <v>115.58</v>
      </c>
      <c r="K129" s="134">
        <v>115.58</v>
      </c>
      <c r="L129" s="134">
        <v>6572.42</v>
      </c>
      <c r="M129" s="436">
        <f>-66+759706</f>
        <v>759640</v>
      </c>
      <c r="N129" s="437"/>
      <c r="O129" s="445">
        <v>696917.43</v>
      </c>
      <c r="P129" s="446" t="s">
        <v>2032</v>
      </c>
      <c r="Q129" s="448">
        <v>45617</v>
      </c>
      <c r="R129" s="359"/>
      <c r="S129" s="362"/>
      <c r="T129" s="426" t="s">
        <v>2033</v>
      </c>
      <c r="U129" s="416" t="s">
        <v>2034</v>
      </c>
      <c r="V129" s="359">
        <v>39706</v>
      </c>
      <c r="W129" s="134" t="s">
        <v>1383</v>
      </c>
      <c r="X129" s="359">
        <v>390000</v>
      </c>
      <c r="Y129" s="134" t="s">
        <v>927</v>
      </c>
      <c r="Z129" s="359">
        <v>330000</v>
      </c>
      <c r="AA129" s="134" t="s">
        <v>1627</v>
      </c>
      <c r="AB129" s="359">
        <v>-66</v>
      </c>
      <c r="AH129" s="359">
        <f t="shared" ref="AH129:AH160" si="22">V129+X129+Z129+AB129+AD129+AF129</f>
        <v>759640</v>
      </c>
      <c r="AK129" s="364">
        <f t="shared" si="15"/>
        <v>0</v>
      </c>
      <c r="AL129" s="429" t="s">
        <v>2035</v>
      </c>
      <c r="AM129" s="429"/>
      <c r="AN129" s="447"/>
      <c r="AO129" s="447"/>
      <c r="AP129" s="447"/>
      <c r="AQ129" s="365">
        <f>0.6%+0.1%</f>
        <v>0.007</v>
      </c>
      <c r="AR129" s="419">
        <f t="shared" si="14"/>
        <v>759706</v>
      </c>
      <c r="AS129" s="359"/>
      <c r="AT129" s="359">
        <f>100+100</f>
        <v>200</v>
      </c>
      <c r="AU129" s="359"/>
      <c r="AV129" s="359"/>
      <c r="AW129" s="359"/>
      <c r="AX129" s="359">
        <v>429706</v>
      </c>
      <c r="AY129" s="421">
        <v>330000</v>
      </c>
      <c r="AZ129" s="422"/>
      <c r="BA129" s="359"/>
      <c r="BB129" s="359"/>
      <c r="BC129" s="359"/>
      <c r="BD129" s="359"/>
      <c r="BE129" s="359"/>
      <c r="BZ129" s="134" t="s">
        <v>376</v>
      </c>
      <c r="CA129" s="134" t="s">
        <v>387</v>
      </c>
      <c r="CB129" s="134" t="s">
        <v>377</v>
      </c>
      <c r="CE129" s="149"/>
    </row>
    <row r="130" s="134" customFormat="1" customHeight="1" spans="1:83">
      <c r="A130" s="134">
        <v>88</v>
      </c>
      <c r="C130" s="138">
        <v>44964</v>
      </c>
      <c r="D130" s="420">
        <v>20230000895</v>
      </c>
      <c r="F130" s="476" t="s">
        <v>2036</v>
      </c>
      <c r="G130" s="440" t="s">
        <v>2037</v>
      </c>
      <c r="H130" s="1008" t="s">
        <v>2038</v>
      </c>
      <c r="I130" s="414" t="s">
        <v>2039</v>
      </c>
      <c r="J130" s="134">
        <v>115.58</v>
      </c>
      <c r="K130" s="134">
        <v>115.58</v>
      </c>
      <c r="L130" s="134">
        <v>6630.42</v>
      </c>
      <c r="M130" s="436">
        <f>-66+766410</f>
        <v>766344</v>
      </c>
      <c r="N130" s="437"/>
      <c r="O130" s="445">
        <v>703067.89</v>
      </c>
      <c r="P130" s="446" t="s">
        <v>2040</v>
      </c>
      <c r="Q130" s="448">
        <v>45617</v>
      </c>
      <c r="R130" s="359"/>
      <c r="S130" s="362"/>
      <c r="T130" s="426" t="s">
        <v>2041</v>
      </c>
      <c r="U130" s="416" t="s">
        <v>2042</v>
      </c>
      <c r="V130" s="359">
        <v>26410</v>
      </c>
      <c r="W130" s="443" t="s">
        <v>1442</v>
      </c>
      <c r="X130" s="359">
        <v>479000</v>
      </c>
      <c r="Y130" s="134" t="s">
        <v>1481</v>
      </c>
      <c r="Z130" s="359">
        <v>140000</v>
      </c>
      <c r="AA130" s="134" t="s">
        <v>2043</v>
      </c>
      <c r="AB130" s="359">
        <v>121000</v>
      </c>
      <c r="AC130" s="362" t="s">
        <v>2044</v>
      </c>
      <c r="AD130" s="134">
        <v>-66</v>
      </c>
      <c r="AH130" s="359">
        <f t="shared" si="22"/>
        <v>766344</v>
      </c>
      <c r="AK130" s="364">
        <f t="shared" si="15"/>
        <v>0</v>
      </c>
      <c r="AL130" s="429" t="s">
        <v>2045</v>
      </c>
      <c r="AM130" s="429"/>
      <c r="AN130" s="447"/>
      <c r="AO130" s="447"/>
      <c r="AP130" s="447"/>
      <c r="AQ130" s="365">
        <f>0.6%+0.04%+0.1%</f>
        <v>0.0074</v>
      </c>
      <c r="AR130" s="419">
        <f t="shared" si="14"/>
        <v>766410</v>
      </c>
      <c r="AS130" s="359"/>
      <c r="AT130" s="359">
        <v>100</v>
      </c>
      <c r="AU130" s="359"/>
      <c r="AV130" s="359">
        <v>505410</v>
      </c>
      <c r="AW130" s="359"/>
      <c r="AX130" s="359"/>
      <c r="AY130" s="421"/>
      <c r="AZ130" s="422"/>
      <c r="BA130" s="359">
        <v>261000</v>
      </c>
      <c r="BB130" s="359"/>
      <c r="BC130" s="359"/>
      <c r="BD130" s="359"/>
      <c r="BE130" s="359"/>
      <c r="BZ130" s="134" t="s">
        <v>376</v>
      </c>
      <c r="CA130" s="134" t="s">
        <v>387</v>
      </c>
      <c r="CB130" s="134" t="s">
        <v>377</v>
      </c>
      <c r="CE130" s="149"/>
    </row>
    <row r="131" s="134" customFormat="1" ht="65" customHeight="1" spans="1:83">
      <c r="A131" s="134">
        <v>89</v>
      </c>
      <c r="C131" s="138">
        <v>44963</v>
      </c>
      <c r="D131" s="420">
        <v>20230000774</v>
      </c>
      <c r="F131" s="429" t="s">
        <v>2046</v>
      </c>
      <c r="G131" s="440" t="s">
        <v>522</v>
      </c>
      <c r="H131" s="1008" t="s">
        <v>2047</v>
      </c>
      <c r="I131" s="414" t="s">
        <v>2048</v>
      </c>
      <c r="J131" s="134">
        <v>143.33</v>
      </c>
      <c r="K131" s="134">
        <v>143.33</v>
      </c>
      <c r="L131" s="134">
        <v>7857</v>
      </c>
      <c r="M131" s="358">
        <v>1126144</v>
      </c>
      <c r="N131" s="359"/>
      <c r="O131" s="145">
        <v>1033159.63</v>
      </c>
      <c r="P131" s="1014" t="s">
        <v>2049</v>
      </c>
      <c r="Q131" s="468">
        <v>45630</v>
      </c>
      <c r="R131" s="359"/>
      <c r="S131" s="416"/>
      <c r="T131" s="426" t="s">
        <v>2050</v>
      </c>
      <c r="U131" s="416" t="s">
        <v>2051</v>
      </c>
      <c r="V131" s="359">
        <f>4000-4000</f>
        <v>0</v>
      </c>
      <c r="W131" s="413" t="s">
        <v>2052</v>
      </c>
      <c r="X131" s="359">
        <v>487144</v>
      </c>
      <c r="Y131" s="443" t="s">
        <v>1416</v>
      </c>
      <c r="Z131" s="359">
        <v>140000</v>
      </c>
      <c r="AA131" s="138" t="s">
        <v>2009</v>
      </c>
      <c r="AB131" s="359">
        <v>499000</v>
      </c>
      <c r="AC131" s="416" t="s">
        <v>2053</v>
      </c>
      <c r="AH131" s="359">
        <f t="shared" si="22"/>
        <v>1126144</v>
      </c>
      <c r="AK131" s="364">
        <f t="shared" si="15"/>
        <v>0</v>
      </c>
      <c r="AL131" s="429" t="s">
        <v>2054</v>
      </c>
      <c r="AM131" s="429"/>
      <c r="AN131" s="441"/>
      <c r="AO131" s="441"/>
      <c r="AP131" s="441"/>
      <c r="AQ131" s="365">
        <f>0.6%+0.04%+0.1%+0.04%</f>
        <v>0.0078</v>
      </c>
      <c r="AR131" s="419">
        <f t="shared" si="14"/>
        <v>1126144</v>
      </c>
      <c r="AS131" s="359">
        <f t="shared" ref="AS131:AS133" si="23">100</f>
        <v>100</v>
      </c>
      <c r="AT131" s="359">
        <f>100+100+100+100</f>
        <v>400</v>
      </c>
      <c r="AU131" s="359"/>
      <c r="AV131" s="359"/>
      <c r="AW131" s="359">
        <v>627144</v>
      </c>
      <c r="AX131" s="359"/>
      <c r="AY131" s="421"/>
      <c r="AZ131" s="428"/>
      <c r="BA131" s="359"/>
      <c r="BB131" s="359">
        <v>499000</v>
      </c>
      <c r="BC131" s="359"/>
      <c r="BD131" s="359"/>
      <c r="BE131" s="359"/>
      <c r="BZ131" s="134" t="s">
        <v>376</v>
      </c>
      <c r="CA131" s="134" t="s">
        <v>387</v>
      </c>
      <c r="CB131" s="134" t="s">
        <v>377</v>
      </c>
      <c r="CE131" s="149"/>
    </row>
    <row r="132" s="109" customFormat="1" customHeight="1" spans="1:83">
      <c r="A132" s="477">
        <v>90</v>
      </c>
      <c r="B132" s="149"/>
      <c r="C132" s="149"/>
      <c r="D132" s="451"/>
      <c r="E132" s="149"/>
      <c r="F132" s="451"/>
      <c r="G132" s="478"/>
      <c r="H132" s="462"/>
      <c r="I132" s="479" t="s">
        <v>2055</v>
      </c>
      <c r="J132" s="149">
        <v>152.79</v>
      </c>
      <c r="K132" s="149"/>
      <c r="L132" s="149"/>
      <c r="M132" s="464"/>
      <c r="N132" s="465">
        <v>8079.72</v>
      </c>
      <c r="O132" s="454"/>
      <c r="P132" s="455"/>
      <c r="Q132" s="455"/>
      <c r="R132" s="403"/>
      <c r="S132" s="466"/>
      <c r="T132" s="466"/>
      <c r="U132" s="466"/>
      <c r="V132" s="403"/>
      <c r="W132" s="480"/>
      <c r="X132" s="403"/>
      <c r="Y132" s="407"/>
      <c r="Z132" s="403"/>
      <c r="AA132" s="456"/>
      <c r="AB132" s="403"/>
      <c r="AC132" s="149"/>
      <c r="AD132" s="149"/>
      <c r="AE132" s="149"/>
      <c r="AF132" s="149"/>
      <c r="AG132" s="149"/>
      <c r="AH132" s="359">
        <f t="shared" si="22"/>
        <v>0</v>
      </c>
      <c r="AI132" s="149"/>
      <c r="AJ132" s="149"/>
      <c r="AK132" s="409">
        <f t="shared" si="15"/>
        <v>0</v>
      </c>
      <c r="AL132" s="451"/>
      <c r="AM132" s="451"/>
      <c r="AN132" s="457"/>
      <c r="AO132" s="457"/>
      <c r="AP132" s="457"/>
      <c r="AQ132" s="481"/>
      <c r="AR132" s="411">
        <f t="shared" si="14"/>
        <v>0</v>
      </c>
      <c r="AS132" s="482">
        <f t="shared" si="23"/>
        <v>100</v>
      </c>
      <c r="AT132" s="482">
        <f>100+100+100</f>
        <v>300</v>
      </c>
      <c r="AU132" s="482"/>
      <c r="AV132" s="482"/>
      <c r="AW132" s="482"/>
      <c r="AX132" s="482"/>
      <c r="AY132" s="483"/>
      <c r="AZ132" s="484"/>
      <c r="BA132" s="482"/>
      <c r="BB132" s="482"/>
      <c r="BC132" s="482"/>
      <c r="BD132" s="482"/>
      <c r="BE132" s="482"/>
      <c r="CE132" s="149"/>
    </row>
    <row r="133" s="134" customFormat="1" customHeight="1" spans="1:83">
      <c r="A133" s="134">
        <v>91</v>
      </c>
      <c r="C133" s="138">
        <v>44965</v>
      </c>
      <c r="D133" s="444">
        <v>20230001006</v>
      </c>
      <c r="F133" s="429" t="s">
        <v>2056</v>
      </c>
      <c r="G133" s="420" t="s">
        <v>2057</v>
      </c>
      <c r="H133" s="1009" t="s">
        <v>2058</v>
      </c>
      <c r="I133" s="414" t="s">
        <v>2059</v>
      </c>
      <c r="J133" s="134">
        <v>142.14</v>
      </c>
      <c r="K133" s="134">
        <v>142.14</v>
      </c>
      <c r="L133" s="134">
        <v>5086.1</v>
      </c>
      <c r="M133" s="436">
        <v>722938</v>
      </c>
      <c r="N133" s="437"/>
      <c r="O133" s="445">
        <v>663245.87</v>
      </c>
      <c r="P133" s="446" t="s">
        <v>2060</v>
      </c>
      <c r="Q133" s="468">
        <v>45630</v>
      </c>
      <c r="R133" s="359"/>
      <c r="S133" s="362"/>
      <c r="T133" s="363" t="s">
        <v>2061</v>
      </c>
      <c r="U133" s="362" t="s">
        <v>2062</v>
      </c>
      <c r="V133" s="359">
        <v>122938</v>
      </c>
      <c r="W133" s="134" t="s">
        <v>1481</v>
      </c>
      <c r="X133" s="359">
        <v>110000</v>
      </c>
      <c r="Y133" s="134" t="s">
        <v>1608</v>
      </c>
      <c r="Z133" s="359">
        <v>490000</v>
      </c>
      <c r="AA133" s="362" t="s">
        <v>1175</v>
      </c>
      <c r="AB133" s="359"/>
      <c r="AH133" s="359">
        <f t="shared" si="22"/>
        <v>722938</v>
      </c>
      <c r="AK133" s="364">
        <f t="shared" si="15"/>
        <v>0</v>
      </c>
      <c r="AL133" s="429" t="s">
        <v>2063</v>
      </c>
      <c r="AM133" s="429"/>
      <c r="AN133" s="447"/>
      <c r="AO133" s="447"/>
      <c r="AP133" s="447"/>
      <c r="AQ133" s="365">
        <f>0.6%+0.1%</f>
        <v>0.007</v>
      </c>
      <c r="AR133" s="419">
        <f t="shared" si="14"/>
        <v>722938</v>
      </c>
      <c r="AS133" s="359">
        <f t="shared" si="23"/>
        <v>100</v>
      </c>
      <c r="AT133" s="359"/>
      <c r="AU133" s="359"/>
      <c r="AV133" s="359">
        <v>232938</v>
      </c>
      <c r="AW133" s="359"/>
      <c r="AX133" s="359"/>
      <c r="AY133" s="421"/>
      <c r="AZ133" s="422"/>
      <c r="BA133" s="359">
        <v>490000</v>
      </c>
      <c r="BB133" s="359"/>
      <c r="BC133" s="359"/>
      <c r="BD133" s="359"/>
      <c r="BE133" s="359"/>
      <c r="BZ133" s="134" t="s">
        <v>376</v>
      </c>
      <c r="CA133" s="134" t="s">
        <v>387</v>
      </c>
      <c r="CB133" s="134" t="s">
        <v>377</v>
      </c>
      <c r="CE133" s="149"/>
    </row>
    <row r="134" s="134" customFormat="1" customHeight="1" spans="1:83">
      <c r="A134" s="134">
        <v>92</v>
      </c>
      <c r="C134" s="138">
        <v>45061</v>
      </c>
      <c r="D134" s="444">
        <v>20230004123</v>
      </c>
      <c r="F134" s="429" t="s">
        <v>2064</v>
      </c>
      <c r="G134" s="420" t="s">
        <v>2065</v>
      </c>
      <c r="H134" s="1009" t="s">
        <v>2066</v>
      </c>
      <c r="I134" s="423" t="s">
        <v>2067</v>
      </c>
      <c r="J134" s="134">
        <v>151.48</v>
      </c>
      <c r="K134" s="134">
        <v>151.48</v>
      </c>
      <c r="L134" s="134">
        <v>5253.73</v>
      </c>
      <c r="M134" s="436">
        <f>805888-10000-53</f>
        <v>795835</v>
      </c>
      <c r="N134" s="437">
        <v>5246.59</v>
      </c>
      <c r="O134" s="445">
        <v>730123.85</v>
      </c>
      <c r="P134" s="446" t="s">
        <v>2068</v>
      </c>
      <c r="Q134" s="468">
        <v>45630</v>
      </c>
      <c r="R134" s="359"/>
      <c r="S134" s="362"/>
      <c r="T134" s="362"/>
      <c r="U134" s="362" t="s">
        <v>2069</v>
      </c>
      <c r="V134" s="359">
        <v>20000</v>
      </c>
      <c r="W134" s="362" t="s">
        <v>953</v>
      </c>
      <c r="X134" s="359">
        <v>225888</v>
      </c>
      <c r="Y134" s="138" t="s">
        <v>2070</v>
      </c>
      <c r="Z134" s="359">
        <v>550000</v>
      </c>
      <c r="AA134" s="138" t="s">
        <v>1771</v>
      </c>
      <c r="AB134" s="359">
        <v>-53</v>
      </c>
      <c r="AC134" s="138">
        <v>45909</v>
      </c>
      <c r="AD134" s="138"/>
      <c r="AE134" s="138"/>
      <c r="AF134" s="138"/>
      <c r="AG134" s="138"/>
      <c r="AH134" s="359">
        <f t="shared" si="22"/>
        <v>795835</v>
      </c>
      <c r="AK134" s="364">
        <f t="shared" si="15"/>
        <v>0</v>
      </c>
      <c r="AL134" s="429" t="s">
        <v>2071</v>
      </c>
      <c r="AM134" s="429"/>
      <c r="AN134" s="447"/>
      <c r="AO134" s="447"/>
      <c r="AP134" s="447"/>
      <c r="AQ134" s="365">
        <f>0.6%+0.06%+0.14%</f>
        <v>0.008</v>
      </c>
      <c r="AR134" s="419">
        <f t="shared" ref="AR134:AR197" si="24">SUM(AU134:BU134)</f>
        <v>795888</v>
      </c>
      <c r="AS134" s="359"/>
      <c r="AT134" s="359"/>
      <c r="AU134" s="359"/>
      <c r="AV134" s="359"/>
      <c r="AW134" s="359"/>
      <c r="AX134" s="359"/>
      <c r="AY134" s="218">
        <v>245888</v>
      </c>
      <c r="AZ134" s="292">
        <v>550000</v>
      </c>
      <c r="BA134" s="359"/>
      <c r="BB134" s="359"/>
      <c r="BC134" s="359"/>
      <c r="BD134" s="359"/>
      <c r="BE134" s="359"/>
      <c r="BZ134" s="134" t="s">
        <v>376</v>
      </c>
      <c r="CA134" s="134" t="s">
        <v>387</v>
      </c>
      <c r="CB134" s="134" t="s">
        <v>377</v>
      </c>
      <c r="CE134" s="149"/>
    </row>
    <row r="135" s="134" customFormat="1" customHeight="1" spans="1:83">
      <c r="A135" s="134">
        <v>93</v>
      </c>
      <c r="C135" s="138">
        <v>44968</v>
      </c>
      <c r="D135" s="134">
        <v>20230001471</v>
      </c>
      <c r="F135" s="485" t="s">
        <v>2072</v>
      </c>
      <c r="G135" s="440" t="s">
        <v>2073</v>
      </c>
      <c r="H135" s="1008" t="s">
        <v>2074</v>
      </c>
      <c r="I135" s="414" t="s">
        <v>2075</v>
      </c>
      <c r="J135" s="134">
        <v>142.14</v>
      </c>
      <c r="K135" s="134">
        <v>142.14</v>
      </c>
      <c r="L135" s="134">
        <v>5136.38</v>
      </c>
      <c r="M135" s="436">
        <v>730085</v>
      </c>
      <c r="N135" s="437"/>
      <c r="O135" s="445">
        <v>669802.75</v>
      </c>
      <c r="P135" s="446" t="s">
        <v>2076</v>
      </c>
      <c r="Q135" s="468">
        <v>45630</v>
      </c>
      <c r="R135" s="359"/>
      <c r="S135" s="416"/>
      <c r="T135" s="426" t="s">
        <v>2077</v>
      </c>
      <c r="U135" s="416" t="s">
        <v>2078</v>
      </c>
      <c r="V135" s="359">
        <v>400085</v>
      </c>
      <c r="W135" s="443" t="s">
        <v>1347</v>
      </c>
      <c r="X135" s="359">
        <v>330000</v>
      </c>
      <c r="Y135" s="443" t="s">
        <v>1451</v>
      </c>
      <c r="Z135" s="359"/>
      <c r="AA135" s="443"/>
      <c r="AB135" s="359"/>
      <c r="AH135" s="359">
        <f t="shared" si="22"/>
        <v>730085</v>
      </c>
      <c r="AK135" s="364">
        <f t="shared" si="15"/>
        <v>0</v>
      </c>
      <c r="AL135" s="429" t="s">
        <v>2079</v>
      </c>
      <c r="AM135" s="429"/>
      <c r="AN135" s="447"/>
      <c r="AO135" s="447"/>
      <c r="AP135" s="447"/>
      <c r="AQ135" s="365">
        <f>0.6%+0.04%+0.1%</f>
        <v>0.0074</v>
      </c>
      <c r="AR135" s="419">
        <f t="shared" si="24"/>
        <v>730085</v>
      </c>
      <c r="AS135" s="359">
        <f>100</f>
        <v>100</v>
      </c>
      <c r="AT135" s="359">
        <f>100+100+100</f>
        <v>300</v>
      </c>
      <c r="AU135" s="359"/>
      <c r="AV135" s="359">
        <v>400085</v>
      </c>
      <c r="AW135" s="359">
        <v>330000</v>
      </c>
      <c r="AX135" s="359"/>
      <c r="AY135" s="421"/>
      <c r="AZ135" s="422"/>
      <c r="BA135" s="359"/>
      <c r="BB135" s="359"/>
      <c r="BC135" s="359"/>
      <c r="BD135" s="359"/>
      <c r="BE135" s="359"/>
      <c r="BZ135" s="134" t="s">
        <v>376</v>
      </c>
      <c r="CA135" s="134" t="s">
        <v>387</v>
      </c>
      <c r="CB135" s="134" t="s">
        <v>377</v>
      </c>
      <c r="CE135" s="149"/>
    </row>
    <row r="136" s="134" customFormat="1" ht="71" customHeight="1" spans="1:83">
      <c r="A136" s="134">
        <v>94</v>
      </c>
      <c r="C136" s="138">
        <v>45042</v>
      </c>
      <c r="D136" s="134">
        <v>20230003708</v>
      </c>
      <c r="F136" s="429" t="s">
        <v>2080</v>
      </c>
      <c r="G136" s="440" t="s">
        <v>2081</v>
      </c>
      <c r="H136" s="1008" t="s">
        <v>2082</v>
      </c>
      <c r="I136" s="423" t="s">
        <v>2083</v>
      </c>
      <c r="J136" s="134">
        <v>151.48</v>
      </c>
      <c r="K136" s="134">
        <v>151.48</v>
      </c>
      <c r="L136" s="134">
        <v>5313.88</v>
      </c>
      <c r="M136" s="358">
        <f>-53+805000</f>
        <v>804947</v>
      </c>
      <c r="N136" s="359">
        <v>5298.56</v>
      </c>
      <c r="O136" s="145">
        <v>738483.49</v>
      </c>
      <c r="P136" s="486" t="s">
        <v>2084</v>
      </c>
      <c r="Q136" s="468">
        <v>45630</v>
      </c>
      <c r="R136" s="359"/>
      <c r="S136" s="362"/>
      <c r="T136" s="416" t="s">
        <v>2085</v>
      </c>
      <c r="U136" s="416" t="s">
        <v>2086</v>
      </c>
      <c r="V136" s="359">
        <f>1000-1000+20000</f>
        <v>20000</v>
      </c>
      <c r="W136" s="487" t="s">
        <v>2087</v>
      </c>
      <c r="X136" s="359">
        <v>175000</v>
      </c>
      <c r="Y136" s="138" t="s">
        <v>2088</v>
      </c>
      <c r="Z136" s="359">
        <v>610000</v>
      </c>
      <c r="AA136" s="362" t="s">
        <v>2089</v>
      </c>
      <c r="AB136" s="359">
        <v>-53</v>
      </c>
      <c r="AC136" s="138">
        <v>45909</v>
      </c>
      <c r="AD136" s="488"/>
      <c r="AE136" s="488"/>
      <c r="AF136" s="488"/>
      <c r="AG136" s="488"/>
      <c r="AH136" s="359">
        <f t="shared" si="22"/>
        <v>804947</v>
      </c>
      <c r="AK136" s="364">
        <f t="shared" si="15"/>
        <v>0</v>
      </c>
      <c r="AL136" s="429" t="s">
        <v>2090</v>
      </c>
      <c r="AM136" s="429"/>
      <c r="AN136" s="441"/>
      <c r="AO136" s="441"/>
      <c r="AP136" s="441"/>
      <c r="AQ136" s="365">
        <f>0.4%+0.05%+0.14%+0.06%</f>
        <v>0.0065</v>
      </c>
      <c r="AR136" s="419">
        <f t="shared" si="24"/>
        <v>805000</v>
      </c>
      <c r="AS136" s="359"/>
      <c r="AT136" s="359">
        <v>100</v>
      </c>
      <c r="AU136" s="359"/>
      <c r="AV136" s="359"/>
      <c r="AW136" s="359"/>
      <c r="AX136" s="359">
        <v>195000</v>
      </c>
      <c r="AY136" s="218"/>
      <c r="AZ136" s="425"/>
      <c r="BA136" s="359"/>
      <c r="BB136" s="359"/>
      <c r="BC136" s="359">
        <v>610000</v>
      </c>
      <c r="BD136" s="359"/>
      <c r="BE136" s="359"/>
      <c r="BZ136" s="134" t="s">
        <v>376</v>
      </c>
      <c r="CA136" s="134" t="s">
        <v>387</v>
      </c>
      <c r="CB136" s="134" t="s">
        <v>377</v>
      </c>
      <c r="CE136" s="149"/>
    </row>
    <row r="137" s="134" customFormat="1" ht="62" customHeight="1" spans="1:83">
      <c r="A137" s="134">
        <v>95</v>
      </c>
      <c r="C137" s="138">
        <v>44963</v>
      </c>
      <c r="D137" s="444">
        <v>20230000803</v>
      </c>
      <c r="F137" s="429" t="s">
        <v>2091</v>
      </c>
      <c r="G137" s="440" t="s">
        <v>2092</v>
      </c>
      <c r="H137" s="1008" t="s">
        <v>2093</v>
      </c>
      <c r="I137" s="414" t="s">
        <v>2094</v>
      </c>
      <c r="J137" s="134">
        <v>142.14</v>
      </c>
      <c r="K137" s="134">
        <v>142.14</v>
      </c>
      <c r="L137" s="134">
        <v>5166.38</v>
      </c>
      <c r="M137" s="436">
        <v>734350</v>
      </c>
      <c r="N137" s="437"/>
      <c r="O137" s="445">
        <v>673715.6</v>
      </c>
      <c r="P137" s="446" t="s">
        <v>2095</v>
      </c>
      <c r="Q137" s="468">
        <v>45630</v>
      </c>
      <c r="R137" s="359"/>
      <c r="S137" s="416"/>
      <c r="T137" s="426" t="s">
        <v>2096</v>
      </c>
      <c r="U137" s="416" t="s">
        <v>2097</v>
      </c>
      <c r="V137" s="134">
        <v>3350</v>
      </c>
      <c r="W137" s="138" t="s">
        <v>1416</v>
      </c>
      <c r="X137" s="359">
        <v>281000</v>
      </c>
      <c r="Y137" s="138" t="s">
        <v>927</v>
      </c>
      <c r="Z137" s="359">
        <v>450000</v>
      </c>
      <c r="AA137" s="416" t="s">
        <v>1112</v>
      </c>
      <c r="AB137" s="359"/>
      <c r="AH137" s="359">
        <f t="shared" si="22"/>
        <v>734350</v>
      </c>
      <c r="AK137" s="364">
        <f t="shared" si="15"/>
        <v>0</v>
      </c>
      <c r="AL137" s="429" t="s">
        <v>2098</v>
      </c>
      <c r="AM137" s="429"/>
      <c r="AN137" s="447"/>
      <c r="AO137" s="447"/>
      <c r="AP137" s="447"/>
      <c r="AQ137" s="365">
        <f>0.4%+0.05%+0.14%</f>
        <v>0.0059</v>
      </c>
      <c r="AR137" s="419">
        <f t="shared" si="24"/>
        <v>734350</v>
      </c>
      <c r="AS137" s="359"/>
      <c r="AT137" s="359">
        <f>100+100</f>
        <v>200</v>
      </c>
      <c r="AU137" s="359"/>
      <c r="AV137" s="359"/>
      <c r="AW137" s="359"/>
      <c r="AX137" s="359">
        <v>284350</v>
      </c>
      <c r="AY137" s="421"/>
      <c r="AZ137" s="422"/>
      <c r="BA137" s="359">
        <v>450000</v>
      </c>
      <c r="BB137" s="359"/>
      <c r="BC137" s="359"/>
      <c r="BD137" s="359"/>
      <c r="BE137" s="359"/>
      <c r="BZ137" s="134" t="s">
        <v>376</v>
      </c>
      <c r="CA137" s="134" t="s">
        <v>387</v>
      </c>
      <c r="CB137" s="134" t="s">
        <v>377</v>
      </c>
      <c r="CE137" s="149"/>
    </row>
    <row r="138" s="134" customFormat="1" ht="47" customHeight="1" spans="1:83">
      <c r="A138" s="134">
        <v>96</v>
      </c>
      <c r="C138" s="138">
        <v>45000</v>
      </c>
      <c r="D138" s="444">
        <v>20230002472</v>
      </c>
      <c r="F138" s="429" t="s">
        <v>2099</v>
      </c>
      <c r="G138" s="440" t="s">
        <v>2100</v>
      </c>
      <c r="H138" s="440"/>
      <c r="I138" s="423" t="s">
        <v>2101</v>
      </c>
      <c r="J138" s="134">
        <v>151.48</v>
      </c>
      <c r="K138" s="134">
        <v>151.48</v>
      </c>
      <c r="L138" s="134">
        <v>5329.57</v>
      </c>
      <c r="M138" s="436">
        <f>-53+802897</f>
        <v>802844</v>
      </c>
      <c r="N138" s="437">
        <v>5329.57</v>
      </c>
      <c r="O138" s="445">
        <v>736554.13</v>
      </c>
      <c r="P138" s="446" t="s">
        <v>2102</v>
      </c>
      <c r="Q138" s="468">
        <v>45631</v>
      </c>
      <c r="R138" s="359"/>
      <c r="S138" s="362"/>
      <c r="T138" s="416" t="s">
        <v>2100</v>
      </c>
      <c r="U138" s="416" t="s">
        <v>2100</v>
      </c>
      <c r="V138" s="359">
        <v>302897</v>
      </c>
      <c r="W138" s="443" t="s">
        <v>926</v>
      </c>
      <c r="X138" s="359">
        <v>500000</v>
      </c>
      <c r="Y138" s="362" t="s">
        <v>2103</v>
      </c>
      <c r="Z138" s="359">
        <v>-53</v>
      </c>
      <c r="AA138" s="138">
        <v>45909</v>
      </c>
      <c r="AB138" s="359"/>
      <c r="AH138" s="359">
        <f t="shared" si="22"/>
        <v>802844</v>
      </c>
      <c r="AK138" s="364">
        <f t="shared" si="15"/>
        <v>0</v>
      </c>
      <c r="AL138" s="429" t="s">
        <v>2104</v>
      </c>
      <c r="AM138" s="429"/>
      <c r="AN138" s="447"/>
      <c r="AO138" s="447"/>
      <c r="AP138" s="447"/>
      <c r="AQ138" s="365">
        <f>0.6%+0.06%+0.14%+0.06%</f>
        <v>0.0086</v>
      </c>
      <c r="AR138" s="419">
        <f t="shared" si="24"/>
        <v>802897</v>
      </c>
      <c r="AS138" s="359">
        <v>100</v>
      </c>
      <c r="AT138" s="359"/>
      <c r="AU138" s="359"/>
      <c r="AV138" s="359"/>
      <c r="AW138" s="359"/>
      <c r="AX138" s="359"/>
      <c r="AY138" s="218">
        <v>302897</v>
      </c>
      <c r="AZ138" s="425"/>
      <c r="BA138" s="359"/>
      <c r="BB138" s="359"/>
      <c r="BC138" s="359">
        <v>500000</v>
      </c>
      <c r="BD138" s="359"/>
      <c r="BE138" s="359"/>
      <c r="BZ138" s="134" t="s">
        <v>376</v>
      </c>
      <c r="CA138" s="134" t="s">
        <v>387</v>
      </c>
      <c r="CB138" s="134" t="s">
        <v>377</v>
      </c>
      <c r="CE138" s="149"/>
    </row>
    <row r="139" s="134" customFormat="1" ht="60" customHeight="1" spans="1:83">
      <c r="A139" s="134">
        <v>97</v>
      </c>
      <c r="C139" s="138">
        <v>45240</v>
      </c>
      <c r="D139" s="444">
        <v>20230009580</v>
      </c>
      <c r="F139" s="429" t="s">
        <v>2105</v>
      </c>
      <c r="G139" s="440" t="s">
        <v>2106</v>
      </c>
      <c r="H139" s="440" t="s">
        <v>2107</v>
      </c>
      <c r="I139" s="414" t="s">
        <v>2108</v>
      </c>
      <c r="J139" s="134">
        <v>142.14</v>
      </c>
      <c r="K139" s="134">
        <v>142.14</v>
      </c>
      <c r="L139" s="134">
        <v>5944.84</v>
      </c>
      <c r="M139" s="436">
        <v>845000</v>
      </c>
      <c r="N139" s="437"/>
      <c r="O139" s="445">
        <v>775229.36</v>
      </c>
      <c r="P139" s="446" t="s">
        <v>2109</v>
      </c>
      <c r="Q139" s="468">
        <v>45631</v>
      </c>
      <c r="R139" s="359"/>
      <c r="S139" s="416"/>
      <c r="T139" s="426" t="s">
        <v>2110</v>
      </c>
      <c r="U139" s="416" t="s">
        <v>2111</v>
      </c>
      <c r="V139" s="359">
        <v>255000</v>
      </c>
      <c r="W139" s="416" t="s">
        <v>2112</v>
      </c>
      <c r="X139" s="359">
        <v>590000</v>
      </c>
      <c r="Y139" s="416" t="s">
        <v>459</v>
      </c>
      <c r="Z139" s="359"/>
      <c r="AA139" s="416"/>
      <c r="AB139" s="359"/>
      <c r="AC139" s="416"/>
      <c r="AH139" s="359">
        <f t="shared" si="22"/>
        <v>845000</v>
      </c>
      <c r="AK139" s="364">
        <f t="shared" si="15"/>
        <v>0</v>
      </c>
      <c r="AL139" s="429" t="s">
        <v>2113</v>
      </c>
      <c r="AM139" s="429"/>
      <c r="AN139" s="447"/>
      <c r="AO139" s="447"/>
      <c r="AP139" s="447"/>
      <c r="AQ139" s="365">
        <f>0.4%+0.02%+0.08%</f>
        <v>0.005</v>
      </c>
      <c r="AR139" s="419">
        <f t="shared" si="24"/>
        <v>845000</v>
      </c>
      <c r="AS139" s="359">
        <v>100</v>
      </c>
      <c r="AT139" s="359">
        <v>100</v>
      </c>
      <c r="AU139" s="359"/>
      <c r="AV139" s="359"/>
      <c r="AW139" s="359"/>
      <c r="AX139" s="359"/>
      <c r="AY139" s="421"/>
      <c r="AZ139" s="422"/>
      <c r="BA139" s="359"/>
      <c r="BB139" s="359"/>
      <c r="BC139" s="359"/>
      <c r="BD139" s="359"/>
      <c r="BE139" s="359">
        <v>255000</v>
      </c>
      <c r="BF139" s="134">
        <v>590000</v>
      </c>
      <c r="BX139" s="134" t="s">
        <v>2114</v>
      </c>
      <c r="BZ139" s="134" t="s">
        <v>376</v>
      </c>
      <c r="CA139" s="134" t="s">
        <v>387</v>
      </c>
      <c r="CB139" s="134" t="s">
        <v>377</v>
      </c>
      <c r="CE139" s="149"/>
    </row>
    <row r="140" s="134" customFormat="1" customHeight="1" spans="1:83">
      <c r="A140" s="134">
        <v>98</v>
      </c>
      <c r="C140" s="138">
        <v>45011</v>
      </c>
      <c r="D140" s="444">
        <v>20230002805</v>
      </c>
      <c r="F140" s="429" t="s">
        <v>2115</v>
      </c>
      <c r="G140" s="440" t="s">
        <v>2116</v>
      </c>
      <c r="H140" s="1008" t="s">
        <v>2117</v>
      </c>
      <c r="I140" s="423" t="s">
        <v>2118</v>
      </c>
      <c r="J140" s="134">
        <v>151.48</v>
      </c>
      <c r="K140" s="134">
        <v>151.48</v>
      </c>
      <c r="L140" s="134">
        <v>5360</v>
      </c>
      <c r="M140" s="436">
        <f>-53+811986</f>
        <v>811933</v>
      </c>
      <c r="N140" s="437"/>
      <c r="O140" s="445">
        <v>744892.66</v>
      </c>
      <c r="P140" s="446" t="s">
        <v>2119</v>
      </c>
      <c r="Q140" s="468">
        <v>45631</v>
      </c>
      <c r="R140" s="359"/>
      <c r="S140" s="362"/>
      <c r="T140" s="440" t="s">
        <v>2116</v>
      </c>
      <c r="U140" s="440" t="s">
        <v>2116</v>
      </c>
      <c r="V140" s="359">
        <v>20000</v>
      </c>
      <c r="W140" s="362" t="s">
        <v>2120</v>
      </c>
      <c r="X140" s="359">
        <v>272986</v>
      </c>
      <c r="Y140" s="138" t="s">
        <v>1714</v>
      </c>
      <c r="Z140" s="359">
        <v>20000</v>
      </c>
      <c r="AA140" s="138" t="s">
        <v>2121</v>
      </c>
      <c r="AB140" s="359">
        <v>499000</v>
      </c>
      <c r="AC140" s="362" t="s">
        <v>2122</v>
      </c>
      <c r="AD140" s="420">
        <v>-53</v>
      </c>
      <c r="AE140" s="138"/>
      <c r="AF140" s="138"/>
      <c r="AG140" s="138"/>
      <c r="AH140" s="359">
        <f t="shared" si="22"/>
        <v>811933</v>
      </c>
      <c r="AK140" s="364">
        <f t="shared" si="15"/>
        <v>0</v>
      </c>
      <c r="AL140" s="429" t="s">
        <v>2123</v>
      </c>
      <c r="AM140" s="429"/>
      <c r="AN140" s="447"/>
      <c r="AO140" s="447"/>
      <c r="AP140" s="447"/>
      <c r="AQ140" s="365">
        <f>0.6%+0.06%+0.14%+0.06%</f>
        <v>0.0086</v>
      </c>
      <c r="AR140" s="419">
        <f t="shared" si="24"/>
        <v>811986</v>
      </c>
      <c r="AS140" s="359"/>
      <c r="AT140" s="359"/>
      <c r="AU140" s="359"/>
      <c r="AV140" s="359"/>
      <c r="AW140" s="359"/>
      <c r="AX140" s="359">
        <v>312986</v>
      </c>
      <c r="AY140" s="421"/>
      <c r="AZ140" s="428"/>
      <c r="BA140" s="359"/>
      <c r="BB140" s="359">
        <v>499000</v>
      </c>
      <c r="BC140" s="359"/>
      <c r="BD140" s="359"/>
      <c r="BE140" s="359"/>
      <c r="BZ140" s="134" t="s">
        <v>376</v>
      </c>
      <c r="CA140" s="134" t="s">
        <v>387</v>
      </c>
      <c r="CB140" s="134" t="s">
        <v>377</v>
      </c>
      <c r="CE140" s="149"/>
    </row>
    <row r="141" s="134" customFormat="1" ht="52" customHeight="1" spans="1:83">
      <c r="A141" s="134">
        <v>99</v>
      </c>
      <c r="C141" s="138">
        <v>44965</v>
      </c>
      <c r="D141" s="444">
        <v>20230001038</v>
      </c>
      <c r="F141" s="474" t="s">
        <v>2124</v>
      </c>
      <c r="G141" s="440" t="s">
        <v>2125</v>
      </c>
      <c r="H141" s="1008" t="s">
        <v>2126</v>
      </c>
      <c r="I141" s="414" t="s">
        <v>2127</v>
      </c>
      <c r="J141" s="134">
        <v>142.14</v>
      </c>
      <c r="K141" s="134">
        <v>142.14</v>
      </c>
      <c r="L141" s="134">
        <v>5261.38</v>
      </c>
      <c r="M141" s="358">
        <v>747853</v>
      </c>
      <c r="N141" s="359"/>
      <c r="O141" s="145">
        <v>686103.67</v>
      </c>
      <c r="P141" s="446" t="s">
        <v>2128</v>
      </c>
      <c r="Q141" s="448">
        <v>45644</v>
      </c>
      <c r="R141" s="359"/>
      <c r="S141" s="416"/>
      <c r="T141" s="426" t="s">
        <v>2129</v>
      </c>
      <c r="U141" s="416" t="s">
        <v>2130</v>
      </c>
      <c r="V141" s="359">
        <v>47853</v>
      </c>
      <c r="W141" s="134" t="s">
        <v>1481</v>
      </c>
      <c r="X141" s="359">
        <v>110000</v>
      </c>
      <c r="Y141" s="416" t="s">
        <v>954</v>
      </c>
      <c r="Z141" s="359">
        <v>590000</v>
      </c>
      <c r="AA141" s="134" t="s">
        <v>440</v>
      </c>
      <c r="AB141" s="359"/>
      <c r="AH141" s="359">
        <f t="shared" si="22"/>
        <v>747853</v>
      </c>
      <c r="AK141" s="364">
        <f t="shared" si="15"/>
        <v>0</v>
      </c>
      <c r="AL141" s="429" t="s">
        <v>2131</v>
      </c>
      <c r="AM141" s="429"/>
      <c r="AN141" s="441"/>
      <c r="AO141" s="441"/>
      <c r="AP141" s="441"/>
      <c r="AQ141" s="365">
        <f>0.4%+0.04%+0.1%+0.04%</f>
        <v>0.0058</v>
      </c>
      <c r="AR141" s="419">
        <f t="shared" si="24"/>
        <v>747853</v>
      </c>
      <c r="AS141" s="359">
        <f>100+100+100+100</f>
        <v>400</v>
      </c>
      <c r="AT141" s="359">
        <f>100+100+100</f>
        <v>300</v>
      </c>
      <c r="AU141" s="359"/>
      <c r="AV141" s="359"/>
      <c r="AW141" s="359"/>
      <c r="AX141" s="359"/>
      <c r="AY141" s="421"/>
      <c r="AZ141" s="422"/>
      <c r="BA141" s="359"/>
      <c r="BB141" s="359">
        <v>157853</v>
      </c>
      <c r="BC141" s="359"/>
      <c r="BD141" s="359"/>
      <c r="BE141" s="359"/>
      <c r="BI141" s="134">
        <v>590000</v>
      </c>
      <c r="BZ141" s="134" t="s">
        <v>376</v>
      </c>
      <c r="CA141" s="134" t="s">
        <v>387</v>
      </c>
      <c r="CB141" s="134" t="s">
        <v>377</v>
      </c>
      <c r="CE141" s="149"/>
    </row>
    <row r="142" s="134" customFormat="1" customHeight="1" spans="1:83">
      <c r="A142" s="134">
        <v>100</v>
      </c>
      <c r="C142" s="138">
        <v>44967</v>
      </c>
      <c r="D142" s="444">
        <v>20230001396</v>
      </c>
      <c r="F142" s="429" t="s">
        <v>2132</v>
      </c>
      <c r="G142" s="440" t="s">
        <v>2133</v>
      </c>
      <c r="H142" s="1008" t="s">
        <v>569</v>
      </c>
      <c r="I142" s="423" t="s">
        <v>2134</v>
      </c>
      <c r="J142" s="134">
        <v>151.48</v>
      </c>
      <c r="K142" s="134">
        <v>151.48</v>
      </c>
      <c r="L142" s="134">
        <v>5175.37</v>
      </c>
      <c r="M142" s="436">
        <f>-52+784017</f>
        <v>783965</v>
      </c>
      <c r="N142" s="437"/>
      <c r="O142" s="445">
        <v>719233.94</v>
      </c>
      <c r="P142" s="446" t="s">
        <v>2135</v>
      </c>
      <c r="Q142" s="448">
        <v>45656</v>
      </c>
      <c r="R142" s="359"/>
      <c r="S142" s="416"/>
      <c r="T142" s="426" t="s">
        <v>2136</v>
      </c>
      <c r="U142" s="416" t="s">
        <v>2137</v>
      </c>
      <c r="V142" s="359">
        <v>384017</v>
      </c>
      <c r="W142" s="138" t="s">
        <v>1346</v>
      </c>
      <c r="X142" s="359">
        <v>400000</v>
      </c>
      <c r="Y142" s="138" t="s">
        <v>1467</v>
      </c>
      <c r="Z142" s="359">
        <v>-52</v>
      </c>
      <c r="AA142" s="138"/>
      <c r="AB142" s="359"/>
      <c r="AH142" s="359">
        <f t="shared" si="22"/>
        <v>783965</v>
      </c>
      <c r="AK142" s="364">
        <f t="shared" si="15"/>
        <v>0</v>
      </c>
      <c r="AL142" s="429" t="s">
        <v>2138</v>
      </c>
      <c r="AM142" s="429"/>
      <c r="AN142" s="447"/>
      <c r="AO142" s="447"/>
      <c r="AP142" s="447"/>
      <c r="AQ142" s="365">
        <f t="shared" ref="AQ142:AQ145" si="25">0.6%+0.04%+0.1%</f>
        <v>0.0074</v>
      </c>
      <c r="AR142" s="419">
        <f t="shared" si="24"/>
        <v>784017</v>
      </c>
      <c r="AS142" s="359"/>
      <c r="AT142" s="359">
        <f>100+100</f>
        <v>200</v>
      </c>
      <c r="AU142" s="359"/>
      <c r="AV142" s="359">
        <v>384017</v>
      </c>
      <c r="AW142" s="359"/>
      <c r="AX142" s="359"/>
      <c r="AY142" s="421">
        <v>400000</v>
      </c>
      <c r="AZ142" s="422"/>
      <c r="BA142" s="359"/>
      <c r="BB142" s="359"/>
      <c r="BC142" s="359"/>
      <c r="BD142" s="359"/>
      <c r="BE142" s="359"/>
      <c r="BZ142" s="134" t="s">
        <v>376</v>
      </c>
      <c r="CA142" s="134" t="s">
        <v>387</v>
      </c>
      <c r="CB142" s="134" t="s">
        <v>377</v>
      </c>
      <c r="CE142" s="149"/>
    </row>
    <row r="143" s="134" customFormat="1" ht="41" customHeight="1" spans="1:83">
      <c r="A143" s="134">
        <v>101</v>
      </c>
      <c r="C143" s="138">
        <v>44966</v>
      </c>
      <c r="D143" s="420">
        <v>20230001256</v>
      </c>
      <c r="F143" s="474" t="s">
        <v>2139</v>
      </c>
      <c r="G143" s="440" t="s">
        <v>2140</v>
      </c>
      <c r="H143" s="1008" t="s">
        <v>2141</v>
      </c>
      <c r="I143" s="414" t="s">
        <v>2142</v>
      </c>
      <c r="J143" s="134">
        <v>142.14</v>
      </c>
      <c r="K143" s="134">
        <v>142.14</v>
      </c>
      <c r="L143" s="134">
        <v>5306.38</v>
      </c>
      <c r="M143" s="436">
        <v>754249</v>
      </c>
      <c r="N143" s="437"/>
      <c r="O143" s="445">
        <v>691971.56</v>
      </c>
      <c r="P143" s="446" t="s">
        <v>2143</v>
      </c>
      <c r="Q143" s="448">
        <v>45656</v>
      </c>
      <c r="R143" s="359"/>
      <c r="S143" s="416"/>
      <c r="T143" s="426" t="s">
        <v>2144</v>
      </c>
      <c r="U143" s="416" t="s">
        <v>2145</v>
      </c>
      <c r="V143" s="359">
        <f>2000-2000</f>
        <v>0</v>
      </c>
      <c r="W143" s="427">
        <v>44766</v>
      </c>
      <c r="X143" s="489">
        <v>154249</v>
      </c>
      <c r="Y143" s="138" t="s">
        <v>1377</v>
      </c>
      <c r="Z143" s="359">
        <v>600000</v>
      </c>
      <c r="AA143" s="138" t="s">
        <v>1400</v>
      </c>
      <c r="AB143" s="359"/>
      <c r="AH143" s="359">
        <f t="shared" si="22"/>
        <v>754249</v>
      </c>
      <c r="AK143" s="364">
        <f t="shared" si="15"/>
        <v>0</v>
      </c>
      <c r="AL143" s="474" t="s">
        <v>2146</v>
      </c>
      <c r="AM143" s="429"/>
      <c r="AN143" s="447"/>
      <c r="AO143" s="447"/>
      <c r="AP143" s="447"/>
      <c r="AQ143" s="365">
        <f t="shared" si="25"/>
        <v>0.0074</v>
      </c>
      <c r="AR143" s="419">
        <f t="shared" si="24"/>
        <v>754249</v>
      </c>
      <c r="AS143" s="359">
        <f>100+100</f>
        <v>200</v>
      </c>
      <c r="AT143" s="359">
        <v>100</v>
      </c>
      <c r="AU143" s="359"/>
      <c r="AV143" s="359">
        <v>154249</v>
      </c>
      <c r="AW143" s="359"/>
      <c r="AX143" s="359"/>
      <c r="AY143" s="421">
        <v>600000</v>
      </c>
      <c r="AZ143" s="422"/>
      <c r="BA143" s="359"/>
      <c r="BB143" s="359"/>
      <c r="BC143" s="359"/>
      <c r="BD143" s="359"/>
      <c r="BE143" s="359"/>
      <c r="BZ143" s="134" t="s">
        <v>376</v>
      </c>
      <c r="CA143" s="134" t="s">
        <v>387</v>
      </c>
      <c r="CB143" s="134" t="s">
        <v>377</v>
      </c>
      <c r="CE143" s="149"/>
    </row>
    <row r="144" s="134" customFormat="1" customHeight="1" spans="1:83">
      <c r="A144" s="134">
        <v>102</v>
      </c>
      <c r="C144" s="138">
        <v>44968</v>
      </c>
      <c r="D144" s="444">
        <v>20230001540</v>
      </c>
      <c r="F144" s="476" t="s">
        <v>2147</v>
      </c>
      <c r="G144" s="420" t="s">
        <v>2148</v>
      </c>
      <c r="H144" s="420"/>
      <c r="I144" s="414" t="s">
        <v>2149</v>
      </c>
      <c r="J144" s="134">
        <v>151.48</v>
      </c>
      <c r="K144" s="134">
        <v>151.48</v>
      </c>
      <c r="L144" s="134">
        <v>5412.09</v>
      </c>
      <c r="M144" s="436">
        <f>-54+819879</f>
        <v>819825</v>
      </c>
      <c r="N144" s="437"/>
      <c r="O144" s="445">
        <v>752133.03</v>
      </c>
      <c r="P144" s="446" t="s">
        <v>2150</v>
      </c>
      <c r="Q144" s="448">
        <v>45656</v>
      </c>
      <c r="R144" s="359"/>
      <c r="S144" s="362"/>
      <c r="T144" s="362" t="s">
        <v>2151</v>
      </c>
      <c r="U144" s="362" t="s">
        <v>2151</v>
      </c>
      <c r="V144" s="359">
        <v>20000</v>
      </c>
      <c r="W144" s="138" t="s">
        <v>1383</v>
      </c>
      <c r="X144" s="359">
        <v>229878</v>
      </c>
      <c r="Y144" s="138" t="s">
        <v>1887</v>
      </c>
      <c r="Z144" s="359">
        <v>370001</v>
      </c>
      <c r="AA144" s="134" t="s">
        <v>2070</v>
      </c>
      <c r="AB144" s="359">
        <v>200000</v>
      </c>
      <c r="AC144" s="134" t="s">
        <v>976</v>
      </c>
      <c r="AD144" s="134">
        <v>-54</v>
      </c>
      <c r="AH144" s="359">
        <f t="shared" si="22"/>
        <v>819825</v>
      </c>
      <c r="AK144" s="364">
        <f t="shared" si="15"/>
        <v>0</v>
      </c>
      <c r="AL144" s="429" t="s">
        <v>2152</v>
      </c>
      <c r="AM144" s="429"/>
      <c r="AN144" s="447"/>
      <c r="AO144" s="447"/>
      <c r="AP144" s="447"/>
      <c r="AQ144" s="365">
        <f>0.4%+0.05%+0.14%</f>
        <v>0.0059</v>
      </c>
      <c r="AR144" s="419">
        <f t="shared" si="24"/>
        <v>819878</v>
      </c>
      <c r="AS144" s="359"/>
      <c r="AT144" s="359"/>
      <c r="AU144" s="359"/>
      <c r="AV144" s="359">
        <v>249878</v>
      </c>
      <c r="AW144" s="359"/>
      <c r="AX144" s="359"/>
      <c r="AY144" s="421"/>
      <c r="AZ144" s="422"/>
      <c r="BA144" s="359">
        <v>570000</v>
      </c>
      <c r="BB144" s="359"/>
      <c r="BC144" s="359"/>
      <c r="BD144" s="359"/>
      <c r="BE144" s="359"/>
      <c r="BZ144" s="134" t="s">
        <v>376</v>
      </c>
      <c r="CA144" s="134" t="s">
        <v>387</v>
      </c>
      <c r="CB144" s="134" t="s">
        <v>377</v>
      </c>
      <c r="CE144" s="149"/>
    </row>
    <row r="145" s="134" customFormat="1" ht="61" customHeight="1" spans="1:88">
      <c r="A145" s="134">
        <v>103</v>
      </c>
      <c r="C145" s="138">
        <v>44967</v>
      </c>
      <c r="D145" s="444">
        <v>20230001409</v>
      </c>
      <c r="F145" s="429" t="s">
        <v>2153</v>
      </c>
      <c r="G145" s="440" t="s">
        <v>2154</v>
      </c>
      <c r="H145" s="1008" t="s">
        <v>881</v>
      </c>
      <c r="I145" s="414" t="s">
        <v>2155</v>
      </c>
      <c r="J145" s="134">
        <v>142.14</v>
      </c>
      <c r="K145" s="134">
        <v>142.14</v>
      </c>
      <c r="L145" s="134">
        <v>5331.38</v>
      </c>
      <c r="M145" s="436">
        <v>757803</v>
      </c>
      <c r="N145" s="437"/>
      <c r="O145" s="445">
        <v>695232.11</v>
      </c>
      <c r="P145" s="446" t="s">
        <v>2156</v>
      </c>
      <c r="Q145" s="448">
        <v>45656</v>
      </c>
      <c r="R145" s="359"/>
      <c r="S145" s="416"/>
      <c r="T145" s="426" t="s">
        <v>2157</v>
      </c>
      <c r="U145" s="416" t="s">
        <v>2158</v>
      </c>
      <c r="V145" s="134">
        <v>757803</v>
      </c>
      <c r="W145" s="134" t="s">
        <v>1346</v>
      </c>
      <c r="Z145" s="359"/>
      <c r="AB145" s="359"/>
      <c r="AH145" s="359">
        <f t="shared" si="22"/>
        <v>757803</v>
      </c>
      <c r="AK145" s="364">
        <f t="shared" si="15"/>
        <v>0</v>
      </c>
      <c r="AL145" s="429" t="s">
        <v>2159</v>
      </c>
      <c r="AM145" s="429"/>
      <c r="AN145" s="447"/>
      <c r="AO145" s="447"/>
      <c r="AP145" s="447"/>
      <c r="AQ145" s="365">
        <f t="shared" si="25"/>
        <v>0.0074</v>
      </c>
      <c r="AR145" s="419">
        <f t="shared" si="24"/>
        <v>757803</v>
      </c>
      <c r="AS145" s="359">
        <f>100</f>
        <v>100</v>
      </c>
      <c r="AT145" s="359">
        <v>100</v>
      </c>
      <c r="AU145" s="359"/>
      <c r="AV145" s="359">
        <v>757803</v>
      </c>
      <c r="AW145" s="359"/>
      <c r="AX145" s="359"/>
      <c r="AY145" s="421"/>
      <c r="AZ145" s="422"/>
      <c r="BA145" s="359"/>
      <c r="BB145" s="359"/>
      <c r="BC145" s="359"/>
      <c r="BD145" s="359"/>
      <c r="BE145" s="359"/>
      <c r="BZ145" s="134" t="s">
        <v>376</v>
      </c>
      <c r="CA145" s="134" t="s">
        <v>387</v>
      </c>
      <c r="CB145" s="134" t="s">
        <v>377</v>
      </c>
      <c r="CE145" s="149"/>
    </row>
    <row r="146" s="134" customFormat="1" customHeight="1" spans="1:88">
      <c r="A146" s="134">
        <v>104</v>
      </c>
      <c r="C146" s="138">
        <v>44982</v>
      </c>
      <c r="D146" s="134">
        <v>20230001886</v>
      </c>
      <c r="F146" s="429" t="s">
        <v>2160</v>
      </c>
      <c r="G146" s="420" t="s">
        <v>2161</v>
      </c>
      <c r="H146" s="1009" t="s">
        <v>2162</v>
      </c>
      <c r="I146" s="423" t="s">
        <v>2163</v>
      </c>
      <c r="J146" s="134">
        <v>151.48</v>
      </c>
      <c r="K146" s="134">
        <v>151.48</v>
      </c>
      <c r="L146" s="134">
        <v>5460</v>
      </c>
      <c r="M146" s="358">
        <f>-55+827135</f>
        <v>827080</v>
      </c>
      <c r="N146" s="359"/>
      <c r="O146" s="145">
        <v>758788.99</v>
      </c>
      <c r="P146" s="1014" t="s">
        <v>2164</v>
      </c>
      <c r="Q146" s="448">
        <v>45656</v>
      </c>
      <c r="R146" s="359"/>
      <c r="S146" s="362"/>
      <c r="T146" s="420" t="s">
        <v>2161</v>
      </c>
      <c r="U146" s="420" t="s">
        <v>2161</v>
      </c>
      <c r="V146" s="359">
        <v>20000</v>
      </c>
      <c r="W146" s="362" t="s">
        <v>2120</v>
      </c>
      <c r="X146" s="359">
        <v>268135</v>
      </c>
      <c r="Y146" s="443" t="s">
        <v>1761</v>
      </c>
      <c r="Z146" s="359">
        <v>40000</v>
      </c>
      <c r="AA146" s="134" t="s">
        <v>2165</v>
      </c>
      <c r="AB146" s="359">
        <v>499000</v>
      </c>
      <c r="AC146" s="362" t="s">
        <v>928</v>
      </c>
      <c r="AD146" s="134">
        <v>-55</v>
      </c>
      <c r="AE146" s="138">
        <v>45909</v>
      </c>
      <c r="AH146" s="359">
        <f t="shared" si="22"/>
        <v>827080</v>
      </c>
      <c r="AK146" s="364">
        <f t="shared" si="15"/>
        <v>0</v>
      </c>
      <c r="AL146" s="429" t="s">
        <v>2166</v>
      </c>
      <c r="AM146" s="429"/>
      <c r="AN146" s="441"/>
      <c r="AO146" s="441"/>
      <c r="AP146" s="441"/>
      <c r="AQ146" s="365">
        <f>0.6%+0.06%+0.14%</f>
        <v>0.008</v>
      </c>
      <c r="AR146" s="419">
        <f t="shared" si="24"/>
        <v>827135</v>
      </c>
      <c r="AS146" s="359"/>
      <c r="AT146" s="359"/>
      <c r="AU146" s="359"/>
      <c r="AV146" s="359"/>
      <c r="AW146" s="359"/>
      <c r="AX146" s="359"/>
      <c r="AY146" s="421"/>
      <c r="AZ146" s="433">
        <v>328135</v>
      </c>
      <c r="BA146" s="359">
        <v>499000</v>
      </c>
      <c r="BB146" s="359"/>
      <c r="BC146" s="359"/>
      <c r="BD146" s="359"/>
      <c r="BE146" s="359"/>
      <c r="BZ146" s="134" t="s">
        <v>376</v>
      </c>
      <c r="CA146" s="134" t="s">
        <v>387</v>
      </c>
      <c r="CB146" s="134" t="s">
        <v>377</v>
      </c>
      <c r="CE146" s="149"/>
    </row>
    <row r="147" s="134" customFormat="1" customHeight="1" spans="1:88">
      <c r="A147" s="134">
        <v>105</v>
      </c>
      <c r="C147" s="138">
        <v>45000</v>
      </c>
      <c r="D147" s="444">
        <v>20230002447</v>
      </c>
      <c r="F147" s="474" t="s">
        <v>2167</v>
      </c>
      <c r="G147" s="440" t="s">
        <v>2168</v>
      </c>
      <c r="H147" s="1008" t="s">
        <v>2169</v>
      </c>
      <c r="I147" s="414" t="s">
        <v>2170</v>
      </c>
      <c r="J147" s="134">
        <v>142.14</v>
      </c>
      <c r="K147" s="134">
        <v>142.14</v>
      </c>
      <c r="L147" s="134">
        <v>5376.38</v>
      </c>
      <c r="M147" s="436">
        <v>764199</v>
      </c>
      <c r="N147" s="437"/>
      <c r="O147" s="445">
        <v>701100</v>
      </c>
      <c r="P147" s="446" t="s">
        <v>2171</v>
      </c>
      <c r="Q147" s="448">
        <v>45656</v>
      </c>
      <c r="R147" s="359"/>
      <c r="S147" s="416"/>
      <c r="T147" s="426" t="s">
        <v>2172</v>
      </c>
      <c r="U147" s="416" t="s">
        <v>2173</v>
      </c>
      <c r="V147" s="359">
        <f>4000+20000</f>
        <v>24000</v>
      </c>
      <c r="W147" s="487" t="s">
        <v>1398</v>
      </c>
      <c r="X147" s="359">
        <v>480199</v>
      </c>
      <c r="Y147" s="443" t="s">
        <v>926</v>
      </c>
      <c r="Z147" s="359">
        <v>260000</v>
      </c>
      <c r="AA147" s="134" t="s">
        <v>926</v>
      </c>
      <c r="AB147" s="359"/>
      <c r="AH147" s="359">
        <f t="shared" si="22"/>
        <v>764199</v>
      </c>
      <c r="AK147" s="364">
        <f t="shared" si="15"/>
        <v>0</v>
      </c>
      <c r="AL147" s="474" t="s">
        <v>2174</v>
      </c>
      <c r="AM147" s="429"/>
      <c r="AN147" s="447"/>
      <c r="AO147" s="447"/>
      <c r="AP147" s="447"/>
      <c r="AQ147" s="365">
        <f>0.4%+0.04%+0.1%</f>
        <v>0.0054</v>
      </c>
      <c r="AR147" s="419">
        <f t="shared" si="24"/>
        <v>764199</v>
      </c>
      <c r="AS147" s="359">
        <f>100+100</f>
        <v>200</v>
      </c>
      <c r="AT147" s="359"/>
      <c r="AU147" s="359"/>
      <c r="AV147" s="359"/>
      <c r="AW147" s="359">
        <v>764199</v>
      </c>
      <c r="AX147" s="359"/>
      <c r="AY147" s="421"/>
      <c r="AZ147" s="422"/>
      <c r="BA147" s="359"/>
      <c r="BB147" s="359"/>
      <c r="BC147" s="359"/>
      <c r="BD147" s="359"/>
      <c r="BE147" s="359"/>
      <c r="BZ147" s="134" t="s">
        <v>376</v>
      </c>
      <c r="CA147" s="134" t="s">
        <v>387</v>
      </c>
      <c r="CB147" s="134" t="s">
        <v>377</v>
      </c>
      <c r="CE147" s="149"/>
    </row>
    <row r="148" s="134" customFormat="1" customHeight="1" spans="1:88">
      <c r="A148" s="134">
        <v>106</v>
      </c>
      <c r="C148" s="138">
        <v>44982</v>
      </c>
      <c r="D148" s="420">
        <v>20230001880</v>
      </c>
      <c r="F148" s="429" t="s">
        <v>2175</v>
      </c>
      <c r="G148" s="440" t="s">
        <v>2176</v>
      </c>
      <c r="H148" s="440"/>
      <c r="I148" s="423" t="s">
        <v>2177</v>
      </c>
      <c r="J148" s="134">
        <v>151.48</v>
      </c>
      <c r="K148" s="134">
        <v>151.48</v>
      </c>
      <c r="L148" s="134">
        <v>5550</v>
      </c>
      <c r="M148" s="436">
        <f>-56+840770</f>
        <v>840714</v>
      </c>
      <c r="N148" s="437"/>
      <c r="O148" s="445">
        <v>771297.25</v>
      </c>
      <c r="P148" s="446" t="s">
        <v>2178</v>
      </c>
      <c r="Q148" s="448">
        <v>45656</v>
      </c>
      <c r="R148" s="359"/>
      <c r="S148" s="362"/>
      <c r="T148" s="416" t="s">
        <v>2176</v>
      </c>
      <c r="U148" s="416" t="s">
        <v>2176</v>
      </c>
      <c r="V148" s="359">
        <v>20000</v>
      </c>
      <c r="W148" s="443" t="s">
        <v>1608</v>
      </c>
      <c r="X148" s="134">
        <v>420770</v>
      </c>
      <c r="Y148" s="134" t="s">
        <v>1433</v>
      </c>
      <c r="Z148" s="359">
        <v>400000</v>
      </c>
      <c r="AA148" s="134" t="s">
        <v>1871</v>
      </c>
      <c r="AB148" s="359">
        <v>-56</v>
      </c>
      <c r="AH148" s="359">
        <f t="shared" si="22"/>
        <v>840714</v>
      </c>
      <c r="AK148" s="364">
        <f t="shared" si="15"/>
        <v>0</v>
      </c>
      <c r="AL148" s="429" t="s">
        <v>2179</v>
      </c>
      <c r="AM148" s="429"/>
      <c r="AN148" s="447"/>
      <c r="AO148" s="447"/>
      <c r="AP148" s="447"/>
      <c r="AQ148" s="365">
        <f>0.6%+0.06%+0.14%</f>
        <v>0.008</v>
      </c>
      <c r="AR148" s="419">
        <f t="shared" si="24"/>
        <v>840770</v>
      </c>
      <c r="AS148" s="359"/>
      <c r="AT148" s="359">
        <v>100</v>
      </c>
      <c r="AU148" s="359"/>
      <c r="AV148" s="359">
        <v>440770</v>
      </c>
      <c r="AW148" s="359">
        <v>400000</v>
      </c>
      <c r="AX148" s="359"/>
      <c r="AY148" s="421"/>
      <c r="AZ148" s="428"/>
      <c r="BA148" s="359"/>
      <c r="BB148" s="359"/>
      <c r="BC148" s="359"/>
      <c r="BD148" s="359"/>
      <c r="BE148" s="359"/>
      <c r="BZ148" s="134" t="s">
        <v>376</v>
      </c>
      <c r="CA148" s="134" t="s">
        <v>387</v>
      </c>
      <c r="CB148" s="134" t="s">
        <v>377</v>
      </c>
      <c r="CE148" s="149"/>
    </row>
    <row r="149" s="134" customFormat="1" customHeight="1" spans="1:88">
      <c r="A149" s="134">
        <v>107</v>
      </c>
      <c r="C149" s="138">
        <v>44962</v>
      </c>
      <c r="D149" s="134">
        <v>20230000675</v>
      </c>
      <c r="F149" s="429" t="s">
        <v>406</v>
      </c>
      <c r="G149" s="440" t="s">
        <v>407</v>
      </c>
      <c r="H149" s="1008" t="s">
        <v>2180</v>
      </c>
      <c r="I149" s="414" t="s">
        <v>2181</v>
      </c>
      <c r="J149" s="134">
        <v>142.14</v>
      </c>
      <c r="K149" s="134">
        <v>142.14</v>
      </c>
      <c r="L149" s="134">
        <v>5396.38</v>
      </c>
      <c r="M149" s="358">
        <v>767042</v>
      </c>
      <c r="N149" s="359"/>
      <c r="O149" s="145">
        <v>703708.26</v>
      </c>
      <c r="P149" s="1014" t="s">
        <v>2182</v>
      </c>
      <c r="Q149" s="448">
        <v>45656</v>
      </c>
      <c r="R149" s="359"/>
      <c r="S149" s="362"/>
      <c r="T149" s="363" t="s">
        <v>2183</v>
      </c>
      <c r="U149" s="362" t="s">
        <v>2184</v>
      </c>
      <c r="V149" s="359">
        <v>115042</v>
      </c>
      <c r="W149" s="134" t="s">
        <v>1383</v>
      </c>
      <c r="X149" s="359">
        <v>129000</v>
      </c>
      <c r="Y149" s="443" t="s">
        <v>2185</v>
      </c>
      <c r="Z149" s="359">
        <v>610000</v>
      </c>
      <c r="AA149" s="134" t="s">
        <v>2186</v>
      </c>
      <c r="AB149" s="359">
        <v>-87000</v>
      </c>
      <c r="AC149" s="362" t="s">
        <v>1742</v>
      </c>
      <c r="AH149" s="359">
        <f t="shared" si="22"/>
        <v>767042</v>
      </c>
      <c r="AK149" s="364">
        <f t="shared" si="15"/>
        <v>0</v>
      </c>
      <c r="AL149" s="429" t="s">
        <v>2187</v>
      </c>
      <c r="AM149" s="429"/>
      <c r="AN149" s="441"/>
      <c r="AO149" s="441"/>
      <c r="AP149" s="441"/>
      <c r="AQ149" s="365">
        <f>0.6%+0.04%+0.1%</f>
        <v>0.0074</v>
      </c>
      <c r="AR149" s="419">
        <f t="shared" si="24"/>
        <v>767042</v>
      </c>
      <c r="AS149" s="359">
        <v>100</v>
      </c>
      <c r="AT149" s="359"/>
      <c r="AU149" s="359"/>
      <c r="AV149" s="359"/>
      <c r="AW149" s="359"/>
      <c r="AX149" s="359"/>
      <c r="AY149" s="421"/>
      <c r="AZ149" s="430">
        <v>157042</v>
      </c>
      <c r="BA149" s="359">
        <v>610000</v>
      </c>
      <c r="BB149" s="359"/>
      <c r="BC149" s="359"/>
      <c r="BD149" s="359"/>
      <c r="BE149" s="359"/>
      <c r="BZ149" s="134" t="s">
        <v>376</v>
      </c>
      <c r="CA149" s="134" t="s">
        <v>387</v>
      </c>
      <c r="CB149" s="134" t="s">
        <v>377</v>
      </c>
      <c r="CE149" s="149"/>
    </row>
    <row r="150" s="134" customFormat="1" customHeight="1" spans="1:88">
      <c r="A150" s="134">
        <v>108</v>
      </c>
      <c r="C150" s="138">
        <v>45084</v>
      </c>
      <c r="D150" s="444">
        <v>20230004799</v>
      </c>
      <c r="F150" s="1006" t="s">
        <v>2188</v>
      </c>
      <c r="G150" s="134" t="s">
        <v>2189</v>
      </c>
      <c r="H150" s="1006" t="s">
        <v>2190</v>
      </c>
      <c r="I150" s="423" t="s">
        <v>2191</v>
      </c>
      <c r="J150" s="134">
        <v>151.48</v>
      </c>
      <c r="K150" s="134">
        <v>151.48</v>
      </c>
      <c r="L150" s="134">
        <v>5617.27</v>
      </c>
      <c r="M150" s="436">
        <f>-56+850960</f>
        <v>850904</v>
      </c>
      <c r="N150" s="437">
        <v>5567.27</v>
      </c>
      <c r="O150" s="445">
        <v>780645.87</v>
      </c>
      <c r="P150" s="446" t="s">
        <v>2192</v>
      </c>
      <c r="Q150" s="448">
        <v>45656</v>
      </c>
      <c r="R150" s="359"/>
      <c r="S150" s="362"/>
      <c r="T150" s="134" t="s">
        <v>2189</v>
      </c>
      <c r="U150" s="134" t="s">
        <v>2193</v>
      </c>
      <c r="V150" s="359">
        <v>20000</v>
      </c>
      <c r="W150" s="138" t="s">
        <v>1740</v>
      </c>
      <c r="X150" s="359">
        <v>81960</v>
      </c>
      <c r="Y150" s="138" t="s">
        <v>2194</v>
      </c>
      <c r="Z150" s="359">
        <v>250000</v>
      </c>
      <c r="AA150" s="134" t="s">
        <v>1434</v>
      </c>
      <c r="AB150" s="359">
        <v>499000</v>
      </c>
      <c r="AC150" s="362" t="s">
        <v>1056</v>
      </c>
      <c r="AD150" s="134">
        <v>-56</v>
      </c>
      <c r="AH150" s="359">
        <f t="shared" si="22"/>
        <v>850904</v>
      </c>
      <c r="AK150" s="364">
        <f t="shared" si="15"/>
        <v>0</v>
      </c>
      <c r="AL150" s="429" t="s">
        <v>2195</v>
      </c>
      <c r="AM150" s="429"/>
      <c r="AN150" s="447"/>
      <c r="AO150" s="447"/>
      <c r="AP150" s="447"/>
      <c r="AQ150" s="365">
        <f>0.6%+0.06%+0.14%</f>
        <v>0.008</v>
      </c>
      <c r="AR150" s="419">
        <f t="shared" si="24"/>
        <v>850960</v>
      </c>
      <c r="AS150" s="359"/>
      <c r="AT150" s="359"/>
      <c r="AU150" s="359"/>
      <c r="AV150" s="359"/>
      <c r="AW150" s="359"/>
      <c r="AX150" s="359"/>
      <c r="AY150" s="421"/>
      <c r="AZ150" s="430">
        <v>351960</v>
      </c>
      <c r="BA150" s="359">
        <v>499000</v>
      </c>
      <c r="BB150" s="359"/>
      <c r="BC150" s="359"/>
      <c r="BD150" s="359"/>
      <c r="BE150" s="359"/>
      <c r="BZ150" s="134" t="s">
        <v>376</v>
      </c>
      <c r="CA150" s="134" t="s">
        <v>387</v>
      </c>
      <c r="CB150" s="134" t="s">
        <v>377</v>
      </c>
      <c r="CE150" s="149"/>
    </row>
    <row r="151" s="134" customFormat="1" customHeight="1" spans="1:88">
      <c r="A151" s="134">
        <v>109</v>
      </c>
      <c r="C151" s="138">
        <v>44964</v>
      </c>
      <c r="D151" s="444">
        <v>20230000863</v>
      </c>
      <c r="F151" s="476" t="s">
        <v>2196</v>
      </c>
      <c r="G151" s="440" t="s">
        <v>2197</v>
      </c>
      <c r="H151" s="1008" t="s">
        <v>2198</v>
      </c>
      <c r="I151" s="414" t="s">
        <v>2199</v>
      </c>
      <c r="J151" s="134">
        <v>142.14</v>
      </c>
      <c r="K151" s="134">
        <v>142.14</v>
      </c>
      <c r="L151" s="134">
        <v>6246.42</v>
      </c>
      <c r="M151" s="436">
        <v>887866</v>
      </c>
      <c r="N151" s="437"/>
      <c r="O151" s="445">
        <v>814555.96</v>
      </c>
      <c r="P151" s="446" t="s">
        <v>2200</v>
      </c>
      <c r="Q151" s="448">
        <v>45657</v>
      </c>
      <c r="R151" s="359"/>
      <c r="S151" s="416"/>
      <c r="T151" s="426" t="s">
        <v>2201</v>
      </c>
      <c r="U151" s="416" t="s">
        <v>2202</v>
      </c>
      <c r="V151" s="359">
        <v>167866</v>
      </c>
      <c r="W151" s="443" t="s">
        <v>1442</v>
      </c>
      <c r="X151" s="359">
        <v>270000</v>
      </c>
      <c r="Y151" s="443" t="s">
        <v>1573</v>
      </c>
      <c r="Z151" s="359">
        <v>450000</v>
      </c>
      <c r="AA151" s="416" t="s">
        <v>1809</v>
      </c>
      <c r="AB151" s="359"/>
      <c r="AH151" s="359">
        <f t="shared" si="22"/>
        <v>887866</v>
      </c>
      <c r="AK151" s="364">
        <f t="shared" si="15"/>
        <v>0</v>
      </c>
      <c r="AL151" s="429" t="s">
        <v>2203</v>
      </c>
      <c r="AM151" s="429"/>
      <c r="AN151" s="447"/>
      <c r="AO151" s="447"/>
      <c r="AP151" s="447"/>
      <c r="AQ151" s="365">
        <f>0.4%+0.04%+0.1%</f>
        <v>0.0054</v>
      </c>
      <c r="AR151" s="419">
        <f t="shared" si="24"/>
        <v>887866</v>
      </c>
      <c r="AS151" s="359">
        <f>100</f>
        <v>100</v>
      </c>
      <c r="AT151" s="359">
        <v>100</v>
      </c>
      <c r="AU151" s="359"/>
      <c r="AV151" s="359"/>
      <c r="AW151" s="359">
        <v>437866</v>
      </c>
      <c r="AX151" s="359"/>
      <c r="AY151" s="421"/>
      <c r="AZ151" s="422"/>
      <c r="BA151" s="359">
        <v>450000</v>
      </c>
      <c r="BB151" s="359"/>
      <c r="BC151" s="359"/>
      <c r="BD151" s="359"/>
      <c r="BE151" s="359"/>
      <c r="BZ151" s="134" t="s">
        <v>376</v>
      </c>
      <c r="CA151" s="134" t="s">
        <v>387</v>
      </c>
      <c r="CB151" s="134" t="s">
        <v>377</v>
      </c>
      <c r="CE151" s="149"/>
    </row>
    <row r="152" s="134" customFormat="1" customHeight="1" spans="1:88">
      <c r="A152" s="134">
        <v>110</v>
      </c>
      <c r="C152" s="138">
        <v>45065</v>
      </c>
      <c r="D152" s="134">
        <v>20230004274</v>
      </c>
      <c r="F152" s="429" t="s">
        <v>2204</v>
      </c>
      <c r="G152" s="440" t="s">
        <v>2205</v>
      </c>
      <c r="H152" s="1009" t="s">
        <v>2206</v>
      </c>
      <c r="I152" s="423" t="s">
        <v>2207</v>
      </c>
      <c r="J152" s="134">
        <v>151.48</v>
      </c>
      <c r="K152" s="134">
        <v>151.48</v>
      </c>
      <c r="L152" s="134">
        <v>6230</v>
      </c>
      <c r="M152" s="358">
        <f>-62+943783</f>
        <v>943721</v>
      </c>
      <c r="N152" s="359">
        <v>6168.42</v>
      </c>
      <c r="O152" s="145">
        <v>865799.08</v>
      </c>
      <c r="P152" s="415" t="s">
        <v>2208</v>
      </c>
      <c r="Q152" s="448">
        <v>45656</v>
      </c>
      <c r="R152" s="359"/>
      <c r="S152" s="362"/>
      <c r="T152" s="420" t="s">
        <v>2209</v>
      </c>
      <c r="U152" s="420" t="s">
        <v>2209</v>
      </c>
      <c r="V152" s="359">
        <v>20000</v>
      </c>
      <c r="W152" s="138" t="s">
        <v>2210</v>
      </c>
      <c r="X152" s="359">
        <v>93783</v>
      </c>
      <c r="Y152" s="443" t="s">
        <v>2211</v>
      </c>
      <c r="Z152" s="359">
        <v>80000</v>
      </c>
      <c r="AA152" s="443" t="s">
        <v>1354</v>
      </c>
      <c r="AB152" s="359">
        <v>33000</v>
      </c>
      <c r="AC152" s="138" t="s">
        <v>1354</v>
      </c>
      <c r="AD152" s="359">
        <v>717000</v>
      </c>
      <c r="AE152" s="362" t="s">
        <v>2122</v>
      </c>
      <c r="AF152" s="420">
        <v>-62</v>
      </c>
      <c r="AG152" s="138"/>
      <c r="AH152" s="359">
        <f t="shared" si="22"/>
        <v>943721</v>
      </c>
      <c r="AK152" s="364">
        <f t="shared" si="15"/>
        <v>0</v>
      </c>
      <c r="AL152" s="429" t="s">
        <v>2212</v>
      </c>
      <c r="AM152" s="429"/>
      <c r="AN152" s="441"/>
      <c r="AO152" s="441"/>
      <c r="AP152" s="441"/>
      <c r="AQ152" s="365">
        <f>0.6%+0.05%+0.14%+0.06%</f>
        <v>0.0085</v>
      </c>
      <c r="AR152" s="419">
        <f t="shared" si="24"/>
        <v>943783</v>
      </c>
      <c r="AS152" s="359"/>
      <c r="AT152" s="359"/>
      <c r="AU152" s="359"/>
      <c r="AV152" s="359"/>
      <c r="AW152" s="359"/>
      <c r="AX152" s="359"/>
      <c r="AY152" s="421"/>
      <c r="AZ152" s="430">
        <v>226783</v>
      </c>
      <c r="BA152" s="359"/>
      <c r="BB152" s="359">
        <v>717000</v>
      </c>
      <c r="BC152" s="359"/>
      <c r="BD152" s="359"/>
      <c r="BE152" s="359"/>
      <c r="BZ152" s="134" t="s">
        <v>376</v>
      </c>
      <c r="CA152" s="134" t="s">
        <v>387</v>
      </c>
      <c r="CB152" s="134" t="s">
        <v>377</v>
      </c>
      <c r="CE152" s="149"/>
    </row>
    <row r="153" s="149" customFormat="1" customHeight="1" spans="1:88">
      <c r="F153" s="451"/>
      <c r="G153" s="452"/>
      <c r="H153" s="452"/>
      <c r="I153" s="463" t="s">
        <v>2213</v>
      </c>
      <c r="J153" s="149">
        <v>22.24</v>
      </c>
      <c r="M153" s="402"/>
      <c r="N153" s="403"/>
      <c r="O153" s="404"/>
      <c r="P153" s="490"/>
      <c r="Q153" s="446"/>
      <c r="R153" s="403"/>
      <c r="S153" s="406"/>
      <c r="T153" s="406"/>
      <c r="U153" s="406"/>
      <c r="V153" s="403"/>
      <c r="W153" s="456"/>
      <c r="X153" s="403"/>
      <c r="Y153" s="407"/>
      <c r="Z153" s="403"/>
      <c r="AA153" s="407"/>
      <c r="AB153" s="403"/>
      <c r="AC153" s="456"/>
      <c r="AD153" s="456"/>
      <c r="AE153" s="456"/>
      <c r="AF153" s="456"/>
      <c r="AG153" s="456"/>
      <c r="AH153" s="403">
        <f t="shared" si="22"/>
        <v>0</v>
      </c>
      <c r="AK153" s="409">
        <f t="shared" ref="AK153:AK177" si="26">M153-AH153</f>
        <v>0</v>
      </c>
      <c r="AL153" s="451"/>
      <c r="AM153" s="451"/>
      <c r="AN153" s="491"/>
      <c r="AO153" s="491"/>
      <c r="AP153" s="491"/>
      <c r="AQ153" s="461"/>
      <c r="AR153" s="411">
        <f t="shared" si="24"/>
        <v>0</v>
      </c>
      <c r="AS153" s="403"/>
      <c r="AT153" s="403"/>
      <c r="AU153" s="403"/>
      <c r="AV153" s="403"/>
      <c r="AW153" s="403"/>
      <c r="AX153" s="403"/>
      <c r="AY153" s="202"/>
      <c r="AZ153" s="458"/>
      <c r="BA153" s="403"/>
      <c r="BB153" s="403"/>
      <c r="BC153" s="403"/>
      <c r="BD153" s="403"/>
      <c r="BE153" s="403"/>
      <c r="CJ153" s="104"/>
    </row>
    <row r="154" s="149" customFormat="1" customHeight="1" spans="1:88">
      <c r="F154" s="451"/>
      <c r="G154" s="452"/>
      <c r="H154" s="452"/>
      <c r="I154" s="463" t="s">
        <v>2214</v>
      </c>
      <c r="J154" s="149">
        <v>19.83</v>
      </c>
      <c r="M154" s="402"/>
      <c r="N154" s="403"/>
      <c r="O154" s="404"/>
      <c r="P154" s="490"/>
      <c r="Q154" s="492"/>
      <c r="R154" s="403"/>
      <c r="S154" s="406"/>
      <c r="T154" s="406"/>
      <c r="U154" s="406"/>
      <c r="V154" s="403"/>
      <c r="W154" s="456"/>
      <c r="X154" s="403"/>
      <c r="Y154" s="407"/>
      <c r="Z154" s="403"/>
      <c r="AA154" s="407"/>
      <c r="AB154" s="403"/>
      <c r="AC154" s="456"/>
      <c r="AD154" s="456"/>
      <c r="AE154" s="456"/>
      <c r="AF154" s="456"/>
      <c r="AG154" s="456"/>
      <c r="AH154" s="403">
        <f t="shared" si="22"/>
        <v>0</v>
      </c>
      <c r="AK154" s="409">
        <f t="shared" si="26"/>
        <v>0</v>
      </c>
      <c r="AL154" s="451"/>
      <c r="AM154" s="451"/>
      <c r="AN154" s="491"/>
      <c r="AO154" s="491"/>
      <c r="AP154" s="491"/>
      <c r="AQ154" s="461"/>
      <c r="AR154" s="411">
        <f t="shared" si="24"/>
        <v>0</v>
      </c>
      <c r="AS154" s="403"/>
      <c r="AT154" s="403"/>
      <c r="AU154" s="403"/>
      <c r="AV154" s="403"/>
      <c r="AW154" s="403"/>
      <c r="AX154" s="403"/>
      <c r="AY154" s="202"/>
      <c r="AZ154" s="458"/>
      <c r="BA154" s="403"/>
      <c r="BB154" s="403"/>
      <c r="BC154" s="403"/>
      <c r="BD154" s="403"/>
      <c r="BE154" s="403"/>
      <c r="CJ154" s="104"/>
    </row>
    <row r="155" s="149" customFormat="1" customHeight="1" spans="1:88">
      <c r="F155" s="451"/>
      <c r="G155" s="452"/>
      <c r="H155" s="452"/>
      <c r="I155" s="463" t="s">
        <v>2215</v>
      </c>
      <c r="J155" s="149">
        <v>4.39</v>
      </c>
      <c r="M155" s="402"/>
      <c r="N155" s="403"/>
      <c r="O155" s="404"/>
      <c r="P155" s="490"/>
      <c r="Q155" s="492"/>
      <c r="R155" s="403"/>
      <c r="S155" s="406"/>
      <c r="T155" s="406"/>
      <c r="U155" s="406"/>
      <c r="V155" s="403"/>
      <c r="W155" s="456"/>
      <c r="X155" s="403"/>
      <c r="Y155" s="407"/>
      <c r="Z155" s="403"/>
      <c r="AA155" s="407"/>
      <c r="AB155" s="403"/>
      <c r="AC155" s="456"/>
      <c r="AD155" s="456"/>
      <c r="AE155" s="456"/>
      <c r="AF155" s="456"/>
      <c r="AG155" s="456"/>
      <c r="AH155" s="403">
        <f t="shared" si="22"/>
        <v>0</v>
      </c>
      <c r="AK155" s="409">
        <f t="shared" si="26"/>
        <v>0</v>
      </c>
      <c r="AL155" s="451"/>
      <c r="AM155" s="451"/>
      <c r="AN155" s="491"/>
      <c r="AO155" s="491"/>
      <c r="AP155" s="491"/>
      <c r="AQ155" s="461"/>
      <c r="AR155" s="411">
        <f t="shared" si="24"/>
        <v>0</v>
      </c>
      <c r="AS155" s="403"/>
      <c r="AT155" s="403"/>
      <c r="AU155" s="403"/>
      <c r="AV155" s="403"/>
      <c r="AW155" s="403"/>
      <c r="AX155" s="403"/>
      <c r="AY155" s="202"/>
      <c r="AZ155" s="458"/>
      <c r="BA155" s="403"/>
      <c r="BB155" s="403"/>
      <c r="BC155" s="403"/>
      <c r="BD155" s="403"/>
      <c r="BE155" s="403"/>
      <c r="CJ155" s="104"/>
    </row>
    <row r="156" s="149" customFormat="1" customHeight="1" spans="1:88">
      <c r="F156" s="451"/>
      <c r="G156" s="452"/>
      <c r="H156" s="452" t="s">
        <v>2216</v>
      </c>
      <c r="I156" s="463" t="s">
        <v>2217</v>
      </c>
      <c r="J156" s="149">
        <v>14.85</v>
      </c>
      <c r="M156" s="402"/>
      <c r="N156" s="403">
        <v>33880</v>
      </c>
      <c r="O156" s="404"/>
      <c r="P156" s="490"/>
      <c r="Q156" s="492"/>
      <c r="R156" s="403"/>
      <c r="S156" s="406"/>
      <c r="T156" s="406"/>
      <c r="U156" s="406"/>
      <c r="V156" s="403"/>
      <c r="W156" s="456"/>
      <c r="X156" s="403"/>
      <c r="Y156" s="407"/>
      <c r="Z156" s="403"/>
      <c r="AA156" s="407"/>
      <c r="AB156" s="403"/>
      <c r="AC156" s="456"/>
      <c r="AD156" s="456"/>
      <c r="AE156" s="456"/>
      <c r="AF156" s="456"/>
      <c r="AG156" s="456"/>
      <c r="AH156" s="403">
        <f t="shared" si="22"/>
        <v>0</v>
      </c>
      <c r="AK156" s="409">
        <f t="shared" si="26"/>
        <v>0</v>
      </c>
      <c r="AL156" s="451"/>
      <c r="AM156" s="451"/>
      <c r="AN156" s="491"/>
      <c r="AO156" s="491"/>
      <c r="AP156" s="491"/>
      <c r="AQ156" s="461"/>
      <c r="AR156" s="411">
        <f t="shared" si="24"/>
        <v>0</v>
      </c>
      <c r="AS156" s="403"/>
      <c r="AT156" s="403"/>
      <c r="AU156" s="403"/>
      <c r="AV156" s="403"/>
      <c r="AW156" s="403"/>
      <c r="AX156" s="403"/>
      <c r="AY156" s="202"/>
      <c r="AZ156" s="458"/>
      <c r="BA156" s="403"/>
      <c r="BB156" s="403"/>
      <c r="BC156" s="403"/>
      <c r="BD156" s="403"/>
      <c r="BE156" s="403"/>
      <c r="CJ156" s="104"/>
    </row>
    <row r="157" s="149" customFormat="1" customHeight="1" spans="1:88">
      <c r="F157" s="451"/>
      <c r="G157" s="452" t="s">
        <v>2218</v>
      </c>
      <c r="H157" s="452"/>
      <c r="I157" s="463" t="s">
        <v>2219</v>
      </c>
      <c r="J157" s="149">
        <v>14.5</v>
      </c>
      <c r="L157" s="149">
        <v>2281.38</v>
      </c>
      <c r="M157" s="402">
        <v>33080</v>
      </c>
      <c r="N157" s="403"/>
      <c r="O157" s="404"/>
      <c r="P157" s="490"/>
      <c r="Q157" s="492"/>
      <c r="R157" s="403"/>
      <c r="S157" s="406"/>
      <c r="T157" s="406"/>
      <c r="U157" s="406"/>
      <c r="V157" s="403">
        <v>2000</v>
      </c>
      <c r="W157" s="406">
        <v>45540</v>
      </c>
      <c r="X157" s="403">
        <v>31080</v>
      </c>
      <c r="Y157" s="407">
        <v>45542</v>
      </c>
      <c r="Z157" s="403"/>
      <c r="AA157" s="407"/>
      <c r="AB157" s="403"/>
      <c r="AC157" s="456"/>
      <c r="AD157" s="456"/>
      <c r="AE157" s="456"/>
      <c r="AF157" s="456"/>
      <c r="AG157" s="456"/>
      <c r="AH157" s="403">
        <f t="shared" si="22"/>
        <v>33080</v>
      </c>
      <c r="AK157" s="409">
        <f t="shared" si="26"/>
        <v>0</v>
      </c>
      <c r="AL157" s="451"/>
      <c r="AM157" s="451"/>
      <c r="AN157" s="491"/>
      <c r="AO157" s="491"/>
      <c r="AP157" s="491"/>
      <c r="AQ157" s="410">
        <v>0.02</v>
      </c>
      <c r="AR157" s="411">
        <f t="shared" si="24"/>
        <v>33080</v>
      </c>
      <c r="AS157" s="403"/>
      <c r="AT157" s="403"/>
      <c r="AU157" s="403"/>
      <c r="AV157" s="403"/>
      <c r="AW157" s="403"/>
      <c r="AX157" s="403"/>
      <c r="AY157" s="202"/>
      <c r="AZ157" s="460"/>
      <c r="BA157" s="403"/>
      <c r="BB157" s="403"/>
      <c r="BC157" s="403"/>
      <c r="BD157" s="403"/>
      <c r="BE157" s="403"/>
      <c r="BN157" s="149">
        <v>33080</v>
      </c>
      <c r="CJ157" s="104"/>
    </row>
    <row r="158" s="149" customFormat="1" customHeight="1" spans="1:88">
      <c r="F158" s="451"/>
      <c r="G158" s="452" t="s">
        <v>2220</v>
      </c>
      <c r="H158" s="452"/>
      <c r="I158" s="463" t="s">
        <v>2221</v>
      </c>
      <c r="J158" s="149">
        <v>23.61</v>
      </c>
      <c r="L158" s="149">
        <v>2282.08</v>
      </c>
      <c r="M158" s="402">
        <v>53880</v>
      </c>
      <c r="N158" s="403"/>
      <c r="O158" s="404"/>
      <c r="P158" s="490"/>
      <c r="Q158" s="492"/>
      <c r="R158" s="403"/>
      <c r="S158" s="406"/>
      <c r="T158" s="406"/>
      <c r="U158" s="406"/>
      <c r="V158" s="403">
        <v>2000</v>
      </c>
      <c r="W158" s="406">
        <v>45537</v>
      </c>
      <c r="X158" s="403">
        <v>51880</v>
      </c>
      <c r="Y158" s="407">
        <v>45548</v>
      </c>
      <c r="Z158" s="403"/>
      <c r="AA158" s="407"/>
      <c r="AB158" s="403"/>
      <c r="AC158" s="456"/>
      <c r="AD158" s="456"/>
      <c r="AE158" s="456"/>
      <c r="AF158" s="456"/>
      <c r="AG158" s="456"/>
      <c r="AH158" s="403">
        <f t="shared" si="22"/>
        <v>53880</v>
      </c>
      <c r="AK158" s="409">
        <f t="shared" si="26"/>
        <v>0</v>
      </c>
      <c r="AL158" s="451"/>
      <c r="AM158" s="451"/>
      <c r="AN158" s="491"/>
      <c r="AO158" s="491"/>
      <c r="AP158" s="491"/>
      <c r="AQ158" s="410">
        <v>0.02</v>
      </c>
      <c r="AR158" s="411">
        <f t="shared" si="24"/>
        <v>53880</v>
      </c>
      <c r="AS158" s="403"/>
      <c r="AT158" s="403"/>
      <c r="AU158" s="403"/>
      <c r="AV158" s="403"/>
      <c r="AW158" s="403"/>
      <c r="AX158" s="403"/>
      <c r="AY158" s="202"/>
      <c r="AZ158" s="458"/>
      <c r="BA158" s="403"/>
      <c r="BB158" s="403"/>
      <c r="BC158" s="403"/>
      <c r="BD158" s="403"/>
      <c r="BE158" s="403"/>
      <c r="BN158" s="149">
        <v>53880</v>
      </c>
      <c r="CJ158" s="104"/>
    </row>
    <row r="159" s="149" customFormat="1" customHeight="1" spans="1:88">
      <c r="F159" s="451"/>
      <c r="G159" s="452"/>
      <c r="H159" s="452"/>
      <c r="I159" s="463" t="s">
        <v>2222</v>
      </c>
      <c r="J159" s="149">
        <v>59.62</v>
      </c>
      <c r="M159" s="402"/>
      <c r="N159" s="403"/>
      <c r="O159" s="404"/>
      <c r="P159" s="490"/>
      <c r="Q159" s="492"/>
      <c r="R159" s="403"/>
      <c r="S159" s="406"/>
      <c r="T159" s="406"/>
      <c r="U159" s="406"/>
      <c r="V159" s="403"/>
      <c r="W159" s="456"/>
      <c r="X159" s="403"/>
      <c r="Y159" s="407"/>
      <c r="Z159" s="403"/>
      <c r="AA159" s="407"/>
      <c r="AB159" s="403"/>
      <c r="AC159" s="456"/>
      <c r="AD159" s="456"/>
      <c r="AE159" s="456"/>
      <c r="AF159" s="456"/>
      <c r="AG159" s="456"/>
      <c r="AH159" s="403">
        <f t="shared" si="22"/>
        <v>0</v>
      </c>
      <c r="AK159" s="409">
        <f t="shared" si="26"/>
        <v>0</v>
      </c>
      <c r="AL159" s="451"/>
      <c r="AM159" s="451"/>
      <c r="AN159" s="491"/>
      <c r="AO159" s="491"/>
      <c r="AP159" s="491"/>
      <c r="AQ159" s="410">
        <v>0.02</v>
      </c>
      <c r="AR159" s="411">
        <f t="shared" si="24"/>
        <v>0</v>
      </c>
      <c r="AS159" s="403"/>
      <c r="AT159" s="403"/>
      <c r="AU159" s="403"/>
      <c r="AV159" s="403"/>
      <c r="AW159" s="403"/>
      <c r="AX159" s="403"/>
      <c r="AY159" s="202"/>
      <c r="AZ159" s="458"/>
      <c r="BA159" s="403"/>
      <c r="BB159" s="403"/>
      <c r="BC159" s="403"/>
      <c r="BD159" s="403"/>
      <c r="BE159" s="403"/>
      <c r="CJ159" s="104"/>
    </row>
    <row r="160" s="149" customFormat="1" customHeight="1" spans="1:88">
      <c r="F160" s="451"/>
      <c r="G160" s="452"/>
      <c r="H160" s="452"/>
      <c r="I160" s="463" t="s">
        <v>2223</v>
      </c>
      <c r="J160" s="149">
        <v>57.73</v>
      </c>
      <c r="M160" s="402"/>
      <c r="N160" s="403"/>
      <c r="O160" s="404"/>
      <c r="P160" s="490"/>
      <c r="Q160" s="492"/>
      <c r="R160" s="403"/>
      <c r="S160" s="406"/>
      <c r="T160" s="406"/>
      <c r="U160" s="406"/>
      <c r="V160" s="403"/>
      <c r="W160" s="456"/>
      <c r="X160" s="403"/>
      <c r="Y160" s="407"/>
      <c r="Z160" s="403"/>
      <c r="AA160" s="407"/>
      <c r="AB160" s="403"/>
      <c r="AC160" s="456"/>
      <c r="AD160" s="456"/>
      <c r="AE160" s="456"/>
      <c r="AF160" s="456"/>
      <c r="AG160" s="456"/>
      <c r="AH160" s="403">
        <f t="shared" si="22"/>
        <v>0</v>
      </c>
      <c r="AK160" s="409">
        <f t="shared" si="26"/>
        <v>0</v>
      </c>
      <c r="AL160" s="451"/>
      <c r="AM160" s="451"/>
      <c r="AN160" s="491"/>
      <c r="AO160" s="491"/>
      <c r="AP160" s="491"/>
      <c r="AQ160" s="410">
        <v>0.02</v>
      </c>
      <c r="AR160" s="411">
        <f t="shared" si="24"/>
        <v>0</v>
      </c>
      <c r="AS160" s="403"/>
      <c r="AT160" s="403"/>
      <c r="AU160" s="403"/>
      <c r="AV160" s="403"/>
      <c r="AW160" s="403"/>
      <c r="AX160" s="403"/>
      <c r="AY160" s="202"/>
      <c r="AZ160" s="460"/>
      <c r="BA160" s="403"/>
      <c r="BB160" s="403"/>
      <c r="BC160" s="403"/>
      <c r="BD160" s="403"/>
      <c r="BE160" s="403"/>
      <c r="CJ160" s="104"/>
    </row>
    <row r="161" s="149" customFormat="1" customHeight="1" spans="6:88">
      <c r="F161" s="451"/>
      <c r="G161" s="452"/>
      <c r="H161" s="452" t="s">
        <v>1315</v>
      </c>
      <c r="I161" s="463" t="s">
        <v>2224</v>
      </c>
      <c r="J161" s="149">
        <v>14.5</v>
      </c>
      <c r="M161" s="402"/>
      <c r="N161" s="403"/>
      <c r="O161" s="404"/>
      <c r="P161" s="490"/>
      <c r="Q161" s="492"/>
      <c r="R161" s="403"/>
      <c r="S161" s="406"/>
      <c r="T161" s="406"/>
      <c r="U161" s="406"/>
      <c r="V161" s="403"/>
      <c r="W161" s="456"/>
      <c r="X161" s="403"/>
      <c r="Y161" s="407"/>
      <c r="Z161" s="403"/>
      <c r="AA161" s="407"/>
      <c r="AB161" s="403"/>
      <c r="AC161" s="456"/>
      <c r="AD161" s="456"/>
      <c r="AE161" s="456"/>
      <c r="AF161" s="456"/>
      <c r="AG161" s="456"/>
      <c r="AH161" s="403">
        <f t="shared" ref="AH161:AH192" si="27">V161+X161+Z161+AB161+AD161+AF161</f>
        <v>0</v>
      </c>
      <c r="AK161" s="409">
        <f t="shared" si="26"/>
        <v>0</v>
      </c>
      <c r="AL161" s="451"/>
      <c r="AM161" s="451"/>
      <c r="AN161" s="491"/>
      <c r="AO161" s="491"/>
      <c r="AP161" s="491"/>
      <c r="AQ161" s="410">
        <v>0.02</v>
      </c>
      <c r="AR161" s="411">
        <f t="shared" si="24"/>
        <v>0</v>
      </c>
      <c r="AS161" s="403"/>
      <c r="AT161" s="403"/>
      <c r="AU161" s="403"/>
      <c r="AV161" s="403"/>
      <c r="AW161" s="403"/>
      <c r="AX161" s="403"/>
      <c r="AY161" s="202"/>
      <c r="AZ161" s="458"/>
      <c r="BA161" s="403"/>
      <c r="BB161" s="403"/>
      <c r="BC161" s="403"/>
      <c r="BD161" s="403"/>
      <c r="BE161" s="403"/>
      <c r="CJ161" s="104"/>
    </row>
    <row r="162" s="149" customFormat="1" customHeight="1" spans="6:88">
      <c r="F162" s="451"/>
      <c r="G162" s="452" t="s">
        <v>2133</v>
      </c>
      <c r="H162" s="452"/>
      <c r="I162" s="463" t="s">
        <v>2225</v>
      </c>
      <c r="J162" s="149">
        <v>14.87</v>
      </c>
      <c r="L162" s="149">
        <v>2281.1</v>
      </c>
      <c r="M162" s="402">
        <v>33920</v>
      </c>
      <c r="N162" s="403"/>
      <c r="O162" s="404"/>
      <c r="P162" s="490"/>
      <c r="Q162" s="492"/>
      <c r="R162" s="403"/>
      <c r="S162" s="406"/>
      <c r="T162" s="406"/>
      <c r="U162" s="406"/>
      <c r="V162" s="403">
        <v>5000</v>
      </c>
      <c r="W162" s="406">
        <v>45537</v>
      </c>
      <c r="X162" s="403">
        <v>28920</v>
      </c>
      <c r="Y162" s="407">
        <v>45541</v>
      </c>
      <c r="Z162" s="403"/>
      <c r="AA162" s="407"/>
      <c r="AB162" s="403"/>
      <c r="AC162" s="456"/>
      <c r="AD162" s="456"/>
      <c r="AE162" s="456"/>
      <c r="AF162" s="456"/>
      <c r="AG162" s="456"/>
      <c r="AH162" s="403">
        <f t="shared" si="27"/>
        <v>33920</v>
      </c>
      <c r="AK162" s="409">
        <f t="shared" si="26"/>
        <v>0</v>
      </c>
      <c r="AL162" s="451"/>
      <c r="AM162" s="451"/>
      <c r="AN162" s="491"/>
      <c r="AO162" s="491"/>
      <c r="AP162" s="491"/>
      <c r="AQ162" s="410">
        <v>0.02</v>
      </c>
      <c r="AR162" s="411">
        <f t="shared" si="24"/>
        <v>33920</v>
      </c>
      <c r="AS162" s="403"/>
      <c r="AT162" s="403"/>
      <c r="AU162" s="403"/>
      <c r="AV162" s="403"/>
      <c r="AW162" s="403"/>
      <c r="AX162" s="403"/>
      <c r="AY162" s="202"/>
      <c r="AZ162" s="458"/>
      <c r="BA162" s="403"/>
      <c r="BB162" s="403"/>
      <c r="BC162" s="403"/>
      <c r="BD162" s="403"/>
      <c r="BE162" s="403"/>
      <c r="BN162" s="149">
        <v>33920</v>
      </c>
      <c r="CJ162" s="104"/>
    </row>
    <row r="163" s="149" customFormat="1" customHeight="1" spans="6:88">
      <c r="F163" s="451"/>
      <c r="G163" s="452" t="s">
        <v>2226</v>
      </c>
      <c r="H163" s="452"/>
      <c r="I163" s="463" t="s">
        <v>2227</v>
      </c>
      <c r="J163" s="149">
        <v>15.11</v>
      </c>
      <c r="L163" s="149">
        <v>2281.93</v>
      </c>
      <c r="M163" s="402">
        <v>34480</v>
      </c>
      <c r="N163" s="403"/>
      <c r="O163" s="404"/>
      <c r="P163" s="490"/>
      <c r="Q163" s="492"/>
      <c r="R163" s="403"/>
      <c r="S163" s="406"/>
      <c r="T163" s="406"/>
      <c r="U163" s="406"/>
      <c r="V163" s="403">
        <v>3000</v>
      </c>
      <c r="W163" s="406">
        <v>45538</v>
      </c>
      <c r="X163" s="403">
        <v>31480</v>
      </c>
      <c r="Y163" s="407">
        <v>45563</v>
      </c>
      <c r="Z163" s="403"/>
      <c r="AA163" s="407"/>
      <c r="AB163" s="403"/>
      <c r="AC163" s="456"/>
      <c r="AD163" s="456"/>
      <c r="AE163" s="456"/>
      <c r="AF163" s="456"/>
      <c r="AG163" s="456"/>
      <c r="AH163" s="403">
        <f t="shared" si="27"/>
        <v>34480</v>
      </c>
      <c r="AK163" s="409">
        <f t="shared" si="26"/>
        <v>0</v>
      </c>
      <c r="AL163" s="451"/>
      <c r="AM163" s="451"/>
      <c r="AN163" s="491"/>
      <c r="AO163" s="491"/>
      <c r="AP163" s="491"/>
      <c r="AQ163" s="410">
        <v>0.02</v>
      </c>
      <c r="AR163" s="411">
        <f t="shared" si="24"/>
        <v>34480</v>
      </c>
      <c r="AS163" s="403"/>
      <c r="AT163" s="403"/>
      <c r="AU163" s="403"/>
      <c r="AV163" s="403"/>
      <c r="AW163" s="403"/>
      <c r="AX163" s="403"/>
      <c r="AY163" s="202"/>
      <c r="AZ163" s="458"/>
      <c r="BA163" s="403"/>
      <c r="BB163" s="403"/>
      <c r="BC163" s="403"/>
      <c r="BD163" s="403"/>
      <c r="BE163" s="403"/>
      <c r="BN163" s="149">
        <v>34480</v>
      </c>
      <c r="CJ163" s="104"/>
    </row>
    <row r="164" s="149" customFormat="1" customHeight="1" spans="6:88">
      <c r="F164" s="451"/>
      <c r="G164" s="452" t="s">
        <v>2228</v>
      </c>
      <c r="H164" s="452"/>
      <c r="I164" s="463" t="s">
        <v>2229</v>
      </c>
      <c r="J164" s="149">
        <v>14.5</v>
      </c>
      <c r="L164" s="149">
        <v>2281.38</v>
      </c>
      <c r="M164" s="402">
        <v>33080</v>
      </c>
      <c r="N164" s="403">
        <v>33080</v>
      </c>
      <c r="O164" s="404"/>
      <c r="P164" s="490"/>
      <c r="Q164" s="492"/>
      <c r="R164" s="403"/>
      <c r="S164" s="406"/>
      <c r="T164" s="406"/>
      <c r="U164" s="406"/>
      <c r="V164" s="403">
        <v>2000</v>
      </c>
      <c r="W164" s="406" t="s">
        <v>2230</v>
      </c>
      <c r="X164" s="403">
        <v>31080</v>
      </c>
      <c r="Y164" s="407" t="s">
        <v>2231</v>
      </c>
      <c r="Z164" s="403"/>
      <c r="AA164" s="407"/>
      <c r="AB164" s="403"/>
      <c r="AC164" s="456"/>
      <c r="AD164" s="456"/>
      <c r="AE164" s="456"/>
      <c r="AF164" s="456"/>
      <c r="AG164" s="456"/>
      <c r="AH164" s="403">
        <f t="shared" si="27"/>
        <v>33080</v>
      </c>
      <c r="AK164" s="409">
        <f t="shared" si="26"/>
        <v>0</v>
      </c>
      <c r="AL164" s="451"/>
      <c r="AM164" s="451"/>
      <c r="AN164" s="491"/>
      <c r="AO164" s="491"/>
      <c r="AP164" s="491"/>
      <c r="AQ164" s="410">
        <v>0.02</v>
      </c>
      <c r="AR164" s="411">
        <f t="shared" si="24"/>
        <v>33080</v>
      </c>
      <c r="AS164" s="403"/>
      <c r="AT164" s="403"/>
      <c r="AU164" s="403"/>
      <c r="AV164" s="403"/>
      <c r="AW164" s="403"/>
      <c r="AX164" s="403"/>
      <c r="AY164" s="202"/>
      <c r="AZ164" s="458"/>
      <c r="BA164" s="403"/>
      <c r="BB164" s="403"/>
      <c r="BC164" s="403"/>
      <c r="BD164" s="403"/>
      <c r="BE164" s="403"/>
      <c r="BR164" s="149">
        <v>33080</v>
      </c>
      <c r="CJ164" s="104"/>
    </row>
    <row r="165" s="149" customFormat="1" customHeight="1" spans="6:88">
      <c r="F165" s="451"/>
      <c r="G165" s="452"/>
      <c r="H165" s="452"/>
      <c r="I165" s="463" t="s">
        <v>2232</v>
      </c>
      <c r="J165" s="149">
        <v>57.73</v>
      </c>
      <c r="M165" s="402"/>
      <c r="N165" s="403"/>
      <c r="O165" s="404"/>
      <c r="P165" s="490"/>
      <c r="Q165" s="492"/>
      <c r="R165" s="403"/>
      <c r="S165" s="406"/>
      <c r="T165" s="406"/>
      <c r="U165" s="406"/>
      <c r="V165" s="403"/>
      <c r="W165" s="456"/>
      <c r="X165" s="403"/>
      <c r="Y165" s="407"/>
      <c r="Z165" s="403"/>
      <c r="AA165" s="407"/>
      <c r="AB165" s="403"/>
      <c r="AC165" s="456"/>
      <c r="AD165" s="456"/>
      <c r="AE165" s="456"/>
      <c r="AF165" s="456"/>
      <c r="AG165" s="456"/>
      <c r="AH165" s="403">
        <f t="shared" si="27"/>
        <v>0</v>
      </c>
      <c r="AK165" s="409">
        <f t="shared" si="26"/>
        <v>0</v>
      </c>
      <c r="AL165" s="451"/>
      <c r="AM165" s="451"/>
      <c r="AN165" s="491"/>
      <c r="AO165" s="491"/>
      <c r="AP165" s="491"/>
      <c r="AQ165" s="410">
        <v>0.02</v>
      </c>
      <c r="AR165" s="411">
        <f t="shared" si="24"/>
        <v>0</v>
      </c>
      <c r="AS165" s="403"/>
      <c r="AT165" s="403"/>
      <c r="AU165" s="403"/>
      <c r="AV165" s="403"/>
      <c r="AW165" s="403"/>
      <c r="AX165" s="403"/>
      <c r="AY165" s="202"/>
      <c r="AZ165" s="458"/>
      <c r="BA165" s="403"/>
      <c r="BB165" s="403"/>
      <c r="BC165" s="403"/>
      <c r="BD165" s="403"/>
      <c r="BE165" s="403"/>
      <c r="CJ165" s="104"/>
    </row>
    <row r="166" s="149" customFormat="1" customHeight="1" spans="6:88">
      <c r="F166" s="451"/>
      <c r="G166" s="452"/>
      <c r="H166" s="452"/>
      <c r="I166" s="463" t="s">
        <v>2233</v>
      </c>
      <c r="J166" s="149">
        <v>59.86</v>
      </c>
      <c r="M166" s="402"/>
      <c r="N166" s="403"/>
      <c r="O166" s="404"/>
      <c r="P166" s="490"/>
      <c r="Q166" s="492"/>
      <c r="R166" s="403"/>
      <c r="S166" s="406"/>
      <c r="T166" s="406"/>
      <c r="U166" s="406"/>
      <c r="V166" s="403"/>
      <c r="W166" s="456"/>
      <c r="X166" s="403"/>
      <c r="Y166" s="407"/>
      <c r="Z166" s="403"/>
      <c r="AA166" s="407"/>
      <c r="AB166" s="403"/>
      <c r="AC166" s="456"/>
      <c r="AD166" s="456"/>
      <c r="AE166" s="456"/>
      <c r="AF166" s="456"/>
      <c r="AG166" s="456"/>
      <c r="AH166" s="403">
        <f t="shared" si="27"/>
        <v>0</v>
      </c>
      <c r="AK166" s="409">
        <f t="shared" si="26"/>
        <v>0</v>
      </c>
      <c r="AL166" s="451"/>
      <c r="AM166" s="451"/>
      <c r="AN166" s="491"/>
      <c r="AO166" s="491"/>
      <c r="AP166" s="491"/>
      <c r="AQ166" s="410">
        <v>0.02</v>
      </c>
      <c r="AR166" s="411">
        <f t="shared" si="24"/>
        <v>0</v>
      </c>
      <c r="AS166" s="403"/>
      <c r="AT166" s="403"/>
      <c r="AU166" s="403"/>
      <c r="AV166" s="403"/>
      <c r="AW166" s="403"/>
      <c r="AX166" s="403"/>
      <c r="AY166" s="202"/>
      <c r="AZ166" s="458"/>
      <c r="BA166" s="403"/>
      <c r="BB166" s="403"/>
      <c r="BC166" s="403"/>
      <c r="BD166" s="403"/>
      <c r="BE166" s="403"/>
      <c r="CJ166" s="104"/>
    </row>
    <row r="167" s="149" customFormat="1" customHeight="1" spans="6:88">
      <c r="F167" s="451"/>
      <c r="G167" s="452" t="s">
        <v>2234</v>
      </c>
      <c r="H167" s="452"/>
      <c r="I167" s="463" t="s">
        <v>2235</v>
      </c>
      <c r="J167" s="149">
        <v>23.61</v>
      </c>
      <c r="L167" s="149">
        <v>2282.08</v>
      </c>
      <c r="M167" s="402">
        <v>53880</v>
      </c>
      <c r="N167" s="403"/>
      <c r="O167" s="404"/>
      <c r="P167" s="490"/>
      <c r="Q167" s="492"/>
      <c r="R167" s="403"/>
      <c r="S167" s="406"/>
      <c r="T167" s="406"/>
      <c r="U167" s="406"/>
      <c r="V167" s="403">
        <v>2000</v>
      </c>
      <c r="W167" s="406">
        <v>45537</v>
      </c>
      <c r="X167" s="403">
        <v>51880</v>
      </c>
      <c r="Y167" s="407">
        <v>45548</v>
      </c>
      <c r="Z167" s="403"/>
      <c r="AA167" s="407"/>
      <c r="AB167" s="403"/>
      <c r="AC167" s="456"/>
      <c r="AD167" s="456"/>
      <c r="AE167" s="456"/>
      <c r="AF167" s="456"/>
      <c r="AG167" s="456"/>
      <c r="AH167" s="403">
        <f t="shared" si="27"/>
        <v>53880</v>
      </c>
      <c r="AK167" s="409">
        <f t="shared" si="26"/>
        <v>0</v>
      </c>
      <c r="AL167" s="451"/>
      <c r="AM167" s="451"/>
      <c r="AN167" s="491"/>
      <c r="AO167" s="491"/>
      <c r="AP167" s="491"/>
      <c r="AQ167" s="410">
        <v>0.02</v>
      </c>
      <c r="AR167" s="411">
        <f t="shared" si="24"/>
        <v>53880</v>
      </c>
      <c r="AS167" s="403"/>
      <c r="AT167" s="403"/>
      <c r="AU167" s="403"/>
      <c r="AV167" s="403"/>
      <c r="AW167" s="403"/>
      <c r="AX167" s="403"/>
      <c r="AY167" s="202"/>
      <c r="AZ167" s="458"/>
      <c r="BA167" s="403"/>
      <c r="BB167" s="403"/>
      <c r="BC167" s="403"/>
      <c r="BD167" s="403"/>
      <c r="BE167" s="403"/>
      <c r="BN167" s="149">
        <v>53880</v>
      </c>
      <c r="CJ167" s="104"/>
    </row>
    <row r="168" s="149" customFormat="1" customHeight="1" spans="6:88">
      <c r="F168" s="451"/>
      <c r="G168" s="462" t="s">
        <v>1967</v>
      </c>
      <c r="H168" s="452"/>
      <c r="I168" s="463" t="s">
        <v>2236</v>
      </c>
      <c r="J168" s="149">
        <v>14.5</v>
      </c>
      <c r="L168" s="149">
        <v>2281.38</v>
      </c>
      <c r="M168" s="402">
        <v>33080</v>
      </c>
      <c r="N168" s="403"/>
      <c r="O168" s="404"/>
      <c r="P168" s="490"/>
      <c r="Q168" s="492"/>
      <c r="R168" s="403"/>
      <c r="S168" s="406"/>
      <c r="T168" s="406"/>
      <c r="U168" s="406"/>
      <c r="V168" s="403">
        <v>2000</v>
      </c>
      <c r="W168" s="407">
        <v>45543</v>
      </c>
      <c r="X168" s="403">
        <v>31080</v>
      </c>
      <c r="Y168" s="407">
        <v>45562</v>
      </c>
      <c r="Z168" s="403"/>
      <c r="AA168" s="407"/>
      <c r="AB168" s="403"/>
      <c r="AC168" s="456"/>
      <c r="AD168" s="456"/>
      <c r="AE168" s="456"/>
      <c r="AF168" s="456"/>
      <c r="AG168" s="456"/>
      <c r="AH168" s="403">
        <f t="shared" si="27"/>
        <v>33080</v>
      </c>
      <c r="AK168" s="409">
        <f t="shared" si="26"/>
        <v>0</v>
      </c>
      <c r="AL168" s="451"/>
      <c r="AM168" s="451"/>
      <c r="AN168" s="491"/>
      <c r="AO168" s="491"/>
      <c r="AP168" s="491"/>
      <c r="AQ168" s="410">
        <v>0.02</v>
      </c>
      <c r="AR168" s="411">
        <f t="shared" si="24"/>
        <v>33080</v>
      </c>
      <c r="AS168" s="403"/>
      <c r="AT168" s="403"/>
      <c r="AU168" s="403"/>
      <c r="AV168" s="403"/>
      <c r="AW168" s="403"/>
      <c r="AX168" s="403"/>
      <c r="AY168" s="202"/>
      <c r="AZ168" s="101"/>
      <c r="BA168" s="403"/>
      <c r="BB168" s="403"/>
      <c r="BC168" s="403"/>
      <c r="BD168" s="403"/>
      <c r="BE168" s="403"/>
      <c r="BN168" s="149">
        <v>33080</v>
      </c>
      <c r="CJ168" s="104"/>
    </row>
    <row r="169" s="149" customFormat="1" customHeight="1" spans="6:88">
      <c r="F169" s="451"/>
      <c r="G169" s="452" t="s">
        <v>2237</v>
      </c>
      <c r="H169" s="452"/>
      <c r="I169" s="463" t="s">
        <v>2238</v>
      </c>
      <c r="J169" s="149">
        <v>14.85</v>
      </c>
      <c r="L169" s="149">
        <f>M169/J169</f>
        <v>2146.80134680135</v>
      </c>
      <c r="M169" s="402">
        <v>31880</v>
      </c>
      <c r="N169" s="403" t="s">
        <v>2239</v>
      </c>
      <c r="O169" s="404"/>
      <c r="P169" s="490"/>
      <c r="Q169" s="492"/>
      <c r="R169" s="403"/>
      <c r="S169" s="406"/>
      <c r="T169" s="406"/>
      <c r="U169" s="406"/>
      <c r="V169" s="403">
        <v>31880</v>
      </c>
      <c r="W169" s="406" t="s">
        <v>2240</v>
      </c>
      <c r="X169" s="403"/>
      <c r="Y169" s="407"/>
      <c r="Z169" s="403"/>
      <c r="AA169" s="407"/>
      <c r="AB169" s="403"/>
      <c r="AC169" s="456"/>
      <c r="AD169" s="456"/>
      <c r="AE169" s="456"/>
      <c r="AF169" s="456"/>
      <c r="AG169" s="456"/>
      <c r="AH169" s="403">
        <f t="shared" si="27"/>
        <v>31880</v>
      </c>
      <c r="AK169" s="409">
        <f t="shared" si="26"/>
        <v>0</v>
      </c>
      <c r="AL169" s="451"/>
      <c r="AM169" s="451"/>
      <c r="AN169" s="491"/>
      <c r="AO169" s="491"/>
      <c r="AP169" s="493" t="s">
        <v>2241</v>
      </c>
      <c r="AQ169" s="494">
        <v>0.02</v>
      </c>
      <c r="AR169" s="495">
        <f t="shared" si="24"/>
        <v>0</v>
      </c>
      <c r="AS169" s="403"/>
      <c r="AT169" s="403"/>
      <c r="AU169" s="403"/>
      <c r="AV169" s="403"/>
      <c r="AW169" s="403"/>
      <c r="AX169" s="403"/>
      <c r="AY169" s="202"/>
      <c r="AZ169" s="101"/>
      <c r="BA169" s="403"/>
      <c r="BB169" s="403"/>
      <c r="BC169" s="403"/>
      <c r="BD169" s="403"/>
      <c r="BE169" s="403"/>
      <c r="CJ169" s="104"/>
    </row>
    <row r="170" s="149" customFormat="1" customHeight="1" spans="6:88">
      <c r="F170" s="451"/>
      <c r="G170" s="452" t="s">
        <v>2242</v>
      </c>
      <c r="H170" s="452"/>
      <c r="I170" s="463" t="s">
        <v>2243</v>
      </c>
      <c r="J170" s="149">
        <v>14.85</v>
      </c>
      <c r="L170" s="149">
        <v>2281.48</v>
      </c>
      <c r="M170" s="402">
        <v>33880</v>
      </c>
      <c r="N170" s="403"/>
      <c r="O170" s="404"/>
      <c r="P170" s="490"/>
      <c r="Q170" s="492"/>
      <c r="R170" s="403"/>
      <c r="S170" s="406"/>
      <c r="T170" s="406"/>
      <c r="U170" s="406"/>
      <c r="V170" s="403">
        <v>5000</v>
      </c>
      <c r="W170" s="406">
        <v>45537</v>
      </c>
      <c r="X170" s="403">
        <v>28880</v>
      </c>
      <c r="Y170" s="406" t="s">
        <v>2244</v>
      </c>
      <c r="Z170" s="403"/>
      <c r="AA170" s="407"/>
      <c r="AB170" s="403"/>
      <c r="AC170" s="456"/>
      <c r="AD170" s="456"/>
      <c r="AE170" s="456"/>
      <c r="AF170" s="456"/>
      <c r="AG170" s="456"/>
      <c r="AH170" s="403">
        <f t="shared" si="27"/>
        <v>33880</v>
      </c>
      <c r="AK170" s="409">
        <f t="shared" si="26"/>
        <v>0</v>
      </c>
      <c r="AL170" s="451"/>
      <c r="AM170" s="451"/>
      <c r="AN170" s="491"/>
      <c r="AO170" s="491"/>
      <c r="AP170" s="491"/>
      <c r="AQ170" s="410">
        <v>0.02</v>
      </c>
      <c r="AR170" s="411">
        <f t="shared" si="24"/>
        <v>33880</v>
      </c>
      <c r="AS170" s="403"/>
      <c r="AT170" s="403"/>
      <c r="AU170" s="403"/>
      <c r="AV170" s="403"/>
      <c r="AW170" s="403"/>
      <c r="AX170" s="403"/>
      <c r="AY170" s="202"/>
      <c r="AZ170" s="101"/>
      <c r="BA170" s="403"/>
      <c r="BB170" s="403"/>
      <c r="BC170" s="403"/>
      <c r="BD170" s="403"/>
      <c r="BE170" s="403"/>
      <c r="BQ170" s="149">
        <v>33880</v>
      </c>
      <c r="CJ170" s="104"/>
    </row>
    <row r="171" s="149" customFormat="1" customHeight="1" spans="6:88">
      <c r="F171" s="451"/>
      <c r="G171" s="452"/>
      <c r="H171" s="452" t="s">
        <v>1315</v>
      </c>
      <c r="I171" s="463" t="s">
        <v>2245</v>
      </c>
      <c r="J171" s="149">
        <v>14.5</v>
      </c>
      <c r="M171" s="402"/>
      <c r="N171" s="403"/>
      <c r="O171" s="404"/>
      <c r="P171" s="490"/>
      <c r="Q171" s="492"/>
      <c r="R171" s="403"/>
      <c r="S171" s="406"/>
      <c r="T171" s="406"/>
      <c r="U171" s="406"/>
      <c r="V171" s="403"/>
      <c r="W171" s="456"/>
      <c r="X171" s="403"/>
      <c r="Y171" s="407"/>
      <c r="Z171" s="403"/>
      <c r="AA171" s="407"/>
      <c r="AB171" s="403"/>
      <c r="AC171" s="456"/>
      <c r="AD171" s="456"/>
      <c r="AE171" s="456"/>
      <c r="AF171" s="456"/>
      <c r="AG171" s="456"/>
      <c r="AH171" s="403">
        <f t="shared" si="27"/>
        <v>0</v>
      </c>
      <c r="AK171" s="409">
        <f t="shared" si="26"/>
        <v>0</v>
      </c>
      <c r="AL171" s="451"/>
      <c r="AM171" s="451"/>
      <c r="AN171" s="491"/>
      <c r="AO171" s="491"/>
      <c r="AP171" s="491"/>
      <c r="AQ171" s="410">
        <v>0.02</v>
      </c>
      <c r="AR171" s="411">
        <f t="shared" si="24"/>
        <v>0</v>
      </c>
      <c r="AS171" s="403"/>
      <c r="AT171" s="403"/>
      <c r="AU171" s="403"/>
      <c r="AV171" s="403"/>
      <c r="AW171" s="403"/>
      <c r="AX171" s="403"/>
      <c r="AY171" s="202"/>
      <c r="AZ171" s="101"/>
      <c r="BA171" s="403"/>
      <c r="BB171" s="403"/>
      <c r="BC171" s="403"/>
      <c r="BD171" s="403"/>
      <c r="BE171" s="403"/>
      <c r="CJ171" s="104"/>
    </row>
    <row r="172" s="149" customFormat="1" customHeight="1" spans="6:88">
      <c r="F172" s="451"/>
      <c r="G172" s="452" t="s">
        <v>2246</v>
      </c>
      <c r="H172" s="452"/>
      <c r="I172" s="463" t="s">
        <v>2247</v>
      </c>
      <c r="J172" s="149">
        <v>23.61</v>
      </c>
      <c r="L172" s="149">
        <v>2282.08</v>
      </c>
      <c r="M172" s="402">
        <v>53880</v>
      </c>
      <c r="N172" s="403"/>
      <c r="O172" s="404"/>
      <c r="P172" s="490"/>
      <c r="Q172" s="492"/>
      <c r="R172" s="403"/>
      <c r="S172" s="406"/>
      <c r="T172" s="406"/>
      <c r="U172" s="406"/>
      <c r="V172" s="403">
        <v>2000</v>
      </c>
      <c r="W172" s="406">
        <v>45537</v>
      </c>
      <c r="X172" s="403">
        <v>51880</v>
      </c>
      <c r="Y172" s="407">
        <v>45544</v>
      </c>
      <c r="Z172" s="403"/>
      <c r="AA172" s="407"/>
      <c r="AB172" s="403"/>
      <c r="AC172" s="456"/>
      <c r="AD172" s="456"/>
      <c r="AE172" s="456"/>
      <c r="AF172" s="456"/>
      <c r="AG172" s="456"/>
      <c r="AH172" s="403">
        <f t="shared" si="27"/>
        <v>53880</v>
      </c>
      <c r="AK172" s="409">
        <f t="shared" si="26"/>
        <v>0</v>
      </c>
      <c r="AL172" s="451"/>
      <c r="AM172" s="451"/>
      <c r="AN172" s="491"/>
      <c r="AO172" s="491"/>
      <c r="AP172" s="491"/>
      <c r="AQ172" s="410">
        <v>0.02</v>
      </c>
      <c r="AR172" s="411">
        <f t="shared" si="24"/>
        <v>53880</v>
      </c>
      <c r="AS172" s="403"/>
      <c r="AT172" s="403"/>
      <c r="AU172" s="403"/>
      <c r="AV172" s="403"/>
      <c r="AW172" s="403"/>
      <c r="AX172" s="403"/>
      <c r="AY172" s="202"/>
      <c r="AZ172" s="101"/>
      <c r="BA172" s="403"/>
      <c r="BB172" s="403"/>
      <c r="BC172" s="403"/>
      <c r="BD172" s="403"/>
      <c r="BE172" s="403"/>
      <c r="BN172" s="149">
        <v>53880</v>
      </c>
      <c r="CJ172" s="104"/>
    </row>
    <row r="173" s="149" customFormat="1" customHeight="1" spans="6:88">
      <c r="F173" s="451"/>
      <c r="G173" s="452"/>
      <c r="H173" s="452"/>
      <c r="I173" s="463" t="s">
        <v>2248</v>
      </c>
      <c r="J173" s="149">
        <v>59.86</v>
      </c>
      <c r="M173" s="402"/>
      <c r="N173" s="403"/>
      <c r="O173" s="404"/>
      <c r="P173" s="490"/>
      <c r="Q173" s="492"/>
      <c r="R173" s="403"/>
      <c r="S173" s="406"/>
      <c r="T173" s="406"/>
      <c r="U173" s="406"/>
      <c r="V173" s="403"/>
      <c r="W173" s="456"/>
      <c r="X173" s="403"/>
      <c r="Y173" s="407"/>
      <c r="Z173" s="403"/>
      <c r="AA173" s="407"/>
      <c r="AB173" s="403"/>
      <c r="AC173" s="456"/>
      <c r="AD173" s="456"/>
      <c r="AE173" s="456"/>
      <c r="AF173" s="456"/>
      <c r="AG173" s="456"/>
      <c r="AH173" s="403">
        <f t="shared" si="27"/>
        <v>0</v>
      </c>
      <c r="AK173" s="409">
        <f t="shared" si="26"/>
        <v>0</v>
      </c>
      <c r="AL173" s="451"/>
      <c r="AM173" s="451"/>
      <c r="AN173" s="491"/>
      <c r="AO173" s="491"/>
      <c r="AP173" s="491"/>
      <c r="AQ173" s="410">
        <v>0.02</v>
      </c>
      <c r="AR173" s="411">
        <f t="shared" si="24"/>
        <v>0</v>
      </c>
      <c r="AS173" s="403"/>
      <c r="AT173" s="403"/>
      <c r="AU173" s="403"/>
      <c r="AV173" s="403"/>
      <c r="AW173" s="403"/>
      <c r="AX173" s="403"/>
      <c r="AY173" s="202"/>
      <c r="AZ173" s="101"/>
      <c r="BA173" s="403"/>
      <c r="BB173" s="403"/>
      <c r="BC173" s="403"/>
      <c r="BD173" s="403"/>
      <c r="BE173" s="403"/>
      <c r="CJ173" s="104"/>
    </row>
    <row r="174" s="149" customFormat="1" customHeight="1" spans="6:88">
      <c r="F174" s="451"/>
      <c r="G174" s="452"/>
      <c r="H174" s="452"/>
      <c r="I174" s="463" t="s">
        <v>2249</v>
      </c>
      <c r="J174" s="149">
        <v>60.13</v>
      </c>
      <c r="M174" s="402"/>
      <c r="N174" s="403"/>
      <c r="O174" s="404"/>
      <c r="P174" s="490"/>
      <c r="Q174" s="492"/>
      <c r="R174" s="403"/>
      <c r="S174" s="406"/>
      <c r="T174" s="406"/>
      <c r="U174" s="406"/>
      <c r="V174" s="403"/>
      <c r="W174" s="456"/>
      <c r="X174" s="403"/>
      <c r="Y174" s="407"/>
      <c r="Z174" s="403"/>
      <c r="AA174" s="407"/>
      <c r="AB174" s="403"/>
      <c r="AC174" s="456"/>
      <c r="AD174" s="456"/>
      <c r="AE174" s="456"/>
      <c r="AF174" s="456"/>
      <c r="AG174" s="456"/>
      <c r="AH174" s="403">
        <f t="shared" si="27"/>
        <v>0</v>
      </c>
      <c r="AK174" s="409">
        <f t="shared" si="26"/>
        <v>0</v>
      </c>
      <c r="AL174" s="451"/>
      <c r="AM174" s="451"/>
      <c r="AN174" s="491"/>
      <c r="AO174" s="491"/>
      <c r="AP174" s="491"/>
      <c r="AQ174" s="410">
        <v>0.02</v>
      </c>
      <c r="AR174" s="411">
        <f t="shared" si="24"/>
        <v>0</v>
      </c>
      <c r="AS174" s="403"/>
      <c r="AT174" s="403"/>
      <c r="AU174" s="403"/>
      <c r="AV174" s="403"/>
      <c r="AW174" s="403"/>
      <c r="AX174" s="403"/>
      <c r="AY174" s="202"/>
      <c r="AZ174" s="101"/>
      <c r="BA174" s="403"/>
      <c r="BB174" s="403"/>
      <c r="BC174" s="403"/>
      <c r="BD174" s="403"/>
      <c r="BE174" s="403"/>
      <c r="CJ174" s="104"/>
    </row>
    <row r="175" s="149" customFormat="1" customHeight="1" spans="6:88">
      <c r="F175" s="451"/>
      <c r="G175" s="452" t="s">
        <v>2250</v>
      </c>
      <c r="H175" s="452"/>
      <c r="I175" s="463" t="s">
        <v>2251</v>
      </c>
      <c r="J175" s="149">
        <v>23.61</v>
      </c>
      <c r="L175" s="149">
        <v>2282.08</v>
      </c>
      <c r="M175" s="402">
        <v>53880</v>
      </c>
      <c r="N175" s="403"/>
      <c r="O175" s="404"/>
      <c r="P175" s="490"/>
      <c r="Q175" s="492"/>
      <c r="R175" s="403"/>
      <c r="S175" s="406"/>
      <c r="T175" s="406"/>
      <c r="U175" s="406"/>
      <c r="V175" s="403">
        <v>53880</v>
      </c>
      <c r="W175" s="406">
        <v>45537</v>
      </c>
      <c r="X175" s="403"/>
      <c r="Y175" s="407"/>
      <c r="Z175" s="403"/>
      <c r="AA175" s="407"/>
      <c r="AB175" s="403"/>
      <c r="AC175" s="456"/>
      <c r="AD175" s="456"/>
      <c r="AE175" s="456"/>
      <c r="AF175" s="456"/>
      <c r="AG175" s="456"/>
      <c r="AH175" s="403">
        <f t="shared" si="27"/>
        <v>53880</v>
      </c>
      <c r="AK175" s="409">
        <f t="shared" si="26"/>
        <v>0</v>
      </c>
      <c r="AL175" s="451"/>
      <c r="AM175" s="451"/>
      <c r="AN175" s="491"/>
      <c r="AO175" s="491"/>
      <c r="AP175" s="491"/>
      <c r="AQ175" s="410">
        <v>0.02</v>
      </c>
      <c r="AR175" s="411">
        <f t="shared" si="24"/>
        <v>53880</v>
      </c>
      <c r="AS175" s="403"/>
      <c r="AT175" s="403"/>
      <c r="AU175" s="403"/>
      <c r="AV175" s="403"/>
      <c r="AW175" s="403"/>
      <c r="AX175" s="403"/>
      <c r="AY175" s="202"/>
      <c r="AZ175" s="101"/>
      <c r="BA175" s="403"/>
      <c r="BB175" s="403"/>
      <c r="BC175" s="403"/>
      <c r="BD175" s="403"/>
      <c r="BE175" s="403"/>
      <c r="BN175" s="149">
        <v>53880</v>
      </c>
      <c r="CJ175" s="104"/>
    </row>
    <row r="176" s="149" customFormat="1" customHeight="1" spans="6:88">
      <c r="F176" s="451"/>
      <c r="G176" s="452" t="s">
        <v>2252</v>
      </c>
      <c r="H176" s="452"/>
      <c r="I176" s="463" t="s">
        <v>2253</v>
      </c>
      <c r="J176" s="149">
        <v>14.5</v>
      </c>
      <c r="L176" s="149">
        <v>2281.38</v>
      </c>
      <c r="M176" s="402">
        <v>33080</v>
      </c>
      <c r="N176" s="403"/>
      <c r="O176" s="404"/>
      <c r="P176" s="490"/>
      <c r="Q176" s="492"/>
      <c r="R176" s="403"/>
      <c r="S176" s="406"/>
      <c r="T176" s="406"/>
      <c r="U176" s="406"/>
      <c r="V176" s="403">
        <v>3000</v>
      </c>
      <c r="W176" s="406">
        <v>45538</v>
      </c>
      <c r="X176" s="403">
        <v>30080</v>
      </c>
      <c r="Y176" s="406">
        <v>45575</v>
      </c>
      <c r="Z176" s="403"/>
      <c r="AA176" s="407"/>
      <c r="AB176" s="403"/>
      <c r="AC176" s="456"/>
      <c r="AD176" s="456"/>
      <c r="AE176" s="456"/>
      <c r="AF176" s="456"/>
      <c r="AG176" s="456"/>
      <c r="AH176" s="403">
        <f t="shared" si="27"/>
        <v>33080</v>
      </c>
      <c r="AK176" s="409">
        <f t="shared" si="26"/>
        <v>0</v>
      </c>
      <c r="AL176" s="451"/>
      <c r="AM176" s="451"/>
      <c r="AN176" s="491"/>
      <c r="AO176" s="491"/>
      <c r="AP176" s="491"/>
      <c r="AQ176" s="410">
        <v>0.02</v>
      </c>
      <c r="AR176" s="411">
        <f t="shared" si="24"/>
        <v>33080</v>
      </c>
      <c r="AS176" s="403"/>
      <c r="AT176" s="403"/>
      <c r="AU176" s="403"/>
      <c r="AV176" s="403"/>
      <c r="AW176" s="403"/>
      <c r="AX176" s="403"/>
      <c r="AY176" s="202"/>
      <c r="AZ176" s="101"/>
      <c r="BA176" s="403"/>
      <c r="BB176" s="403"/>
      <c r="BC176" s="403"/>
      <c r="BD176" s="403"/>
      <c r="BE176" s="403"/>
      <c r="BO176" s="149">
        <v>33080</v>
      </c>
      <c r="CJ176" s="104"/>
    </row>
    <row r="177" s="149" customFormat="1" customHeight="1" spans="1:88">
      <c r="F177" s="451"/>
      <c r="G177" s="452" t="s">
        <v>2254</v>
      </c>
      <c r="H177" s="452"/>
      <c r="I177" s="463" t="s">
        <v>2255</v>
      </c>
      <c r="J177" s="149">
        <v>14.97</v>
      </c>
      <c r="L177" s="149">
        <v>2281.9</v>
      </c>
      <c r="M177" s="402">
        <v>34160</v>
      </c>
      <c r="N177" s="403"/>
      <c r="O177" s="404"/>
      <c r="P177" s="490"/>
      <c r="Q177" s="492"/>
      <c r="R177" s="403"/>
      <c r="S177" s="406"/>
      <c r="T177" s="406"/>
      <c r="U177" s="406"/>
      <c r="V177" s="403">
        <v>2000</v>
      </c>
      <c r="W177" s="406">
        <v>45537</v>
      </c>
      <c r="X177" s="403">
        <v>32160</v>
      </c>
      <c r="Y177" s="406" t="s">
        <v>2256</v>
      </c>
      <c r="Z177" s="403"/>
      <c r="AA177" s="407"/>
      <c r="AB177" s="403"/>
      <c r="AC177" s="456"/>
      <c r="AD177" s="456"/>
      <c r="AE177" s="456"/>
      <c r="AF177" s="456"/>
      <c r="AG177" s="456"/>
      <c r="AH177" s="403">
        <f t="shared" si="27"/>
        <v>34160</v>
      </c>
      <c r="AK177" s="409">
        <f t="shared" si="26"/>
        <v>0</v>
      </c>
      <c r="AL177" s="451"/>
      <c r="AM177" s="451"/>
      <c r="AN177" s="491"/>
      <c r="AO177" s="491"/>
      <c r="AP177" s="491"/>
      <c r="AQ177" s="410">
        <v>0.02</v>
      </c>
      <c r="AR177" s="411">
        <f t="shared" si="24"/>
        <v>34160</v>
      </c>
      <c r="AS177" s="403"/>
      <c r="AT177" s="403"/>
      <c r="AU177" s="403"/>
      <c r="AV177" s="403"/>
      <c r="AW177" s="403"/>
      <c r="AX177" s="403"/>
      <c r="AY177" s="202"/>
      <c r="AZ177" s="101"/>
      <c r="BA177" s="403"/>
      <c r="BB177" s="403"/>
      <c r="BC177" s="403"/>
      <c r="BD177" s="403"/>
      <c r="BE177" s="403"/>
      <c r="BO177" s="149">
        <v>34160</v>
      </c>
      <c r="CJ177" s="104"/>
    </row>
    <row r="178" s="134" customFormat="1" customHeight="1" spans="1:88">
      <c r="A178" s="134">
        <v>111</v>
      </c>
      <c r="C178" s="138">
        <v>44966</v>
      </c>
      <c r="D178" s="496" t="s">
        <v>2257</v>
      </c>
      <c r="F178" s="429" t="s">
        <v>2258</v>
      </c>
      <c r="G178" s="440" t="s">
        <v>2259</v>
      </c>
      <c r="H178" s="1008" t="s">
        <v>2260</v>
      </c>
      <c r="I178" s="414" t="s">
        <v>2261</v>
      </c>
      <c r="J178" s="134">
        <v>107.8</v>
      </c>
      <c r="K178" s="134">
        <v>107.8</v>
      </c>
      <c r="L178" s="134">
        <v>7961</v>
      </c>
      <c r="M178" s="436">
        <v>858196</v>
      </c>
      <c r="N178" s="437"/>
      <c r="O178" s="445">
        <v>787335.78</v>
      </c>
      <c r="P178" s="446" t="s">
        <v>2262</v>
      </c>
      <c r="Q178" s="448">
        <v>45608</v>
      </c>
      <c r="R178" s="359"/>
      <c r="S178" s="416"/>
      <c r="T178" s="426" t="s">
        <v>2263</v>
      </c>
      <c r="U178" s="416" t="s">
        <v>2264</v>
      </c>
      <c r="V178" s="359">
        <v>298196</v>
      </c>
      <c r="W178" s="134" t="s">
        <v>1377</v>
      </c>
      <c r="X178" s="359">
        <v>130000</v>
      </c>
      <c r="Y178" s="138" t="s">
        <v>2265</v>
      </c>
      <c r="Z178" s="359">
        <v>430000</v>
      </c>
      <c r="AA178" s="134" t="s">
        <v>2185</v>
      </c>
      <c r="AB178" s="359"/>
      <c r="AH178" s="359">
        <f t="shared" si="27"/>
        <v>858196</v>
      </c>
      <c r="AK178" s="364">
        <f t="shared" ref="AK153:AK216" si="28">M178-AH178</f>
        <v>0</v>
      </c>
      <c r="AL178" s="429" t="s">
        <v>2266</v>
      </c>
      <c r="AM178" s="429"/>
      <c r="AN178" s="447"/>
      <c r="AO178" s="447"/>
      <c r="AP178" s="447"/>
      <c r="AQ178" s="365">
        <f>0.6%+0.04%+0.1%</f>
        <v>0.0074</v>
      </c>
      <c r="AR178" s="419">
        <f t="shared" si="24"/>
        <v>858196</v>
      </c>
      <c r="AS178" s="359">
        <v>100</v>
      </c>
      <c r="AT178" s="359">
        <f>100+100</f>
        <v>200</v>
      </c>
      <c r="AU178" s="359"/>
      <c r="AV178" s="359"/>
      <c r="AW178" s="359"/>
      <c r="AX178" s="359">
        <v>428196</v>
      </c>
      <c r="AY178" s="218"/>
      <c r="AZ178" s="128">
        <v>430000</v>
      </c>
      <c r="BA178" s="359"/>
      <c r="BB178" s="359"/>
      <c r="BC178" s="359"/>
      <c r="BD178" s="359"/>
      <c r="BE178" s="359"/>
      <c r="BZ178" s="134" t="s">
        <v>376</v>
      </c>
      <c r="CA178" s="134" t="s">
        <v>387</v>
      </c>
      <c r="CB178" s="134" t="s">
        <v>377</v>
      </c>
      <c r="CE178" s="149"/>
    </row>
    <row r="179" s="134" customFormat="1" customHeight="1" spans="1:88">
      <c r="A179" s="134">
        <v>112</v>
      </c>
      <c r="C179" s="138">
        <v>45075</v>
      </c>
      <c r="D179" s="134">
        <v>20230004510</v>
      </c>
      <c r="F179" s="429" t="s">
        <v>1191</v>
      </c>
      <c r="G179" s="440" t="s">
        <v>1192</v>
      </c>
      <c r="H179" s="1008" t="s">
        <v>2267</v>
      </c>
      <c r="I179" s="423" t="s">
        <v>2268</v>
      </c>
      <c r="J179" s="134">
        <v>107.62</v>
      </c>
      <c r="K179" s="134">
        <v>107.62</v>
      </c>
      <c r="L179" s="134">
        <v>8000</v>
      </c>
      <c r="M179" s="436">
        <v>860960</v>
      </c>
      <c r="N179" s="437">
        <v>5549.98</v>
      </c>
      <c r="O179" s="445">
        <v>789871.56</v>
      </c>
      <c r="P179" s="446" t="s">
        <v>2269</v>
      </c>
      <c r="Q179" s="448">
        <v>45713</v>
      </c>
      <c r="R179" s="359"/>
      <c r="S179" s="416"/>
      <c r="T179" s="416"/>
      <c r="U179" s="416" t="s">
        <v>2270</v>
      </c>
      <c r="V179" s="359">
        <v>20000</v>
      </c>
      <c r="W179" s="443" t="s">
        <v>964</v>
      </c>
      <c r="X179" s="359">
        <v>152192</v>
      </c>
      <c r="Y179" s="443" t="s">
        <v>1752</v>
      </c>
      <c r="Z179" s="359">
        <v>370000</v>
      </c>
      <c r="AA179" s="138" t="s">
        <v>607</v>
      </c>
      <c r="AB179" s="359">
        <v>318768</v>
      </c>
      <c r="AC179" s="416" t="s">
        <v>1014</v>
      </c>
      <c r="AD179" s="138"/>
      <c r="AE179" s="138"/>
      <c r="AF179" s="138"/>
      <c r="AG179" s="138"/>
      <c r="AH179" s="359">
        <f t="shared" si="27"/>
        <v>860960</v>
      </c>
      <c r="AK179" s="364">
        <f t="shared" si="28"/>
        <v>0</v>
      </c>
      <c r="AL179" s="429" t="s">
        <v>2271</v>
      </c>
      <c r="AM179" s="429"/>
      <c r="AN179" s="447"/>
      <c r="AO179" s="447"/>
      <c r="AP179" s="447"/>
      <c r="AQ179" s="365">
        <f>0.4%+0.04%+0.1%</f>
        <v>0.0054</v>
      </c>
      <c r="AR179" s="419">
        <f t="shared" si="24"/>
        <v>860960</v>
      </c>
      <c r="AS179" s="359">
        <f>100+100+100</f>
        <v>300</v>
      </c>
      <c r="AT179" s="359"/>
      <c r="AU179" s="359"/>
      <c r="AV179" s="359"/>
      <c r="AW179" s="359"/>
      <c r="AX179" s="359"/>
      <c r="AY179" s="218"/>
      <c r="AZ179" s="128"/>
      <c r="BA179" s="359"/>
      <c r="BB179" s="359"/>
      <c r="BC179" s="359">
        <v>860960</v>
      </c>
      <c r="BD179" s="359"/>
      <c r="BE179" s="359"/>
      <c r="BZ179" s="134" t="s">
        <v>376</v>
      </c>
      <c r="CA179" s="134" t="s">
        <v>387</v>
      </c>
      <c r="CB179" s="134" t="s">
        <v>377</v>
      </c>
      <c r="CE179" s="149"/>
    </row>
    <row r="180" s="134" customFormat="1" ht="42" customHeight="1" spans="1:88">
      <c r="A180" s="134">
        <v>113</v>
      </c>
      <c r="C180" s="138">
        <v>45346</v>
      </c>
      <c r="D180" s="496" t="s">
        <v>2272</v>
      </c>
      <c r="F180" s="429" t="s">
        <v>2273</v>
      </c>
      <c r="G180" s="134" t="s">
        <v>2274</v>
      </c>
      <c r="H180" s="1006" t="s">
        <v>2275</v>
      </c>
      <c r="I180" s="414" t="s">
        <v>2276</v>
      </c>
      <c r="J180" s="134">
        <v>107.98</v>
      </c>
      <c r="K180" s="134">
        <v>107.98</v>
      </c>
      <c r="L180" s="134">
        <v>5606.13</v>
      </c>
      <c r="M180" s="436">
        <v>605350</v>
      </c>
      <c r="N180" s="437">
        <v>5556.13</v>
      </c>
      <c r="O180" s="445">
        <v>555366.97</v>
      </c>
      <c r="P180" s="446" t="s">
        <v>2277</v>
      </c>
      <c r="Q180" s="448">
        <v>45608</v>
      </c>
      <c r="R180" s="359"/>
      <c r="S180" s="362"/>
      <c r="T180" s="362"/>
      <c r="U180" s="362" t="s">
        <v>2278</v>
      </c>
      <c r="V180" s="359">
        <v>10000</v>
      </c>
      <c r="W180" s="362" t="s">
        <v>629</v>
      </c>
      <c r="X180" s="359">
        <v>10000</v>
      </c>
      <c r="Y180" s="362" t="s">
        <v>2279</v>
      </c>
      <c r="Z180" s="359">
        <v>100000</v>
      </c>
      <c r="AA180" s="362" t="s">
        <v>572</v>
      </c>
      <c r="AB180" s="359">
        <v>80000</v>
      </c>
      <c r="AC180" s="362" t="s">
        <v>2280</v>
      </c>
      <c r="AD180" s="359">
        <v>200350</v>
      </c>
      <c r="AE180" s="362" t="s">
        <v>2281</v>
      </c>
      <c r="AF180" s="134">
        <v>205000</v>
      </c>
      <c r="AG180" s="134" t="s">
        <v>440</v>
      </c>
      <c r="AH180" s="359">
        <f t="shared" si="27"/>
        <v>605350</v>
      </c>
      <c r="AK180" s="364">
        <f t="shared" si="28"/>
        <v>0</v>
      </c>
      <c r="AL180" s="429" t="s">
        <v>2282</v>
      </c>
      <c r="AM180" s="429"/>
      <c r="AN180" s="439"/>
      <c r="AO180" s="439"/>
      <c r="AP180" s="439"/>
      <c r="AQ180" s="365">
        <f>0.7%+0.02%+0.12%</f>
        <v>0.0084</v>
      </c>
      <c r="AR180" s="419">
        <f t="shared" si="24"/>
        <v>605350</v>
      </c>
      <c r="AS180" s="359"/>
      <c r="AT180" s="359"/>
      <c r="AU180" s="359"/>
      <c r="AV180" s="359"/>
      <c r="AW180" s="359"/>
      <c r="AX180" s="359"/>
      <c r="AY180" s="218"/>
      <c r="BA180" s="359"/>
      <c r="BB180" s="359"/>
      <c r="BC180" s="359"/>
      <c r="BD180" s="359"/>
      <c r="BE180" s="359"/>
      <c r="BH180" s="134">
        <v>400350</v>
      </c>
      <c r="BI180" s="134">
        <v>205000</v>
      </c>
      <c r="BZ180" s="134" t="s">
        <v>376</v>
      </c>
      <c r="CA180" s="134" t="s">
        <v>387</v>
      </c>
      <c r="CB180" s="134" t="s">
        <v>377</v>
      </c>
      <c r="CE180" s="149"/>
    </row>
    <row r="181" s="134" customFormat="1" customHeight="1" spans="1:88">
      <c r="A181" s="134">
        <v>114</v>
      </c>
      <c r="C181" s="138">
        <v>45284</v>
      </c>
      <c r="D181" s="496" t="s">
        <v>2283</v>
      </c>
      <c r="F181" s="429" t="s">
        <v>2273</v>
      </c>
      <c r="G181" s="134" t="s">
        <v>2284</v>
      </c>
      <c r="I181" s="423" t="s">
        <v>2285</v>
      </c>
      <c r="J181" s="134">
        <v>107.62</v>
      </c>
      <c r="K181" s="134">
        <v>107.62</v>
      </c>
      <c r="L181" s="134">
        <f>M181/K181</f>
        <v>5600</v>
      </c>
      <c r="M181" s="436">
        <v>602672</v>
      </c>
      <c r="N181" s="437">
        <v>5549.98</v>
      </c>
      <c r="O181" s="445">
        <v>552910.09</v>
      </c>
      <c r="P181" s="446" t="s">
        <v>2286</v>
      </c>
      <c r="Q181" s="448">
        <v>45608</v>
      </c>
      <c r="R181" s="359"/>
      <c r="S181" s="362"/>
      <c r="T181" s="1015" t="s">
        <v>2287</v>
      </c>
      <c r="U181" s="416" t="s">
        <v>840</v>
      </c>
      <c r="V181" s="359">
        <v>2000</v>
      </c>
      <c r="W181" s="416" t="s">
        <v>589</v>
      </c>
      <c r="X181" s="359">
        <v>96672</v>
      </c>
      <c r="Y181" s="362" t="s">
        <v>801</v>
      </c>
      <c r="Z181" s="359">
        <v>24000</v>
      </c>
      <c r="AA181" s="362" t="s">
        <v>2288</v>
      </c>
      <c r="AB181" s="359">
        <v>480000</v>
      </c>
      <c r="AC181" s="134" t="s">
        <v>573</v>
      </c>
      <c r="AH181" s="359">
        <f t="shared" si="27"/>
        <v>602672</v>
      </c>
      <c r="AK181" s="364">
        <f t="shared" si="28"/>
        <v>0</v>
      </c>
      <c r="AL181" s="429"/>
      <c r="AM181" s="429"/>
      <c r="AN181" s="439"/>
      <c r="AO181" s="439"/>
      <c r="AP181" s="439"/>
      <c r="AQ181" s="365">
        <f>0.4%+0.08%</f>
        <v>0.0048</v>
      </c>
      <c r="AR181" s="419">
        <f t="shared" si="24"/>
        <v>602672</v>
      </c>
      <c r="AS181" s="359"/>
      <c r="AT181" s="359"/>
      <c r="AU181" s="359"/>
      <c r="AV181" s="359"/>
      <c r="AW181" s="359"/>
      <c r="AX181" s="359"/>
      <c r="AY181" s="218"/>
      <c r="BA181" s="359"/>
      <c r="BB181" s="359"/>
      <c r="BC181" s="359"/>
      <c r="BD181" s="359"/>
      <c r="BE181" s="359"/>
      <c r="BK181" s="134">
        <v>602672</v>
      </c>
      <c r="BZ181" s="134" t="s">
        <v>376</v>
      </c>
      <c r="CA181" s="134" t="s">
        <v>387</v>
      </c>
      <c r="CB181" s="134" t="s">
        <v>377</v>
      </c>
      <c r="CE181" s="149"/>
    </row>
    <row r="182" s="134" customFormat="1" customHeight="1" spans="1:88">
      <c r="A182" s="134">
        <v>115</v>
      </c>
      <c r="C182" s="138">
        <v>45105</v>
      </c>
      <c r="D182" s="496" t="s">
        <v>2289</v>
      </c>
      <c r="F182" s="429" t="s">
        <v>2290</v>
      </c>
      <c r="G182" s="134" t="s">
        <v>2291</v>
      </c>
      <c r="H182" s="1006" t="s">
        <v>2292</v>
      </c>
      <c r="I182" s="414" t="s">
        <v>2293</v>
      </c>
      <c r="J182" s="134">
        <v>107.98</v>
      </c>
      <c r="K182" s="134">
        <v>107.98</v>
      </c>
      <c r="L182" s="134">
        <v>5610</v>
      </c>
      <c r="M182" s="436">
        <v>605768</v>
      </c>
      <c r="N182" s="437">
        <v>5608.1</v>
      </c>
      <c r="O182" s="445">
        <v>555750.46</v>
      </c>
      <c r="P182" s="446" t="s">
        <v>2294</v>
      </c>
      <c r="Q182" s="448">
        <v>45608</v>
      </c>
      <c r="R182" s="359"/>
      <c r="S182" s="362"/>
      <c r="T182" s="362"/>
      <c r="U182" s="362" t="s">
        <v>524</v>
      </c>
      <c r="V182" s="359">
        <v>20000</v>
      </c>
      <c r="W182" s="362" t="s">
        <v>1434</v>
      </c>
      <c r="X182" s="359">
        <v>105768</v>
      </c>
      <c r="Y182" s="438" t="s">
        <v>1208</v>
      </c>
      <c r="Z182" s="359">
        <v>480000</v>
      </c>
      <c r="AA182" s="362" t="s">
        <v>1522</v>
      </c>
      <c r="AB182" s="359"/>
      <c r="AH182" s="359">
        <f t="shared" si="27"/>
        <v>605768</v>
      </c>
      <c r="AK182" s="364">
        <f t="shared" si="28"/>
        <v>0</v>
      </c>
      <c r="AL182" s="429" t="s">
        <v>2295</v>
      </c>
      <c r="AM182" s="429"/>
      <c r="AN182" s="439"/>
      <c r="AO182" s="439"/>
      <c r="AP182" s="439"/>
      <c r="AQ182" s="365">
        <f>0.4%+0.02%+0.08%</f>
        <v>0.005</v>
      </c>
      <c r="AR182" s="419">
        <f t="shared" si="24"/>
        <v>605768</v>
      </c>
      <c r="AS182" s="359">
        <f>100</f>
        <v>100</v>
      </c>
      <c r="AT182" s="359"/>
      <c r="AU182" s="359"/>
      <c r="AV182" s="359"/>
      <c r="AW182" s="359"/>
      <c r="AX182" s="359"/>
      <c r="AY182" s="218"/>
      <c r="AZ182" s="128">
        <v>125768</v>
      </c>
      <c r="BA182" s="359"/>
      <c r="BB182" s="359"/>
      <c r="BC182" s="359">
        <v>480000</v>
      </c>
      <c r="BD182" s="359"/>
      <c r="BE182" s="359"/>
      <c r="BZ182" s="134" t="s">
        <v>376</v>
      </c>
      <c r="CA182" s="134" t="s">
        <v>387</v>
      </c>
      <c r="CB182" s="134" t="s">
        <v>377</v>
      </c>
      <c r="CE182" s="149"/>
    </row>
    <row r="183" s="134" customFormat="1" ht="56" customHeight="1" spans="1:88">
      <c r="A183" s="134">
        <v>116</v>
      </c>
      <c r="C183" s="138">
        <v>45299</v>
      </c>
      <c r="D183" s="496" t="s">
        <v>2296</v>
      </c>
      <c r="F183" s="429" t="s">
        <v>2297</v>
      </c>
      <c r="G183" s="143" t="s">
        <v>2298</v>
      </c>
      <c r="H183" s="1010" t="s">
        <v>2299</v>
      </c>
      <c r="I183" s="423" t="s">
        <v>2300</v>
      </c>
      <c r="J183" s="134">
        <v>107.62</v>
      </c>
      <c r="K183" s="134">
        <v>107.62</v>
      </c>
      <c r="L183" s="134">
        <v>5621.6</v>
      </c>
      <c r="M183" s="436">
        <v>605000</v>
      </c>
      <c r="N183" s="437"/>
      <c r="O183" s="445">
        <v>555045.87</v>
      </c>
      <c r="P183" s="446" t="s">
        <v>2301</v>
      </c>
      <c r="Q183" s="448">
        <v>45593</v>
      </c>
      <c r="R183" s="359"/>
      <c r="S183" s="362"/>
      <c r="T183" s="362"/>
      <c r="U183" s="416" t="s">
        <v>2302</v>
      </c>
      <c r="V183" s="359">
        <v>20000</v>
      </c>
      <c r="W183" s="362" t="s">
        <v>2303</v>
      </c>
      <c r="X183" s="359">
        <f>420000+140050+24950</f>
        <v>585000</v>
      </c>
      <c r="Y183" s="362" t="s">
        <v>2304</v>
      </c>
      <c r="Z183" s="359"/>
      <c r="AA183" s="362"/>
      <c r="AB183" s="359"/>
      <c r="AC183" s="362"/>
      <c r="AH183" s="359">
        <f t="shared" si="27"/>
        <v>605000</v>
      </c>
      <c r="AK183" s="364">
        <f t="shared" si="28"/>
        <v>0</v>
      </c>
      <c r="AL183" s="429" t="s">
        <v>2305</v>
      </c>
      <c r="AM183" s="429"/>
      <c r="AN183" s="439"/>
      <c r="AO183" s="439"/>
      <c r="AP183" s="439"/>
      <c r="AQ183" s="498">
        <f>0.5%+0.02%+0.08%</f>
        <v>0.006</v>
      </c>
      <c r="AR183" s="419">
        <f t="shared" si="24"/>
        <v>605000</v>
      </c>
      <c r="AS183" s="359">
        <f>100</f>
        <v>100</v>
      </c>
      <c r="AT183" s="359"/>
      <c r="AU183" s="359"/>
      <c r="AV183" s="359"/>
      <c r="AW183" s="359"/>
      <c r="AX183" s="359"/>
      <c r="AY183" s="218"/>
      <c r="BA183" s="359"/>
      <c r="BB183" s="359"/>
      <c r="BC183" s="359"/>
      <c r="BD183" s="359"/>
      <c r="BE183" s="359"/>
      <c r="BG183" s="134">
        <v>605000</v>
      </c>
      <c r="BZ183" s="134" t="s">
        <v>376</v>
      </c>
      <c r="CA183" s="134" t="s">
        <v>387</v>
      </c>
      <c r="CB183" s="134" t="s">
        <v>377</v>
      </c>
      <c r="CE183" s="149"/>
    </row>
    <row r="184" s="134" customFormat="1" customHeight="1" spans="1:88">
      <c r="A184" s="134">
        <v>117</v>
      </c>
      <c r="C184" s="138">
        <v>45099</v>
      </c>
      <c r="D184" s="496" t="s">
        <v>2306</v>
      </c>
      <c r="F184" s="429" t="s">
        <v>2307</v>
      </c>
      <c r="G184" s="134" t="s">
        <v>2308</v>
      </c>
      <c r="H184" s="1006" t="s">
        <v>2309</v>
      </c>
      <c r="I184" s="414" t="s">
        <v>2310</v>
      </c>
      <c r="J184" s="134">
        <v>107.98</v>
      </c>
      <c r="K184" s="134">
        <v>107.98</v>
      </c>
      <c r="L184" s="134">
        <v>5741.8</v>
      </c>
      <c r="M184" s="436">
        <v>620000</v>
      </c>
      <c r="N184" s="437">
        <v>5669.1</v>
      </c>
      <c r="O184" s="445">
        <v>568807.34</v>
      </c>
      <c r="P184" s="446" t="s">
        <v>2311</v>
      </c>
      <c r="Q184" s="448">
        <v>45608</v>
      </c>
      <c r="R184" s="359"/>
      <c r="S184" s="362"/>
      <c r="T184" s="362"/>
      <c r="U184" s="362" t="s">
        <v>393</v>
      </c>
      <c r="V184" s="359">
        <v>20000</v>
      </c>
      <c r="W184" s="362" t="s">
        <v>1064</v>
      </c>
      <c r="X184" s="359">
        <v>100000</v>
      </c>
      <c r="Y184" s="438" t="s">
        <v>2165</v>
      </c>
      <c r="Z184" s="359">
        <v>80000</v>
      </c>
      <c r="AA184" s="134" t="s">
        <v>1557</v>
      </c>
      <c r="AB184" s="359">
        <v>420000</v>
      </c>
      <c r="AC184" s="362" t="s">
        <v>1002</v>
      </c>
      <c r="AH184" s="359">
        <f t="shared" si="27"/>
        <v>620000</v>
      </c>
      <c r="AK184" s="364">
        <f t="shared" si="28"/>
        <v>0</v>
      </c>
      <c r="AL184" s="429" t="s">
        <v>2312</v>
      </c>
      <c r="AM184" s="429"/>
      <c r="AN184" s="439"/>
      <c r="AO184" s="439"/>
      <c r="AP184" s="439"/>
      <c r="AQ184" s="365">
        <f>0.6%+0.05%+0.14%</f>
        <v>0.0079</v>
      </c>
      <c r="AR184" s="419">
        <f t="shared" si="24"/>
        <v>620000</v>
      </c>
      <c r="AS184" s="359"/>
      <c r="AT184" s="359">
        <v>100</v>
      </c>
      <c r="AU184" s="359"/>
      <c r="AV184" s="359"/>
      <c r="AW184" s="359"/>
      <c r="AX184" s="359"/>
      <c r="AY184" s="218"/>
      <c r="AZ184" s="128">
        <v>200000</v>
      </c>
      <c r="BA184" s="359"/>
      <c r="BB184" s="359"/>
      <c r="BC184" s="359">
        <v>420000</v>
      </c>
      <c r="BD184" s="359"/>
      <c r="BE184" s="359"/>
      <c r="BZ184" s="134" t="s">
        <v>376</v>
      </c>
      <c r="CA184" s="134" t="s">
        <v>387</v>
      </c>
      <c r="CB184" s="134" t="s">
        <v>377</v>
      </c>
      <c r="CE184" s="149"/>
    </row>
    <row r="185" s="134" customFormat="1" customHeight="1" spans="1:88">
      <c r="A185" s="134">
        <v>118</v>
      </c>
      <c r="C185" s="138">
        <v>45102</v>
      </c>
      <c r="D185" s="496" t="s">
        <v>2313</v>
      </c>
      <c r="F185" s="429" t="s">
        <v>2314</v>
      </c>
      <c r="G185" s="134" t="s">
        <v>2315</v>
      </c>
      <c r="H185" s="1006" t="s">
        <v>2316</v>
      </c>
      <c r="I185" s="414" t="s">
        <v>2317</v>
      </c>
      <c r="J185" s="134">
        <v>107.62</v>
      </c>
      <c r="K185" s="134">
        <v>107.62</v>
      </c>
      <c r="L185" s="134">
        <v>5761.01</v>
      </c>
      <c r="M185" s="436">
        <v>620000</v>
      </c>
      <c r="N185" s="437">
        <v>5662.95</v>
      </c>
      <c r="O185" s="445">
        <v>568807.34</v>
      </c>
      <c r="P185" s="446" t="s">
        <v>2318</v>
      </c>
      <c r="Q185" s="448">
        <v>45608</v>
      </c>
      <c r="R185" s="359"/>
      <c r="S185" s="362"/>
      <c r="T185" s="362"/>
      <c r="U185" s="362" t="s">
        <v>2278</v>
      </c>
      <c r="V185" s="359">
        <v>20000</v>
      </c>
      <c r="W185" s="362" t="s">
        <v>2319</v>
      </c>
      <c r="X185" s="359">
        <v>600000</v>
      </c>
      <c r="Y185" s="438" t="s">
        <v>607</v>
      </c>
      <c r="Z185" s="359"/>
      <c r="AB185" s="359"/>
      <c r="AH185" s="359">
        <f t="shared" si="27"/>
        <v>620000</v>
      </c>
      <c r="AK185" s="364">
        <f t="shared" si="28"/>
        <v>0</v>
      </c>
      <c r="AL185" s="429" t="s">
        <v>2320</v>
      </c>
      <c r="AM185" s="429"/>
      <c r="AN185" s="439"/>
      <c r="AO185" s="439"/>
      <c r="AP185" s="439"/>
      <c r="AQ185" s="365">
        <f>0.4%+0.02%+0.08%</f>
        <v>0.005</v>
      </c>
      <c r="AR185" s="419">
        <f t="shared" si="24"/>
        <v>620000</v>
      </c>
      <c r="AS185" s="359"/>
      <c r="AT185" s="359"/>
      <c r="AU185" s="359"/>
      <c r="AV185" s="359"/>
      <c r="AW185" s="359"/>
      <c r="AX185" s="359"/>
      <c r="AY185" s="218"/>
      <c r="AZ185" s="128">
        <v>620000</v>
      </c>
      <c r="BA185" s="359"/>
      <c r="BB185" s="359"/>
      <c r="BC185" s="359"/>
      <c r="BD185" s="359"/>
      <c r="BE185" s="359"/>
      <c r="BZ185" s="134" t="s">
        <v>376</v>
      </c>
      <c r="CA185" s="134" t="s">
        <v>387</v>
      </c>
      <c r="CB185" s="134" t="s">
        <v>377</v>
      </c>
      <c r="CE185" s="149"/>
    </row>
    <row r="186" s="134" customFormat="1" customHeight="1" spans="1:88">
      <c r="A186" s="134">
        <v>119</v>
      </c>
      <c r="C186" s="138">
        <v>45059</v>
      </c>
      <c r="D186" s="496" t="s">
        <v>2321</v>
      </c>
      <c r="F186" s="429" t="s">
        <v>2322</v>
      </c>
      <c r="G186" s="143" t="s">
        <v>2323</v>
      </c>
      <c r="H186" s="143"/>
      <c r="I186" s="423" t="s">
        <v>2324</v>
      </c>
      <c r="J186" s="134">
        <v>107.98</v>
      </c>
      <c r="K186" s="134">
        <v>107.98</v>
      </c>
      <c r="L186" s="134">
        <v>5463.97</v>
      </c>
      <c r="M186" s="436">
        <v>590000</v>
      </c>
      <c r="N186" s="437"/>
      <c r="O186" s="445">
        <v>541284.4</v>
      </c>
      <c r="P186" s="446" t="s">
        <v>2325</v>
      </c>
      <c r="Q186" s="448">
        <v>45608</v>
      </c>
      <c r="R186" s="359"/>
      <c r="S186" s="416"/>
      <c r="T186" s="416"/>
      <c r="U186" s="416" t="s">
        <v>2326</v>
      </c>
      <c r="V186" s="359">
        <v>20000</v>
      </c>
      <c r="W186" s="416" t="s">
        <v>953</v>
      </c>
      <c r="X186" s="359">
        <v>180000</v>
      </c>
      <c r="Y186" s="438" t="s">
        <v>2327</v>
      </c>
      <c r="Z186" s="359">
        <v>100000</v>
      </c>
      <c r="AA186" s="134" t="s">
        <v>1507</v>
      </c>
      <c r="AB186" s="359">
        <v>290000</v>
      </c>
      <c r="AC186" s="416" t="s">
        <v>2328</v>
      </c>
      <c r="AH186" s="359">
        <f t="shared" si="27"/>
        <v>590000</v>
      </c>
      <c r="AK186" s="364">
        <f t="shared" si="28"/>
        <v>0</v>
      </c>
      <c r="AL186" s="429" t="s">
        <v>2329</v>
      </c>
      <c r="AM186" s="429"/>
      <c r="AN186" s="439"/>
      <c r="AO186" s="439"/>
      <c r="AP186" s="439"/>
      <c r="AQ186" s="365">
        <f>0.6%+0.06%+0.14%</f>
        <v>0.008</v>
      </c>
      <c r="AR186" s="419">
        <f t="shared" si="24"/>
        <v>590000</v>
      </c>
      <c r="AS186" s="359">
        <f>100+100</f>
        <v>200</v>
      </c>
      <c r="AT186" s="359"/>
      <c r="AU186" s="359"/>
      <c r="AV186" s="359"/>
      <c r="AW186" s="359"/>
      <c r="AX186" s="359"/>
      <c r="AY186" s="218">
        <v>300000</v>
      </c>
      <c r="BA186" s="359">
        <v>290000</v>
      </c>
      <c r="BB186" s="359"/>
      <c r="BC186" s="359"/>
      <c r="BD186" s="359"/>
      <c r="BE186" s="359"/>
      <c r="BZ186" s="134" t="s">
        <v>376</v>
      </c>
      <c r="CA186" s="134" t="s">
        <v>387</v>
      </c>
      <c r="CB186" s="134" t="s">
        <v>377</v>
      </c>
      <c r="CE186" s="149"/>
    </row>
    <row r="187" s="134" customFormat="1" customHeight="1" spans="1:88">
      <c r="A187" s="134">
        <v>120</v>
      </c>
      <c r="C187" s="138">
        <v>45072</v>
      </c>
      <c r="D187" s="496" t="s">
        <v>2330</v>
      </c>
      <c r="F187" s="429" t="s">
        <v>2331</v>
      </c>
      <c r="G187" s="143" t="s">
        <v>2332</v>
      </c>
      <c r="H187" s="1010" t="s">
        <v>2333</v>
      </c>
      <c r="I187" s="414" t="s">
        <v>2334</v>
      </c>
      <c r="J187" s="134">
        <v>107.62</v>
      </c>
      <c r="K187" s="134">
        <v>107.62</v>
      </c>
      <c r="L187" s="134">
        <v>5519.63</v>
      </c>
      <c r="M187" s="436">
        <v>594023</v>
      </c>
      <c r="N187" s="437"/>
      <c r="O187" s="445">
        <v>544975.23</v>
      </c>
      <c r="P187" s="446" t="s">
        <v>2335</v>
      </c>
      <c r="Q187" s="448">
        <v>45608</v>
      </c>
      <c r="R187" s="359"/>
      <c r="S187" s="362"/>
      <c r="T187" s="362"/>
      <c r="U187" s="362" t="s">
        <v>486</v>
      </c>
      <c r="V187" s="359">
        <v>20000</v>
      </c>
      <c r="W187" s="138" t="s">
        <v>1791</v>
      </c>
      <c r="X187" s="359">
        <f>568000+6023</f>
        <v>574023</v>
      </c>
      <c r="Y187" s="438" t="s">
        <v>2336</v>
      </c>
      <c r="Z187" s="359"/>
      <c r="AB187" s="359"/>
      <c r="AH187" s="359">
        <f t="shared" si="27"/>
        <v>594023</v>
      </c>
      <c r="AK187" s="364">
        <f t="shared" si="28"/>
        <v>0</v>
      </c>
      <c r="AL187" s="429" t="s">
        <v>2337</v>
      </c>
      <c r="AM187" s="429"/>
      <c r="AN187" s="439"/>
      <c r="AO187" s="439"/>
      <c r="AP187" s="439"/>
      <c r="AQ187" s="365">
        <f>0.6%+0.04%+0.1%</f>
        <v>0.0074</v>
      </c>
      <c r="AR187" s="419">
        <f t="shared" si="24"/>
        <v>594023</v>
      </c>
      <c r="AS187" s="359"/>
      <c r="AT187" s="359">
        <v>100</v>
      </c>
      <c r="AU187" s="359"/>
      <c r="AV187" s="359"/>
      <c r="AW187" s="359"/>
      <c r="AX187" s="359"/>
      <c r="AY187" s="218">
        <v>594023</v>
      </c>
      <c r="BA187" s="359"/>
      <c r="BB187" s="359"/>
      <c r="BC187" s="359"/>
      <c r="BD187" s="359"/>
      <c r="BE187" s="359"/>
      <c r="BZ187" s="134" t="s">
        <v>376</v>
      </c>
      <c r="CA187" s="134" t="s">
        <v>387</v>
      </c>
      <c r="CB187" s="134" t="s">
        <v>377</v>
      </c>
      <c r="CE187" s="149"/>
    </row>
    <row r="188" s="134" customFormat="1" customHeight="1" spans="1:88">
      <c r="A188" s="134">
        <v>121</v>
      </c>
      <c r="C188" s="138">
        <v>45137</v>
      </c>
      <c r="D188" s="496" t="s">
        <v>2338</v>
      </c>
      <c r="F188" s="429" t="s">
        <v>2339</v>
      </c>
      <c r="G188" s="134" t="s">
        <v>2246</v>
      </c>
      <c r="H188" s="1006" t="s">
        <v>2340</v>
      </c>
      <c r="I188" s="423" t="s">
        <v>2341</v>
      </c>
      <c r="J188" s="134">
        <v>107.98</v>
      </c>
      <c r="K188" s="134">
        <v>107.98</v>
      </c>
      <c r="L188" s="134">
        <v>5566.28</v>
      </c>
      <c r="M188" s="436">
        <v>601047</v>
      </c>
      <c r="N188" s="437"/>
      <c r="O188" s="445">
        <v>551419.27</v>
      </c>
      <c r="P188" s="446" t="s">
        <v>2342</v>
      </c>
      <c r="Q188" s="448">
        <v>45608</v>
      </c>
      <c r="R188" s="359"/>
      <c r="S188" s="362"/>
      <c r="T188" s="362" t="s">
        <v>2246</v>
      </c>
      <c r="U188" s="362" t="s">
        <v>524</v>
      </c>
      <c r="V188" s="359">
        <v>20000</v>
      </c>
      <c r="W188" s="138" t="s">
        <v>2343</v>
      </c>
      <c r="X188" s="359">
        <v>131047</v>
      </c>
      <c r="Y188" s="438" t="s">
        <v>751</v>
      </c>
      <c r="Z188" s="359">
        <v>30000</v>
      </c>
      <c r="AA188" s="134" t="s">
        <v>2344</v>
      </c>
      <c r="AB188" s="359">
        <v>420000</v>
      </c>
      <c r="AC188" s="362" t="s">
        <v>944</v>
      </c>
      <c r="AH188" s="359">
        <f t="shared" si="27"/>
        <v>601047</v>
      </c>
      <c r="AK188" s="364">
        <f t="shared" si="28"/>
        <v>0</v>
      </c>
      <c r="AL188" s="429" t="s">
        <v>2345</v>
      </c>
      <c r="AM188" s="429"/>
      <c r="AN188" s="439"/>
      <c r="AO188" s="439"/>
      <c r="AP188" s="439"/>
      <c r="AQ188" s="365">
        <f>0.6%+0.04%+0.1%</f>
        <v>0.0074</v>
      </c>
      <c r="AR188" s="419">
        <f t="shared" si="24"/>
        <v>601047</v>
      </c>
      <c r="AS188" s="359"/>
      <c r="AT188" s="359"/>
      <c r="AU188" s="359"/>
      <c r="AV188" s="359"/>
      <c r="AW188" s="359"/>
      <c r="AX188" s="359"/>
      <c r="AY188" s="218"/>
      <c r="BA188" s="359">
        <v>601047</v>
      </c>
      <c r="BB188" s="359"/>
      <c r="BC188" s="359"/>
      <c r="BD188" s="359"/>
      <c r="BE188" s="359"/>
      <c r="BZ188" s="134" t="s">
        <v>376</v>
      </c>
      <c r="CA188" s="134" t="s">
        <v>387</v>
      </c>
      <c r="CB188" s="134" t="s">
        <v>377</v>
      </c>
      <c r="CE188" s="149"/>
    </row>
    <row r="189" s="134" customFormat="1" customHeight="1" spans="1:88">
      <c r="A189" s="134">
        <v>122</v>
      </c>
      <c r="C189" s="138">
        <v>44962</v>
      </c>
      <c r="D189" s="496" t="s">
        <v>2346</v>
      </c>
      <c r="F189" s="429" t="s">
        <v>2347</v>
      </c>
      <c r="G189" s="143" t="s">
        <v>2348</v>
      </c>
      <c r="H189" s="1010" t="s">
        <v>2349</v>
      </c>
      <c r="I189" s="414" t="s">
        <v>2350</v>
      </c>
      <c r="J189" s="134">
        <v>107.62</v>
      </c>
      <c r="K189" s="134">
        <v>107.62</v>
      </c>
      <c r="L189" s="134">
        <v>5269.38</v>
      </c>
      <c r="M189" s="436">
        <v>567091</v>
      </c>
      <c r="N189" s="437"/>
      <c r="O189" s="445">
        <v>520266.97</v>
      </c>
      <c r="P189" s="446" t="s">
        <v>2351</v>
      </c>
      <c r="Q189" s="448">
        <v>45608</v>
      </c>
      <c r="R189" s="359"/>
      <c r="S189" s="362"/>
      <c r="T189" s="426" t="s">
        <v>2352</v>
      </c>
      <c r="U189" s="416" t="s">
        <v>2353</v>
      </c>
      <c r="V189" s="359">
        <v>177091</v>
      </c>
      <c r="W189" s="438" t="s">
        <v>1383</v>
      </c>
      <c r="X189" s="359">
        <v>390000</v>
      </c>
      <c r="Y189" s="438" t="s">
        <v>2354</v>
      </c>
      <c r="Z189" s="359"/>
      <c r="AB189" s="359"/>
      <c r="AH189" s="359">
        <f t="shared" si="27"/>
        <v>567091</v>
      </c>
      <c r="AK189" s="364">
        <f t="shared" si="28"/>
        <v>0</v>
      </c>
      <c r="AL189" s="429" t="s">
        <v>2355</v>
      </c>
      <c r="AM189" s="429"/>
      <c r="AN189" s="439"/>
      <c r="AO189" s="439"/>
      <c r="AP189" s="439"/>
      <c r="AQ189" s="365">
        <f>0.6%+0.1%</f>
        <v>0.007</v>
      </c>
      <c r="AR189" s="419">
        <f t="shared" si="24"/>
        <v>567091</v>
      </c>
      <c r="AS189" s="359">
        <v>100</v>
      </c>
      <c r="AT189" s="359"/>
      <c r="AU189" s="359"/>
      <c r="AV189" s="359">
        <v>177091</v>
      </c>
      <c r="AW189" s="359"/>
      <c r="AX189" s="359"/>
      <c r="AY189" s="218">
        <v>390000</v>
      </c>
      <c r="BA189" s="359"/>
      <c r="BB189" s="359"/>
      <c r="BC189" s="359"/>
      <c r="BD189" s="359"/>
      <c r="BE189" s="359"/>
      <c r="BZ189" s="134" t="s">
        <v>376</v>
      </c>
      <c r="CA189" s="134" t="s">
        <v>387</v>
      </c>
      <c r="CB189" s="134" t="s">
        <v>377</v>
      </c>
      <c r="CE189" s="149"/>
    </row>
    <row r="190" s="134" customFormat="1" customHeight="1" spans="1:88">
      <c r="A190" s="134">
        <v>123</v>
      </c>
      <c r="C190" s="138">
        <v>45042</v>
      </c>
      <c r="D190" s="496" t="s">
        <v>2356</v>
      </c>
      <c r="F190" s="429" t="s">
        <v>2357</v>
      </c>
      <c r="G190" s="143" t="s">
        <v>2250</v>
      </c>
      <c r="H190" s="1010" t="s">
        <v>2358</v>
      </c>
      <c r="I190" s="423" t="s">
        <v>2359</v>
      </c>
      <c r="J190" s="134">
        <v>107.98</v>
      </c>
      <c r="K190" s="134">
        <v>107.98</v>
      </c>
      <c r="L190" s="134">
        <v>5653.65</v>
      </c>
      <c r="M190" s="436">
        <v>610481</v>
      </c>
      <c r="N190" s="437"/>
      <c r="O190" s="445">
        <v>560074.31</v>
      </c>
      <c r="P190" s="446" t="s">
        <v>2360</v>
      </c>
      <c r="Q190" s="448">
        <v>45608</v>
      </c>
      <c r="R190" s="359"/>
      <c r="S190" s="362"/>
      <c r="T190" s="362"/>
      <c r="U190" s="362" t="s">
        <v>486</v>
      </c>
      <c r="V190" s="359">
        <v>20000</v>
      </c>
      <c r="W190" s="362" t="s">
        <v>1527</v>
      </c>
      <c r="X190" s="359">
        <v>170481</v>
      </c>
      <c r="Y190" s="438" t="s">
        <v>2361</v>
      </c>
      <c r="Z190" s="359">
        <v>420000</v>
      </c>
      <c r="AA190" s="134" t="s">
        <v>1467</v>
      </c>
      <c r="AB190" s="359"/>
      <c r="AH190" s="359">
        <f t="shared" si="27"/>
        <v>610481</v>
      </c>
      <c r="AK190" s="364">
        <f t="shared" si="28"/>
        <v>0</v>
      </c>
      <c r="AL190" s="429" t="s">
        <v>2362</v>
      </c>
      <c r="AM190" s="429"/>
      <c r="AN190" s="439"/>
      <c r="AO190" s="439"/>
      <c r="AP190" s="439"/>
      <c r="AQ190" s="365">
        <f>0.6%+0.04%+0.1%</f>
        <v>0.0074</v>
      </c>
      <c r="AR190" s="419">
        <f t="shared" si="24"/>
        <v>610481</v>
      </c>
      <c r="AS190" s="359">
        <f>100</f>
        <v>100</v>
      </c>
      <c r="AT190" s="359"/>
      <c r="AU190" s="359"/>
      <c r="AV190" s="359"/>
      <c r="AW190" s="359"/>
      <c r="AX190" s="359">
        <v>190481</v>
      </c>
      <c r="AY190" s="218">
        <v>420000</v>
      </c>
      <c r="BA190" s="359"/>
      <c r="BB190" s="359"/>
      <c r="BC190" s="359"/>
      <c r="BD190" s="359"/>
      <c r="BE190" s="359"/>
      <c r="BZ190" s="134" t="s">
        <v>376</v>
      </c>
      <c r="CA190" s="134" t="s">
        <v>387</v>
      </c>
      <c r="CB190" s="134" t="s">
        <v>377</v>
      </c>
      <c r="CE190" s="149"/>
    </row>
    <row r="191" s="134" customFormat="1" customHeight="1" spans="1:88">
      <c r="A191" s="134">
        <v>124</v>
      </c>
      <c r="C191" s="138">
        <v>45096</v>
      </c>
      <c r="D191" s="496" t="s">
        <v>2363</v>
      </c>
      <c r="F191" s="429" t="s">
        <v>2364</v>
      </c>
      <c r="G191" s="440" t="s">
        <v>2220</v>
      </c>
      <c r="H191" s="1009" t="s">
        <v>2365</v>
      </c>
      <c r="I191" s="414" t="s">
        <v>2366</v>
      </c>
      <c r="J191" s="134">
        <v>107.62</v>
      </c>
      <c r="K191" s="134">
        <v>107.62</v>
      </c>
      <c r="L191" s="134">
        <v>5936.5</v>
      </c>
      <c r="M191" s="436">
        <v>638888</v>
      </c>
      <c r="N191" s="437"/>
      <c r="O191" s="445">
        <v>586135.78</v>
      </c>
      <c r="P191" s="446" t="s">
        <v>2367</v>
      </c>
      <c r="Q191" s="448">
        <v>45609</v>
      </c>
      <c r="R191" s="359"/>
      <c r="S191" s="362"/>
      <c r="T191" s="362"/>
      <c r="U191" s="362" t="s">
        <v>486</v>
      </c>
      <c r="V191" s="359">
        <v>20000</v>
      </c>
      <c r="W191" s="438" t="s">
        <v>1557</v>
      </c>
      <c r="X191" s="359">
        <v>3888</v>
      </c>
      <c r="Y191" s="134" t="s">
        <v>1094</v>
      </c>
      <c r="Z191" s="359">
        <v>115000</v>
      </c>
      <c r="AA191" s="362" t="s">
        <v>1443</v>
      </c>
      <c r="AB191" s="359">
        <v>500000</v>
      </c>
      <c r="AC191" s="362" t="s">
        <v>1522</v>
      </c>
      <c r="AD191" s="359"/>
      <c r="AE191" s="362"/>
      <c r="AH191" s="359">
        <f t="shared" si="27"/>
        <v>638888</v>
      </c>
      <c r="AK191" s="364">
        <f t="shared" si="28"/>
        <v>0</v>
      </c>
      <c r="AL191" s="429" t="s">
        <v>2368</v>
      </c>
      <c r="AM191" s="429"/>
      <c r="AN191" s="439"/>
      <c r="AO191" s="439"/>
      <c r="AP191" s="439"/>
      <c r="AQ191" s="365">
        <f>0.4%+0.02%+0.08%</f>
        <v>0.005</v>
      </c>
      <c r="AR191" s="419">
        <f t="shared" si="24"/>
        <v>638888</v>
      </c>
      <c r="AS191" s="359"/>
      <c r="AT191" s="359">
        <v>100</v>
      </c>
      <c r="AU191" s="359"/>
      <c r="AV191" s="359"/>
      <c r="AW191" s="359"/>
      <c r="AX191" s="359"/>
      <c r="AY191" s="218"/>
      <c r="AZ191" s="128"/>
      <c r="BA191" s="359">
        <v>138888</v>
      </c>
      <c r="BB191" s="359"/>
      <c r="BC191" s="359">
        <v>500000</v>
      </c>
      <c r="BD191" s="359"/>
      <c r="BE191" s="359"/>
      <c r="BZ191" s="134" t="s">
        <v>376</v>
      </c>
      <c r="CA191" s="134" t="s">
        <v>387</v>
      </c>
      <c r="CB191" s="134" t="s">
        <v>377</v>
      </c>
      <c r="CE191" s="149"/>
    </row>
    <row r="192" s="134" customFormat="1" customHeight="1" spans="1:88">
      <c r="A192" s="134">
        <v>125</v>
      </c>
      <c r="C192" s="138">
        <v>45075</v>
      </c>
      <c r="D192" s="496" t="s">
        <v>2369</v>
      </c>
      <c r="F192" s="429" t="s">
        <v>2370</v>
      </c>
      <c r="G192" s="134" t="s">
        <v>2371</v>
      </c>
      <c r="H192" s="1006" t="s">
        <v>2372</v>
      </c>
      <c r="I192" s="423" t="s">
        <v>2373</v>
      </c>
      <c r="J192" s="134">
        <v>107.98</v>
      </c>
      <c r="K192" s="134">
        <v>107.98</v>
      </c>
      <c r="L192" s="134">
        <v>5640</v>
      </c>
      <c r="M192" s="436">
        <v>609007</v>
      </c>
      <c r="N192" s="437"/>
      <c r="O192" s="445">
        <v>558722.02</v>
      </c>
      <c r="P192" s="446" t="s">
        <v>2374</v>
      </c>
      <c r="Q192" s="448">
        <v>45609</v>
      </c>
      <c r="R192" s="359"/>
      <c r="S192" s="362"/>
      <c r="T192" s="362"/>
      <c r="U192" s="362" t="s">
        <v>383</v>
      </c>
      <c r="V192" s="359">
        <v>20000</v>
      </c>
      <c r="W192" s="362" t="s">
        <v>2375</v>
      </c>
      <c r="X192" s="359"/>
      <c r="Y192" s="438"/>
      <c r="Z192" s="359">
        <v>102007</v>
      </c>
      <c r="AA192" s="134" t="s">
        <v>1591</v>
      </c>
      <c r="AB192" s="359">
        <v>487000</v>
      </c>
      <c r="AC192" s="362" t="s">
        <v>2376</v>
      </c>
      <c r="AH192" s="359">
        <f t="shared" si="27"/>
        <v>609007</v>
      </c>
      <c r="AK192" s="364">
        <f t="shared" si="28"/>
        <v>0</v>
      </c>
      <c r="AL192" s="429" t="s">
        <v>2377</v>
      </c>
      <c r="AM192" s="429"/>
      <c r="AN192" s="439"/>
      <c r="AO192" s="439"/>
      <c r="AP192" s="439"/>
      <c r="AQ192" s="365">
        <f>0.6%+0.14%</f>
        <v>0.0074</v>
      </c>
      <c r="AR192" s="419">
        <f t="shared" si="24"/>
        <v>609007</v>
      </c>
      <c r="AS192" s="359"/>
      <c r="AT192" s="359"/>
      <c r="AU192" s="359"/>
      <c r="AV192" s="359"/>
      <c r="AW192" s="359"/>
      <c r="AX192" s="359"/>
      <c r="AY192" s="218">
        <v>122007</v>
      </c>
      <c r="BA192" s="359"/>
      <c r="BB192" s="359">
        <v>487000</v>
      </c>
      <c r="BC192" s="359"/>
      <c r="BD192" s="359"/>
      <c r="BE192" s="359"/>
      <c r="BZ192" s="134" t="s">
        <v>376</v>
      </c>
      <c r="CA192" s="134" t="s">
        <v>387</v>
      </c>
      <c r="CB192" s="134" t="s">
        <v>377</v>
      </c>
      <c r="CE192" s="149"/>
    </row>
    <row r="193" s="134" customFormat="1" customHeight="1" spans="1:89">
      <c r="A193" s="134">
        <v>126</v>
      </c>
      <c r="C193" s="138">
        <v>45069</v>
      </c>
      <c r="D193" s="496" t="s">
        <v>2378</v>
      </c>
      <c r="F193" s="429" t="s">
        <v>2379</v>
      </c>
      <c r="G193" s="134" t="s">
        <v>2380</v>
      </c>
      <c r="H193" s="1006" t="s">
        <v>2381</v>
      </c>
      <c r="I193" s="414" t="s">
        <v>2382</v>
      </c>
      <c r="J193" s="134">
        <v>107.62</v>
      </c>
      <c r="K193" s="134">
        <v>107.62</v>
      </c>
      <c r="L193" s="134">
        <v>5850</v>
      </c>
      <c r="M193" s="436">
        <f>K193*L193</f>
        <v>629577</v>
      </c>
      <c r="N193" s="437">
        <v>5850</v>
      </c>
      <c r="O193" s="445">
        <v>577593.58</v>
      </c>
      <c r="P193" s="446" t="s">
        <v>2383</v>
      </c>
      <c r="Q193" s="448">
        <v>45609</v>
      </c>
      <c r="R193" s="359"/>
      <c r="S193" s="362"/>
      <c r="T193" s="362"/>
      <c r="U193" s="362" t="s">
        <v>383</v>
      </c>
      <c r="V193" s="359">
        <v>20000</v>
      </c>
      <c r="W193" s="362" t="s">
        <v>2327</v>
      </c>
      <c r="X193" s="359">
        <v>109577</v>
      </c>
      <c r="Y193" s="438" t="s">
        <v>2384</v>
      </c>
      <c r="Z193" s="359">
        <v>500000</v>
      </c>
      <c r="AA193" s="134" t="s">
        <v>1434</v>
      </c>
      <c r="AB193" s="359"/>
      <c r="AH193" s="359">
        <f t="shared" ref="AH193:AH224" si="29">V193+X193+Z193+AB193+AD193+AF193</f>
        <v>629577</v>
      </c>
      <c r="AK193" s="364">
        <f t="shared" si="28"/>
        <v>0</v>
      </c>
      <c r="AL193" s="429" t="s">
        <v>2385</v>
      </c>
      <c r="AM193" s="429"/>
      <c r="AN193" s="439"/>
      <c r="AO193" s="439"/>
      <c r="AP193" s="439"/>
      <c r="AQ193" s="365">
        <f>0.6%+0.14%</f>
        <v>0.0074</v>
      </c>
      <c r="AR193" s="419">
        <f t="shared" si="24"/>
        <v>629577</v>
      </c>
      <c r="AS193" s="359"/>
      <c r="AT193" s="359"/>
      <c r="AU193" s="359"/>
      <c r="AV193" s="359"/>
      <c r="AW193" s="359"/>
      <c r="AX193" s="359"/>
      <c r="AY193" s="218">
        <v>129577</v>
      </c>
      <c r="AZ193" s="128">
        <v>500000</v>
      </c>
      <c r="BA193" s="359"/>
      <c r="BB193" s="359"/>
      <c r="BC193" s="359"/>
      <c r="BD193" s="359"/>
      <c r="BE193" s="359"/>
      <c r="BZ193" s="134" t="s">
        <v>376</v>
      </c>
      <c r="CA193" s="134" t="s">
        <v>387</v>
      </c>
      <c r="CB193" s="134" t="s">
        <v>377</v>
      </c>
      <c r="CE193" s="149"/>
    </row>
    <row r="194" s="134" customFormat="1" customHeight="1" spans="1:89">
      <c r="A194" s="134">
        <v>127</v>
      </c>
      <c r="C194" s="138">
        <v>45114</v>
      </c>
      <c r="D194" s="496" t="s">
        <v>2386</v>
      </c>
      <c r="F194" s="429" t="s">
        <v>2387</v>
      </c>
      <c r="G194" s="143" t="s">
        <v>2388</v>
      </c>
      <c r="H194" s="1006" t="s">
        <v>2389</v>
      </c>
      <c r="I194" s="423" t="s">
        <v>2390</v>
      </c>
      <c r="J194" s="134">
        <v>107.98</v>
      </c>
      <c r="K194" s="134">
        <v>107.98</v>
      </c>
      <c r="L194" s="134">
        <v>5985.13</v>
      </c>
      <c r="M194" s="436">
        <v>646275</v>
      </c>
      <c r="N194" s="437">
        <v>5935.13</v>
      </c>
      <c r="O194" s="445">
        <v>592912.84</v>
      </c>
      <c r="P194" s="446" t="s">
        <v>2391</v>
      </c>
      <c r="Q194" s="448">
        <v>45609</v>
      </c>
      <c r="R194" s="359"/>
      <c r="S194" s="362"/>
      <c r="T194" s="362"/>
      <c r="U194" s="362" t="s">
        <v>496</v>
      </c>
      <c r="V194" s="359">
        <f>20000+101275+15000</f>
        <v>136275</v>
      </c>
      <c r="W194" s="438" t="s">
        <v>2392</v>
      </c>
      <c r="X194" s="359">
        <v>510000</v>
      </c>
      <c r="Y194" s="362" t="s">
        <v>562</v>
      </c>
      <c r="Z194" s="359"/>
      <c r="AA194" s="362"/>
      <c r="AB194" s="359"/>
      <c r="AH194" s="359">
        <f t="shared" si="29"/>
        <v>646275</v>
      </c>
      <c r="AK194" s="364">
        <f t="shared" si="28"/>
        <v>0</v>
      </c>
      <c r="AL194" s="429" t="s">
        <v>2393</v>
      </c>
      <c r="AM194" s="429"/>
      <c r="AN194" s="439"/>
      <c r="AO194" s="439"/>
      <c r="AP194" s="439"/>
      <c r="AQ194" s="365">
        <f>0.6%+0.05%+0.14%</f>
        <v>0.0079</v>
      </c>
      <c r="AR194" s="419">
        <f t="shared" si="24"/>
        <v>646275</v>
      </c>
      <c r="AS194" s="359"/>
      <c r="AT194" s="359">
        <v>100</v>
      </c>
      <c r="AU194" s="359"/>
      <c r="AV194" s="359"/>
      <c r="AW194" s="359"/>
      <c r="AX194" s="359"/>
      <c r="AY194" s="218"/>
      <c r="AZ194" s="128"/>
      <c r="BA194" s="359">
        <v>136275</v>
      </c>
      <c r="BB194" s="359">
        <v>510000</v>
      </c>
      <c r="BC194" s="359"/>
      <c r="BD194" s="359"/>
      <c r="BE194" s="359"/>
      <c r="BZ194" s="134" t="s">
        <v>376</v>
      </c>
      <c r="CA194" s="134" t="s">
        <v>387</v>
      </c>
      <c r="CB194" s="134" t="s">
        <v>377</v>
      </c>
      <c r="CE194" s="149"/>
    </row>
    <row r="195" s="134" customFormat="1" customHeight="1" spans="1:89">
      <c r="A195" s="134">
        <v>128</v>
      </c>
      <c r="C195" s="138">
        <v>45091</v>
      </c>
      <c r="D195" s="496" t="s">
        <v>2394</v>
      </c>
      <c r="F195" s="429" t="s">
        <v>2395</v>
      </c>
      <c r="G195" s="134" t="s">
        <v>2396</v>
      </c>
      <c r="H195" s="1006" t="s">
        <v>2397</v>
      </c>
      <c r="I195" s="414" t="s">
        <v>2398</v>
      </c>
      <c r="J195" s="134">
        <v>107.62</v>
      </c>
      <c r="K195" s="134">
        <v>107.62</v>
      </c>
      <c r="L195" s="134">
        <v>5671.55</v>
      </c>
      <c r="M195" s="436">
        <v>610372</v>
      </c>
      <c r="N195" s="437"/>
      <c r="O195" s="445">
        <v>559974.31</v>
      </c>
      <c r="P195" s="446" t="s">
        <v>2399</v>
      </c>
      <c r="Q195" s="448">
        <v>45609</v>
      </c>
      <c r="R195" s="359"/>
      <c r="S195" s="362"/>
      <c r="T195" s="362"/>
      <c r="U195" s="362" t="s">
        <v>2400</v>
      </c>
      <c r="V195" s="359">
        <v>10000</v>
      </c>
      <c r="W195" s="362" t="s">
        <v>1528</v>
      </c>
      <c r="X195" s="359">
        <v>77372</v>
      </c>
      <c r="Y195" s="438" t="s">
        <v>2401</v>
      </c>
      <c r="Z195" s="359">
        <v>35000</v>
      </c>
      <c r="AA195" s="362" t="s">
        <v>1056</v>
      </c>
      <c r="AB195" s="359">
        <v>488000</v>
      </c>
      <c r="AC195" s="362" t="s">
        <v>1522</v>
      </c>
      <c r="AH195" s="359">
        <f t="shared" si="29"/>
        <v>610372</v>
      </c>
      <c r="AK195" s="364">
        <f t="shared" si="28"/>
        <v>0</v>
      </c>
      <c r="AL195" s="429" t="s">
        <v>2402</v>
      </c>
      <c r="AM195" s="429"/>
      <c r="AN195" s="439"/>
      <c r="AO195" s="439"/>
      <c r="AP195" s="439"/>
      <c r="AQ195" s="365">
        <f>0.4%+0.14%</f>
        <v>0.0054</v>
      </c>
      <c r="AR195" s="419">
        <f t="shared" si="24"/>
        <v>610372</v>
      </c>
      <c r="AS195" s="359"/>
      <c r="AT195" s="359"/>
      <c r="AU195" s="359"/>
      <c r="AV195" s="359"/>
      <c r="AW195" s="359"/>
      <c r="AX195" s="359"/>
      <c r="AY195" s="218"/>
      <c r="AZ195" s="128"/>
      <c r="BA195" s="359">
        <v>122372</v>
      </c>
      <c r="BB195" s="359"/>
      <c r="BC195" s="359">
        <v>488000</v>
      </c>
      <c r="BD195" s="359"/>
      <c r="BE195" s="359"/>
      <c r="BZ195" s="134" t="s">
        <v>376</v>
      </c>
      <c r="CA195" s="134" t="s">
        <v>387</v>
      </c>
      <c r="CB195" s="134" t="s">
        <v>377</v>
      </c>
      <c r="CE195" s="149"/>
    </row>
    <row r="196" s="134" customFormat="1" customHeight="1" spans="1:89">
      <c r="A196" s="134">
        <v>129</v>
      </c>
      <c r="C196" s="138">
        <v>45165</v>
      </c>
      <c r="D196" s="496" t="s">
        <v>2403</v>
      </c>
      <c r="F196" s="1007" t="s">
        <v>2404</v>
      </c>
      <c r="G196" s="134" t="s">
        <v>2405</v>
      </c>
      <c r="I196" s="423" t="s">
        <v>2406</v>
      </c>
      <c r="J196" s="134">
        <v>107.98</v>
      </c>
      <c r="K196" s="134">
        <v>107.98</v>
      </c>
      <c r="L196" s="134">
        <v>6019.63</v>
      </c>
      <c r="M196" s="436">
        <v>650000</v>
      </c>
      <c r="N196" s="437">
        <v>5955.8</v>
      </c>
      <c r="O196" s="445">
        <v>596330.28</v>
      </c>
      <c r="P196" s="446" t="s">
        <v>2407</v>
      </c>
      <c r="Q196" s="448">
        <v>45609</v>
      </c>
      <c r="R196" s="359"/>
      <c r="S196" s="362"/>
      <c r="T196" s="362"/>
      <c r="U196" s="362" t="s">
        <v>677</v>
      </c>
      <c r="V196" s="359">
        <v>130000</v>
      </c>
      <c r="W196" s="362" t="s">
        <v>2408</v>
      </c>
      <c r="X196" s="359">
        <v>520000</v>
      </c>
      <c r="Y196" s="362" t="s">
        <v>2409</v>
      </c>
      <c r="Z196" s="359"/>
      <c r="AB196" s="359"/>
      <c r="AH196" s="359">
        <f t="shared" si="29"/>
        <v>650000</v>
      </c>
      <c r="AK196" s="364">
        <f t="shared" si="28"/>
        <v>0</v>
      </c>
      <c r="AL196" s="429" t="s">
        <v>2410</v>
      </c>
      <c r="AM196" s="429"/>
      <c r="AN196" s="439"/>
      <c r="AO196" s="439"/>
      <c r="AP196" s="439"/>
      <c r="AQ196" s="140">
        <f>0.7%+0.05%+0.12%</f>
        <v>0.0087</v>
      </c>
      <c r="AR196" s="419">
        <f t="shared" si="24"/>
        <v>650000</v>
      </c>
      <c r="AS196" s="359"/>
      <c r="AT196" s="359"/>
      <c r="AU196" s="359"/>
      <c r="AV196" s="359"/>
      <c r="AW196" s="359"/>
      <c r="AX196" s="359"/>
      <c r="AY196" s="218"/>
      <c r="BA196" s="359"/>
      <c r="BB196" s="359">
        <v>130000</v>
      </c>
      <c r="BC196" s="359"/>
      <c r="BD196" s="359"/>
      <c r="BE196" s="359">
        <v>520000</v>
      </c>
      <c r="BZ196" s="134" t="s">
        <v>376</v>
      </c>
      <c r="CA196" s="134" t="s">
        <v>387</v>
      </c>
      <c r="CB196" s="134" t="s">
        <v>377</v>
      </c>
      <c r="CE196" s="149"/>
    </row>
    <row r="197" s="134" customFormat="1" customHeight="1" spans="1:89">
      <c r="A197" s="134">
        <v>130</v>
      </c>
      <c r="C197" s="138">
        <v>45065</v>
      </c>
      <c r="D197" s="496" t="s">
        <v>2411</v>
      </c>
      <c r="F197" s="429" t="s">
        <v>2412</v>
      </c>
      <c r="G197" s="134" t="s">
        <v>2413</v>
      </c>
      <c r="H197" s="1006" t="s">
        <v>2414</v>
      </c>
      <c r="I197" s="414" t="s">
        <v>2415</v>
      </c>
      <c r="J197" s="134">
        <v>107.62</v>
      </c>
      <c r="K197" s="134">
        <v>107.62</v>
      </c>
      <c r="L197" s="134">
        <v>5737</v>
      </c>
      <c r="M197" s="436">
        <v>617416</v>
      </c>
      <c r="N197" s="437">
        <v>5655.65</v>
      </c>
      <c r="O197" s="445">
        <v>566436.7</v>
      </c>
      <c r="P197" s="446" t="s">
        <v>2416</v>
      </c>
      <c r="Q197" s="448">
        <v>45609</v>
      </c>
      <c r="R197" s="359"/>
      <c r="S197" s="362"/>
      <c r="T197" s="362"/>
      <c r="U197" s="362" t="s">
        <v>393</v>
      </c>
      <c r="V197" s="359">
        <v>20000</v>
      </c>
      <c r="W197" s="138" t="s">
        <v>964</v>
      </c>
      <c r="X197" s="359">
        <v>197416</v>
      </c>
      <c r="Y197" s="438" t="s">
        <v>2211</v>
      </c>
      <c r="Z197" s="359">
        <v>400000</v>
      </c>
      <c r="AA197" s="134" t="s">
        <v>1771</v>
      </c>
      <c r="AB197" s="359"/>
      <c r="AH197" s="359">
        <f t="shared" si="29"/>
        <v>617416</v>
      </c>
      <c r="AK197" s="364">
        <f t="shared" si="28"/>
        <v>0</v>
      </c>
      <c r="AL197" s="429" t="s">
        <v>2417</v>
      </c>
      <c r="AM197" s="429"/>
      <c r="AN197" s="439"/>
      <c r="AO197" s="439"/>
      <c r="AP197" s="439"/>
      <c r="AQ197" s="365">
        <f>0.6%+0.05%+0.14%</f>
        <v>0.0079</v>
      </c>
      <c r="AR197" s="419">
        <f t="shared" si="24"/>
        <v>617416</v>
      </c>
      <c r="AS197" s="359"/>
      <c r="AT197" s="359">
        <v>100</v>
      </c>
      <c r="AU197" s="359"/>
      <c r="AV197" s="359"/>
      <c r="AW197" s="359"/>
      <c r="AX197" s="359"/>
      <c r="AY197" s="218">
        <v>217416</v>
      </c>
      <c r="AZ197" s="128">
        <v>400000</v>
      </c>
      <c r="BA197" s="359"/>
      <c r="BB197" s="359"/>
      <c r="BC197" s="359"/>
      <c r="BD197" s="359"/>
      <c r="BE197" s="359"/>
      <c r="BZ197" s="134" t="s">
        <v>376</v>
      </c>
      <c r="CA197" s="134" t="s">
        <v>387</v>
      </c>
      <c r="CB197" s="134" t="s">
        <v>377</v>
      </c>
      <c r="CE197" s="149"/>
    </row>
    <row r="198" s="134" customFormat="1" customHeight="1" spans="1:89">
      <c r="A198" s="134">
        <v>131</v>
      </c>
      <c r="C198" s="138">
        <v>45071</v>
      </c>
      <c r="D198" s="496" t="s">
        <v>2418</v>
      </c>
      <c r="F198" s="429" t="s">
        <v>2419</v>
      </c>
      <c r="G198" s="134" t="s">
        <v>2420</v>
      </c>
      <c r="H198" s="1006" t="s">
        <v>2421</v>
      </c>
      <c r="I198" s="414" t="s">
        <v>2422</v>
      </c>
      <c r="J198" s="134">
        <v>107.98</v>
      </c>
      <c r="K198" s="134">
        <v>107.98</v>
      </c>
      <c r="L198" s="134">
        <v>7000</v>
      </c>
      <c r="M198" s="436">
        <v>755860</v>
      </c>
      <c r="N198" s="437">
        <v>6976</v>
      </c>
      <c r="O198" s="445">
        <v>693449.54</v>
      </c>
      <c r="P198" s="446" t="s">
        <v>2423</v>
      </c>
      <c r="Q198" s="448">
        <v>45609</v>
      </c>
      <c r="R198" s="359"/>
      <c r="S198" s="362"/>
      <c r="T198" s="362"/>
      <c r="U198" s="362" t="s">
        <v>524</v>
      </c>
      <c r="V198" s="359">
        <v>20000</v>
      </c>
      <c r="W198" s="362" t="s">
        <v>1064</v>
      </c>
      <c r="X198" s="359">
        <v>259860</v>
      </c>
      <c r="Y198" s="438" t="s">
        <v>2016</v>
      </c>
      <c r="Z198" s="359">
        <v>177000</v>
      </c>
      <c r="AA198" s="134" t="s">
        <v>1354</v>
      </c>
      <c r="AB198" s="359">
        <v>299000</v>
      </c>
      <c r="AC198" s="362" t="s">
        <v>2328</v>
      </c>
      <c r="AH198" s="359">
        <f t="shared" si="29"/>
        <v>755860</v>
      </c>
      <c r="AK198" s="364">
        <f t="shared" si="28"/>
        <v>0</v>
      </c>
      <c r="AL198" s="429" t="s">
        <v>2424</v>
      </c>
      <c r="AM198" s="429"/>
      <c r="AN198" s="439"/>
      <c r="AO198" s="439"/>
      <c r="AP198" s="439"/>
      <c r="AQ198" s="365">
        <f>0.6%+0.06%+0.14%</f>
        <v>0.008</v>
      </c>
      <c r="AR198" s="419">
        <f t="shared" ref="AR198:AR261" si="30">SUM(AU198:BU198)</f>
        <v>755860</v>
      </c>
      <c r="AS198" s="359"/>
      <c r="AT198" s="359">
        <v>100</v>
      </c>
      <c r="AU198" s="359"/>
      <c r="AV198" s="359"/>
      <c r="AW198" s="359"/>
      <c r="AX198" s="359"/>
      <c r="AY198" s="218"/>
      <c r="AZ198" s="128">
        <v>456860</v>
      </c>
      <c r="BA198" s="359">
        <v>299000</v>
      </c>
      <c r="BB198" s="359"/>
      <c r="BC198" s="359"/>
      <c r="BD198" s="359"/>
      <c r="BE198" s="359"/>
      <c r="BZ198" s="134" t="s">
        <v>376</v>
      </c>
      <c r="CA198" s="134" t="s">
        <v>387</v>
      </c>
      <c r="CB198" s="134" t="s">
        <v>377</v>
      </c>
      <c r="CE198" s="149"/>
    </row>
    <row r="199" s="134" customFormat="1" customHeight="1" spans="1:89">
      <c r="A199" s="134">
        <v>132</v>
      </c>
      <c r="C199" s="138">
        <v>45204</v>
      </c>
      <c r="D199" s="496" t="s">
        <v>2425</v>
      </c>
      <c r="F199" s="429" t="s">
        <v>2426</v>
      </c>
      <c r="G199" s="134" t="s">
        <v>2427</v>
      </c>
      <c r="H199" s="1006" t="s">
        <v>2428</v>
      </c>
      <c r="I199" s="414" t="s">
        <v>2429</v>
      </c>
      <c r="J199" s="134">
        <v>107.62</v>
      </c>
      <c r="K199" s="134">
        <v>107.62</v>
      </c>
      <c r="L199" s="134">
        <v>7040</v>
      </c>
      <c r="M199" s="436">
        <v>757645</v>
      </c>
      <c r="N199" s="437">
        <v>6976</v>
      </c>
      <c r="O199" s="445">
        <v>695087.16</v>
      </c>
      <c r="P199" s="446" t="s">
        <v>2430</v>
      </c>
      <c r="Q199" s="448">
        <v>45608</v>
      </c>
      <c r="R199" s="359"/>
      <c r="S199" s="362"/>
      <c r="T199" s="362"/>
      <c r="U199" s="362" t="s">
        <v>662</v>
      </c>
      <c r="V199" s="359">
        <v>20000</v>
      </c>
      <c r="W199" s="362" t="s">
        <v>2392</v>
      </c>
      <c r="X199" s="359">
        <v>180645</v>
      </c>
      <c r="Y199" s="362" t="s">
        <v>1002</v>
      </c>
      <c r="Z199" s="359">
        <v>557000</v>
      </c>
      <c r="AA199" s="362" t="s">
        <v>2431</v>
      </c>
      <c r="AB199" s="359"/>
      <c r="AH199" s="359">
        <f t="shared" si="29"/>
        <v>757645</v>
      </c>
      <c r="AK199" s="364">
        <f t="shared" si="28"/>
        <v>0</v>
      </c>
      <c r="AL199" s="429" t="s">
        <v>2432</v>
      </c>
      <c r="AM199" s="429"/>
      <c r="AN199" s="439"/>
      <c r="AO199" s="439"/>
      <c r="AP199" s="439"/>
      <c r="AQ199" s="365">
        <f>0.7%+0.14%</f>
        <v>0.0084</v>
      </c>
      <c r="AR199" s="419">
        <f t="shared" si="30"/>
        <v>757645</v>
      </c>
      <c r="AS199" s="359"/>
      <c r="AT199" s="359"/>
      <c r="AU199" s="359"/>
      <c r="AV199" s="359"/>
      <c r="AW199" s="359"/>
      <c r="AX199" s="359"/>
      <c r="AY199" s="218"/>
      <c r="BA199" s="359"/>
      <c r="BB199" s="359"/>
      <c r="BC199" s="359"/>
      <c r="BD199" s="359">
        <v>200645</v>
      </c>
      <c r="BE199" s="359">
        <v>557000</v>
      </c>
      <c r="BZ199" s="134" t="s">
        <v>376</v>
      </c>
      <c r="CA199" s="134" t="s">
        <v>387</v>
      </c>
      <c r="CB199" s="134" t="s">
        <v>377</v>
      </c>
      <c r="CE199" s="149"/>
    </row>
    <row r="200" s="134" customFormat="1" customHeight="1" spans="1:89">
      <c r="A200" s="134">
        <v>133</v>
      </c>
      <c r="C200" s="138">
        <v>45081</v>
      </c>
      <c r="D200" s="496" t="s">
        <v>2433</v>
      </c>
      <c r="F200" s="1006" t="s">
        <v>2434</v>
      </c>
      <c r="G200" s="420" t="s">
        <v>2435</v>
      </c>
      <c r="I200" s="423" t="s">
        <v>2436</v>
      </c>
      <c r="J200" s="134">
        <v>107.62</v>
      </c>
      <c r="K200" s="134">
        <v>107.62</v>
      </c>
      <c r="L200" s="134">
        <v>8173.5</v>
      </c>
      <c r="M200" s="436">
        <v>878000</v>
      </c>
      <c r="N200" s="437">
        <v>8140</v>
      </c>
      <c r="O200" s="445">
        <v>805504.59</v>
      </c>
      <c r="P200" s="446" t="s">
        <v>2437</v>
      </c>
      <c r="Q200" s="448">
        <v>45585</v>
      </c>
      <c r="R200" s="359"/>
      <c r="S200" s="362"/>
      <c r="T200" s="362"/>
      <c r="U200" s="362" t="s">
        <v>677</v>
      </c>
      <c r="V200" s="359">
        <v>20000</v>
      </c>
      <c r="W200" s="362" t="s">
        <v>1752</v>
      </c>
      <c r="X200" s="359">
        <v>27000</v>
      </c>
      <c r="Y200" s="138" t="s">
        <v>2438</v>
      </c>
      <c r="Z200" s="359">
        <f>47000-47000</f>
        <v>0</v>
      </c>
      <c r="AA200" s="362"/>
      <c r="AB200" s="359">
        <v>131000</v>
      </c>
      <c r="AC200" s="362" t="s">
        <v>2439</v>
      </c>
      <c r="AD200" s="359">
        <v>700000</v>
      </c>
      <c r="AE200" s="362" t="s">
        <v>650</v>
      </c>
      <c r="AH200" s="359">
        <f t="shared" si="29"/>
        <v>878000</v>
      </c>
      <c r="AK200" s="364">
        <f t="shared" si="28"/>
        <v>0</v>
      </c>
      <c r="AL200" s="429" t="s">
        <v>2440</v>
      </c>
      <c r="AM200" s="429"/>
      <c r="AN200" s="439"/>
      <c r="AO200" s="439"/>
      <c r="AP200" s="439"/>
      <c r="AQ200" s="365">
        <f>0.4%+0.02%+0.08%</f>
        <v>0.005</v>
      </c>
      <c r="AR200" s="419">
        <f t="shared" si="30"/>
        <v>878000</v>
      </c>
      <c r="AS200" s="359">
        <v>100</v>
      </c>
      <c r="AT200" s="359"/>
      <c r="AU200" s="359"/>
      <c r="AV200" s="359"/>
      <c r="AW200" s="359"/>
      <c r="AX200" s="359"/>
      <c r="AY200" s="218"/>
      <c r="BA200" s="359"/>
      <c r="BB200" s="359"/>
      <c r="BC200" s="359"/>
      <c r="BD200" s="359"/>
      <c r="BE200" s="359">
        <v>178000</v>
      </c>
      <c r="BF200" s="134">
        <v>700000</v>
      </c>
      <c r="BZ200" s="134" t="s">
        <v>376</v>
      </c>
      <c r="CA200" s="134" t="s">
        <v>387</v>
      </c>
      <c r="CB200" s="134" t="s">
        <v>377</v>
      </c>
      <c r="CE200" s="149"/>
    </row>
    <row r="201" s="134" customFormat="1" customHeight="1" spans="1:89">
      <c r="A201" s="134">
        <v>134</v>
      </c>
      <c r="B201" s="134"/>
      <c r="C201" s="138">
        <v>45649</v>
      </c>
      <c r="D201" s="496" t="s">
        <v>2441</v>
      </c>
      <c r="E201" s="134" t="s">
        <v>2442</v>
      </c>
      <c r="F201" s="429"/>
      <c r="G201" s="134" t="s">
        <v>2443</v>
      </c>
      <c r="H201" s="134"/>
      <c r="I201" s="414" t="s">
        <v>2444</v>
      </c>
      <c r="J201" s="134">
        <v>107.42</v>
      </c>
      <c r="K201" s="134">
        <v>107.42</v>
      </c>
      <c r="L201" s="134">
        <v>8031</v>
      </c>
      <c r="M201" s="436">
        <v>862690</v>
      </c>
      <c r="N201" s="134">
        <v>8650</v>
      </c>
      <c r="O201" s="445">
        <v>791458.72</v>
      </c>
      <c r="P201" s="446" t="s">
        <v>2445</v>
      </c>
      <c r="Q201" s="361">
        <v>45652</v>
      </c>
      <c r="R201" s="359"/>
      <c r="S201" s="362"/>
      <c r="T201" s="362"/>
      <c r="U201" s="362"/>
      <c r="V201" s="359">
        <v>532690</v>
      </c>
      <c r="W201" s="362" t="s">
        <v>908</v>
      </c>
      <c r="X201" s="359">
        <v>330000</v>
      </c>
      <c r="Y201" s="438" t="s">
        <v>908</v>
      </c>
      <c r="Z201" s="359"/>
      <c r="AB201" s="359"/>
      <c r="AH201" s="359">
        <f t="shared" si="29"/>
        <v>862690</v>
      </c>
      <c r="AK201" s="364">
        <f t="shared" si="28"/>
        <v>0</v>
      </c>
      <c r="AL201" s="429"/>
      <c r="AM201" s="429"/>
      <c r="AN201" s="439"/>
      <c r="AO201" s="439"/>
      <c r="AP201" s="439"/>
      <c r="AQ201" s="365"/>
      <c r="AR201" s="419">
        <f t="shared" si="30"/>
        <v>0</v>
      </c>
      <c r="AS201" s="359">
        <v>100</v>
      </c>
      <c r="AT201" s="359"/>
      <c r="AU201" s="359"/>
      <c r="AV201" s="359"/>
      <c r="AW201" s="359"/>
      <c r="AX201" s="359"/>
      <c r="AY201" s="218"/>
      <c r="BA201" s="359"/>
      <c r="BB201" s="359"/>
      <c r="BC201" s="359"/>
      <c r="BD201" s="359"/>
      <c r="BE201" s="359"/>
      <c r="BZ201" s="134" t="s">
        <v>376</v>
      </c>
      <c r="CA201" s="143" t="s">
        <v>2446</v>
      </c>
      <c r="CB201" s="134" t="s">
        <v>377</v>
      </c>
      <c r="CC201" s="134" t="s">
        <v>377</v>
      </c>
      <c r="CE201" s="149"/>
    </row>
    <row r="202" s="109" customFormat="1" customHeight="1" spans="1:89">
      <c r="A202" s="134">
        <v>135</v>
      </c>
      <c r="B202" s="134"/>
      <c r="C202" s="138">
        <v>46091</v>
      </c>
      <c r="D202" s="496" t="s">
        <v>2447</v>
      </c>
      <c r="E202" s="134" t="s">
        <v>2448</v>
      </c>
      <c r="F202" s="429" t="s">
        <v>2449</v>
      </c>
      <c r="G202" s="134" t="s">
        <v>2450</v>
      </c>
      <c r="H202" s="143"/>
      <c r="I202" s="423" t="s">
        <v>2451</v>
      </c>
      <c r="J202" s="134">
        <v>107.62</v>
      </c>
      <c r="K202" s="134">
        <v>107.62</v>
      </c>
      <c r="L202" s="134">
        <v>4924.74</v>
      </c>
      <c r="M202" s="436">
        <v>530000</v>
      </c>
      <c r="N202" s="134">
        <v>5896.54</v>
      </c>
      <c r="O202" s="445">
        <v>486238.53</v>
      </c>
      <c r="P202" s="446" t="s">
        <v>2452</v>
      </c>
      <c r="Q202" s="499">
        <v>46093</v>
      </c>
      <c r="R202" s="359"/>
      <c r="S202" s="416"/>
      <c r="T202" s="416"/>
      <c r="U202" s="416"/>
      <c r="V202" s="359">
        <v>167000</v>
      </c>
      <c r="W202" s="416">
        <v>46091</v>
      </c>
      <c r="X202" s="359">
        <v>63000</v>
      </c>
      <c r="Y202" s="416">
        <v>46100</v>
      </c>
      <c r="Z202" s="359">
        <v>300000</v>
      </c>
      <c r="AA202" s="416" t="s">
        <v>2453</v>
      </c>
      <c r="AB202" s="359"/>
      <c r="AC202" s="134"/>
      <c r="AD202" s="134"/>
      <c r="AE202" s="134"/>
      <c r="AF202" s="134"/>
      <c r="AG202" s="134"/>
      <c r="AH202" s="359">
        <f t="shared" si="29"/>
        <v>530000</v>
      </c>
      <c r="AI202" s="134"/>
      <c r="AJ202" s="134"/>
      <c r="AK202" s="364">
        <f t="shared" si="28"/>
        <v>0</v>
      </c>
      <c r="AL202" s="429"/>
      <c r="AM202" s="429"/>
      <c r="AN202" s="439"/>
      <c r="AO202" s="439"/>
      <c r="AP202" s="439"/>
      <c r="AQ202" s="365"/>
      <c r="AR202" s="419">
        <f t="shared" si="30"/>
        <v>0</v>
      </c>
      <c r="AS202" s="359"/>
      <c r="AT202" s="359">
        <f>100+100</f>
        <v>200</v>
      </c>
      <c r="AU202" s="359"/>
      <c r="AV202" s="359"/>
      <c r="AW202" s="359"/>
      <c r="AX202" s="359"/>
      <c r="AY202" s="218"/>
      <c r="AZ202" s="134"/>
      <c r="BA202" s="359"/>
      <c r="BB202" s="359"/>
      <c r="BC202" s="359"/>
      <c r="BD202" s="359"/>
      <c r="BE202" s="359"/>
      <c r="BF202" s="134"/>
      <c r="BG202" s="134"/>
      <c r="BH202" s="134"/>
      <c r="BI202" s="134"/>
      <c r="BJ202" s="134"/>
      <c r="BK202" s="134"/>
      <c r="BL202" s="134"/>
      <c r="BM202" s="134"/>
      <c r="BN202" s="134"/>
      <c r="BO202" s="134"/>
      <c r="BP202" s="134"/>
      <c r="BQ202" s="134"/>
      <c r="BR202" s="134"/>
      <c r="BS202" s="134"/>
      <c r="BT202" s="134"/>
      <c r="BU202" s="134"/>
      <c r="BV202" s="134"/>
      <c r="BW202" s="134"/>
      <c r="BX202" s="134"/>
      <c r="BY202" s="134"/>
      <c r="BZ202" s="134" t="s">
        <v>376</v>
      </c>
      <c r="CA202" s="134"/>
      <c r="CB202" s="134" t="s">
        <v>2454</v>
      </c>
      <c r="CC202" s="134"/>
      <c r="CD202" s="134"/>
      <c r="CE202" s="134"/>
      <c r="CF202" s="134"/>
      <c r="CG202" s="134"/>
      <c r="CH202" s="134"/>
      <c r="CI202" s="134"/>
      <c r="CJ202" s="134"/>
      <c r="CK202" s="134"/>
    </row>
    <row r="203" s="109" customFormat="1" customHeight="1" spans="1:89">
      <c r="A203" s="477">
        <v>136</v>
      </c>
      <c r="B203" s="149"/>
      <c r="C203" s="149"/>
      <c r="D203" s="450"/>
      <c r="E203" s="149" t="s">
        <v>2455</v>
      </c>
      <c r="F203" s="451"/>
      <c r="G203" s="500"/>
      <c r="H203" s="401"/>
      <c r="I203" s="501" t="s">
        <v>2456</v>
      </c>
      <c r="J203" s="149">
        <v>107.62</v>
      </c>
      <c r="K203" s="149"/>
      <c r="L203" s="149"/>
      <c r="M203" s="464"/>
      <c r="N203" s="149">
        <v>5889.94</v>
      </c>
      <c r="O203" s="454"/>
      <c r="P203" s="455"/>
      <c r="Q203" s="455"/>
      <c r="R203" s="403"/>
      <c r="S203" s="406"/>
      <c r="T203" s="406"/>
      <c r="U203" s="406"/>
      <c r="V203" s="482"/>
      <c r="W203" s="456"/>
      <c r="X203" s="482"/>
      <c r="Y203" s="502"/>
      <c r="Z203" s="482"/>
      <c r="AB203" s="482"/>
      <c r="AH203" s="359">
        <f t="shared" si="29"/>
        <v>0</v>
      </c>
      <c r="AI203" s="149"/>
      <c r="AJ203" s="149"/>
      <c r="AK203" s="409">
        <f t="shared" si="28"/>
        <v>0</v>
      </c>
      <c r="AL203" s="451"/>
      <c r="AM203" s="451"/>
      <c r="AN203" s="503"/>
      <c r="AO203" s="503"/>
      <c r="AP203" s="503"/>
      <c r="AQ203" s="481"/>
      <c r="AR203" s="411">
        <f t="shared" si="30"/>
        <v>0</v>
      </c>
      <c r="AS203" s="482"/>
      <c r="AT203" s="482">
        <v>100</v>
      </c>
      <c r="AU203" s="482"/>
      <c r="AV203" s="482"/>
      <c r="AW203" s="482"/>
      <c r="AX203" s="482"/>
      <c r="AY203" s="504"/>
      <c r="BA203" s="482"/>
      <c r="BB203" s="482"/>
      <c r="BC203" s="482"/>
      <c r="BD203" s="482"/>
      <c r="BE203" s="482"/>
      <c r="CE203" s="149"/>
    </row>
    <row r="204" s="134" customFormat="1" customHeight="1" spans="1:89">
      <c r="A204" s="134">
        <v>137</v>
      </c>
      <c r="C204" s="138">
        <v>45017</v>
      </c>
      <c r="D204" s="496" t="s">
        <v>2457</v>
      </c>
      <c r="F204" s="429" t="s">
        <v>2458</v>
      </c>
      <c r="G204" s="143" t="s">
        <v>2459</v>
      </c>
      <c r="H204" s="1010" t="s">
        <v>2460</v>
      </c>
      <c r="I204" s="423" t="s">
        <v>2461</v>
      </c>
      <c r="J204" s="134">
        <v>107.62</v>
      </c>
      <c r="K204" s="134">
        <v>107.62</v>
      </c>
      <c r="L204" s="134">
        <v>5342.87</v>
      </c>
      <c r="M204" s="436">
        <v>575000</v>
      </c>
      <c r="N204" s="437"/>
      <c r="O204" s="445">
        <v>527522.94</v>
      </c>
      <c r="P204" s="446" t="s">
        <v>2462</v>
      </c>
      <c r="Q204" s="448">
        <v>45585</v>
      </c>
      <c r="R204" s="359"/>
      <c r="S204" s="362"/>
      <c r="T204" s="362"/>
      <c r="U204" s="362" t="s">
        <v>496</v>
      </c>
      <c r="V204" s="359">
        <v>20000</v>
      </c>
      <c r="W204" s="138" t="s">
        <v>2088</v>
      </c>
      <c r="X204" s="359">
        <v>355000</v>
      </c>
      <c r="Y204" s="438" t="s">
        <v>2463</v>
      </c>
      <c r="Z204" s="359">
        <v>200000</v>
      </c>
      <c r="AA204" s="134" t="s">
        <v>606</v>
      </c>
      <c r="AB204" s="359"/>
      <c r="AH204" s="359">
        <f t="shared" si="29"/>
        <v>575000</v>
      </c>
      <c r="AK204" s="364">
        <f t="shared" si="28"/>
        <v>0</v>
      </c>
      <c r="AL204" s="429" t="s">
        <v>2464</v>
      </c>
      <c r="AM204" s="429"/>
      <c r="AN204" s="439"/>
      <c r="AO204" s="439"/>
      <c r="AP204" s="439"/>
      <c r="AQ204" s="365">
        <f>0.6%+0.04%+0.1%</f>
        <v>0.0074</v>
      </c>
      <c r="AR204" s="419">
        <f t="shared" si="30"/>
        <v>575000</v>
      </c>
      <c r="AS204" s="359"/>
      <c r="AT204" s="359"/>
      <c r="AU204" s="359"/>
      <c r="AV204" s="359"/>
      <c r="AW204" s="359"/>
      <c r="AX204" s="359"/>
      <c r="AY204" s="218">
        <v>575000</v>
      </c>
      <c r="BA204" s="359"/>
      <c r="BB204" s="359"/>
      <c r="BC204" s="359"/>
      <c r="BD204" s="359"/>
      <c r="BE204" s="359"/>
      <c r="BZ204" s="134" t="s">
        <v>376</v>
      </c>
      <c r="CA204" s="134" t="s">
        <v>387</v>
      </c>
      <c r="CB204" s="134" t="s">
        <v>377</v>
      </c>
      <c r="CE204" s="149"/>
    </row>
    <row r="205" s="134" customFormat="1" customHeight="1" spans="1:89">
      <c r="A205" s="134">
        <v>138</v>
      </c>
      <c r="C205" s="138">
        <v>45151</v>
      </c>
      <c r="D205" s="496" t="s">
        <v>2465</v>
      </c>
      <c r="F205" s="429" t="s">
        <v>2466</v>
      </c>
      <c r="G205" s="134" t="s">
        <v>2467</v>
      </c>
      <c r="H205" s="1006" t="s">
        <v>2468</v>
      </c>
      <c r="I205" s="414" t="s">
        <v>2469</v>
      </c>
      <c r="J205" s="134">
        <v>107.62</v>
      </c>
      <c r="K205" s="134">
        <v>107.62</v>
      </c>
      <c r="L205" s="134">
        <v>5600</v>
      </c>
      <c r="M205" s="436">
        <v>602672</v>
      </c>
      <c r="N205" s="437">
        <v>5588.51</v>
      </c>
      <c r="O205" s="445">
        <v>552910.09</v>
      </c>
      <c r="P205" s="446" t="s">
        <v>2470</v>
      </c>
      <c r="Q205" s="448">
        <v>45585</v>
      </c>
      <c r="R205" s="359"/>
      <c r="S205" s="362"/>
      <c r="T205" s="362"/>
      <c r="U205" s="362" t="s">
        <v>662</v>
      </c>
      <c r="V205" s="359">
        <v>20000</v>
      </c>
      <c r="W205" s="362" t="s">
        <v>2471</v>
      </c>
      <c r="X205" s="359">
        <v>382672</v>
      </c>
      <c r="Y205" s="362" t="s">
        <v>1529</v>
      </c>
      <c r="Z205" s="359">
        <v>200000</v>
      </c>
      <c r="AA205" s="362" t="s">
        <v>430</v>
      </c>
      <c r="AB205" s="359"/>
      <c r="AH205" s="359">
        <f t="shared" si="29"/>
        <v>602672</v>
      </c>
      <c r="AK205" s="364">
        <f t="shared" si="28"/>
        <v>0</v>
      </c>
      <c r="AL205" s="429" t="s">
        <v>2472</v>
      </c>
      <c r="AM205" s="429"/>
      <c r="AN205" s="439"/>
      <c r="AO205" s="439"/>
      <c r="AP205" s="439"/>
      <c r="AQ205" s="365">
        <f>0.7%+0.14%</f>
        <v>0.0084</v>
      </c>
      <c r="AR205" s="419">
        <f t="shared" si="30"/>
        <v>602672</v>
      </c>
      <c r="AS205" s="359"/>
      <c r="AT205" s="359">
        <v>100</v>
      </c>
      <c r="AU205" s="359"/>
      <c r="AV205" s="359"/>
      <c r="AW205" s="359"/>
      <c r="AX205" s="359"/>
      <c r="AY205" s="218"/>
      <c r="BA205" s="359"/>
      <c r="BB205" s="359"/>
      <c r="BC205" s="359"/>
      <c r="BD205" s="359">
        <v>602672</v>
      </c>
      <c r="BE205" s="359"/>
      <c r="BZ205" s="134" t="s">
        <v>376</v>
      </c>
      <c r="CA205" s="134" t="s">
        <v>387</v>
      </c>
      <c r="CB205" s="134" t="s">
        <v>377</v>
      </c>
      <c r="CE205" s="149"/>
    </row>
    <row r="206" s="134" customFormat="1" customHeight="1" spans="1:89">
      <c r="A206" s="134">
        <v>139</v>
      </c>
      <c r="C206" s="138">
        <v>45055</v>
      </c>
      <c r="D206" s="496" t="s">
        <v>2473</v>
      </c>
      <c r="F206" s="429" t="s">
        <v>2474</v>
      </c>
      <c r="G206" s="134" t="s">
        <v>2475</v>
      </c>
      <c r="H206" s="1006" t="s">
        <v>2476</v>
      </c>
      <c r="I206" s="423" t="s">
        <v>2477</v>
      </c>
      <c r="J206" s="134">
        <v>107.62</v>
      </c>
      <c r="K206" s="134">
        <v>107.62</v>
      </c>
      <c r="L206" s="134">
        <v>5407.9</v>
      </c>
      <c r="M206" s="436">
        <v>582000</v>
      </c>
      <c r="N206" s="437"/>
      <c r="O206" s="445">
        <v>533944.95</v>
      </c>
      <c r="P206" s="446" t="s">
        <v>2478</v>
      </c>
      <c r="Q206" s="448">
        <v>45585</v>
      </c>
      <c r="R206" s="359"/>
      <c r="S206" s="362"/>
      <c r="T206" s="362"/>
      <c r="U206" s="362" t="s">
        <v>496</v>
      </c>
      <c r="V206" s="359">
        <v>20000</v>
      </c>
      <c r="W206" s="362" t="s">
        <v>1527</v>
      </c>
      <c r="X206" s="359">
        <v>172000</v>
      </c>
      <c r="Y206" s="438" t="s">
        <v>2479</v>
      </c>
      <c r="Z206" s="359">
        <v>190000</v>
      </c>
      <c r="AA206" s="134" t="s">
        <v>1467</v>
      </c>
      <c r="AB206" s="359">
        <v>200000</v>
      </c>
      <c r="AC206" s="134" t="s">
        <v>1771</v>
      </c>
      <c r="AH206" s="359">
        <f t="shared" si="29"/>
        <v>582000</v>
      </c>
      <c r="AK206" s="364">
        <f t="shared" si="28"/>
        <v>0</v>
      </c>
      <c r="AL206" s="429"/>
      <c r="AM206" s="429"/>
      <c r="AN206" s="439"/>
      <c r="AO206" s="439"/>
      <c r="AP206" s="439"/>
      <c r="AQ206" s="365">
        <f>0.6%+0.04%+0.1%</f>
        <v>0.0074</v>
      </c>
      <c r="AR206" s="419">
        <f t="shared" si="30"/>
        <v>582000</v>
      </c>
      <c r="AS206" s="359"/>
      <c r="AT206" s="359"/>
      <c r="AU206" s="359"/>
      <c r="AV206" s="359"/>
      <c r="AW206" s="359"/>
      <c r="AX206" s="359"/>
      <c r="AY206" s="218">
        <v>382000</v>
      </c>
      <c r="AZ206" s="128">
        <v>200000</v>
      </c>
      <c r="BA206" s="359"/>
      <c r="BB206" s="359"/>
      <c r="BC206" s="359"/>
      <c r="BD206" s="359"/>
      <c r="BE206" s="359"/>
      <c r="BZ206" s="134" t="s">
        <v>376</v>
      </c>
      <c r="CA206" s="134" t="s">
        <v>387</v>
      </c>
      <c r="CB206" s="134" t="s">
        <v>377</v>
      </c>
      <c r="CE206" s="149"/>
    </row>
    <row r="207" s="134" customFormat="1" customHeight="1" spans="1:89">
      <c r="A207" s="134">
        <v>140</v>
      </c>
      <c r="C207" s="138">
        <v>45047</v>
      </c>
      <c r="D207" s="496" t="s">
        <v>2480</v>
      </c>
      <c r="F207" s="429" t="s">
        <v>2481</v>
      </c>
      <c r="G207" s="134" t="s">
        <v>2482</v>
      </c>
      <c r="H207" s="1006" t="s">
        <v>2483</v>
      </c>
      <c r="I207" s="414" t="s">
        <v>2484</v>
      </c>
      <c r="J207" s="134">
        <v>107.62</v>
      </c>
      <c r="K207" s="134">
        <v>107.62</v>
      </c>
      <c r="L207" s="134">
        <v>5407.9</v>
      </c>
      <c r="M207" s="436">
        <v>582000</v>
      </c>
      <c r="N207" s="437"/>
      <c r="O207" s="445">
        <v>533944.95</v>
      </c>
      <c r="P207" s="446" t="s">
        <v>2485</v>
      </c>
      <c r="Q207" s="448">
        <v>45585</v>
      </c>
      <c r="R207" s="359"/>
      <c r="S207" s="362"/>
      <c r="T207" s="363"/>
      <c r="U207" s="362" t="s">
        <v>496</v>
      </c>
      <c r="V207" s="359">
        <v>20000</v>
      </c>
      <c r="W207" s="362" t="s">
        <v>1527</v>
      </c>
      <c r="X207" s="359">
        <v>382000</v>
      </c>
      <c r="Y207" s="362" t="s">
        <v>628</v>
      </c>
      <c r="Z207" s="359">
        <v>180000</v>
      </c>
      <c r="AA207" s="362" t="s">
        <v>1981</v>
      </c>
      <c r="AD207" s="359"/>
      <c r="AG207" s="418"/>
      <c r="AH207" s="359">
        <f t="shared" si="29"/>
        <v>582000</v>
      </c>
      <c r="AI207" s="429"/>
      <c r="AJ207" s="439"/>
      <c r="AK207" s="364">
        <f t="shared" si="28"/>
        <v>0</v>
      </c>
      <c r="AQ207" s="365">
        <f>0.6%+0.04%+0.1%</f>
        <v>0.0074</v>
      </c>
      <c r="AR207" s="419">
        <f t="shared" si="30"/>
        <v>582000</v>
      </c>
      <c r="AS207" s="359"/>
      <c r="AT207" s="359"/>
      <c r="AU207" s="359"/>
      <c r="AV207" s="359"/>
      <c r="AW207" s="359"/>
      <c r="AX207" s="359"/>
      <c r="AY207" s="218"/>
      <c r="BA207" s="359">
        <v>402000</v>
      </c>
      <c r="BB207" s="359"/>
      <c r="BC207" s="359"/>
      <c r="BD207" s="359">
        <v>180000</v>
      </c>
      <c r="BE207" s="359"/>
      <c r="BZ207" s="134" t="s">
        <v>376</v>
      </c>
      <c r="CA207" s="134" t="s">
        <v>387</v>
      </c>
      <c r="CB207" s="134" t="s">
        <v>377</v>
      </c>
      <c r="CE207" s="149"/>
    </row>
    <row r="208" s="134" customFormat="1" customHeight="1" spans="1:89">
      <c r="A208" s="134">
        <v>141</v>
      </c>
      <c r="C208" s="138">
        <v>45035</v>
      </c>
      <c r="D208" s="496" t="s">
        <v>2486</v>
      </c>
      <c r="F208" s="429" t="s">
        <v>2487</v>
      </c>
      <c r="G208" s="420" t="s">
        <v>2488</v>
      </c>
      <c r="H208" s="1009" t="s">
        <v>2489</v>
      </c>
      <c r="I208" s="423" t="s">
        <v>2490</v>
      </c>
      <c r="J208" s="134">
        <v>107.62</v>
      </c>
      <c r="K208" s="134">
        <v>107.62</v>
      </c>
      <c r="L208" s="134">
        <v>5491.54</v>
      </c>
      <c r="M208" s="436">
        <v>591000</v>
      </c>
      <c r="N208" s="437"/>
      <c r="O208" s="445">
        <v>542201.83</v>
      </c>
      <c r="P208" s="446" t="s">
        <v>2491</v>
      </c>
      <c r="Q208" s="448">
        <v>45585</v>
      </c>
      <c r="R208" s="359"/>
      <c r="S208" s="362"/>
      <c r="T208" s="362"/>
      <c r="U208" s="362" t="s">
        <v>410</v>
      </c>
      <c r="V208" s="359">
        <v>20000</v>
      </c>
      <c r="W208" s="362" t="s">
        <v>1492</v>
      </c>
      <c r="X208" s="359">
        <v>271000</v>
      </c>
      <c r="Y208" s="138" t="s">
        <v>2492</v>
      </c>
      <c r="Z208" s="359">
        <v>300000</v>
      </c>
      <c r="AA208" s="362" t="s">
        <v>2122</v>
      </c>
      <c r="AB208" s="359"/>
      <c r="AH208" s="359">
        <f t="shared" si="29"/>
        <v>591000</v>
      </c>
      <c r="AK208" s="364">
        <f t="shared" si="28"/>
        <v>0</v>
      </c>
      <c r="AL208" s="429" t="s">
        <v>2493</v>
      </c>
      <c r="AM208" s="429"/>
      <c r="AN208" s="447"/>
      <c r="AO208" s="447"/>
      <c r="AP208" s="447"/>
      <c r="AQ208" s="365">
        <f>0.6%+0.04%+0.1%</f>
        <v>0.0074</v>
      </c>
      <c r="AR208" s="419">
        <f t="shared" si="30"/>
        <v>591000</v>
      </c>
      <c r="AS208" s="359"/>
      <c r="AT208" s="359">
        <v>100</v>
      </c>
      <c r="AU208" s="359"/>
      <c r="AV208" s="359"/>
      <c r="AW208" s="359"/>
      <c r="AX208" s="359">
        <v>291000</v>
      </c>
      <c r="AY208" s="218"/>
      <c r="BA208" s="359"/>
      <c r="BB208" s="359">
        <v>300000</v>
      </c>
      <c r="BC208" s="359"/>
      <c r="BD208" s="359"/>
      <c r="BE208" s="359"/>
      <c r="BZ208" s="134" t="s">
        <v>376</v>
      </c>
      <c r="CA208" s="134" t="s">
        <v>387</v>
      </c>
      <c r="CB208" s="134" t="s">
        <v>377</v>
      </c>
      <c r="CE208" s="149"/>
    </row>
    <row r="209" s="134" customFormat="1" customHeight="1" spans="1:83">
      <c r="A209" s="134">
        <v>142</v>
      </c>
      <c r="C209" s="138">
        <v>45063</v>
      </c>
      <c r="D209" s="496" t="s">
        <v>2494</v>
      </c>
      <c r="F209" s="429" t="s">
        <v>2495</v>
      </c>
      <c r="G209" s="420" t="s">
        <v>2496</v>
      </c>
      <c r="H209" s="1009" t="s">
        <v>2497</v>
      </c>
      <c r="I209" s="414" t="s">
        <v>2498</v>
      </c>
      <c r="J209" s="134">
        <v>107.62</v>
      </c>
      <c r="K209" s="134">
        <v>107.62</v>
      </c>
      <c r="L209" s="134">
        <v>5483.27</v>
      </c>
      <c r="M209" s="436">
        <v>590000</v>
      </c>
      <c r="N209" s="437"/>
      <c r="O209" s="445">
        <v>541284.4</v>
      </c>
      <c r="P209" s="446" t="s">
        <v>2499</v>
      </c>
      <c r="Q209" s="448">
        <v>45585</v>
      </c>
      <c r="R209" s="359"/>
      <c r="S209" s="362"/>
      <c r="T209" s="362"/>
      <c r="U209" s="362" t="s">
        <v>410</v>
      </c>
      <c r="V209" s="359">
        <v>20000</v>
      </c>
      <c r="W209" s="138" t="s">
        <v>1492</v>
      </c>
      <c r="X209" s="359">
        <v>170000</v>
      </c>
      <c r="Y209" s="443" t="s">
        <v>1400</v>
      </c>
      <c r="Z209" s="359">
        <v>400000</v>
      </c>
      <c r="AA209" s="362" t="s">
        <v>1044</v>
      </c>
      <c r="AB209" s="359"/>
      <c r="AH209" s="359">
        <f t="shared" si="29"/>
        <v>590000</v>
      </c>
      <c r="AK209" s="364">
        <f t="shared" si="28"/>
        <v>0</v>
      </c>
      <c r="AL209" s="429" t="s">
        <v>2500</v>
      </c>
      <c r="AM209" s="429"/>
      <c r="AN209" s="447"/>
      <c r="AO209" s="447"/>
      <c r="AP209" s="447"/>
      <c r="AQ209" s="365">
        <f>0.6%+0.04%+0.1%</f>
        <v>0.0074</v>
      </c>
      <c r="AR209" s="419">
        <f t="shared" si="30"/>
        <v>590000</v>
      </c>
      <c r="AS209" s="359"/>
      <c r="AT209" s="359"/>
      <c r="AU209" s="359"/>
      <c r="AV209" s="359"/>
      <c r="AW209" s="359"/>
      <c r="AX209" s="359"/>
      <c r="AY209" s="218">
        <v>190000</v>
      </c>
      <c r="BA209" s="359">
        <v>400000</v>
      </c>
      <c r="BB209" s="359"/>
      <c r="BC209" s="359"/>
      <c r="BD209" s="359"/>
      <c r="BE209" s="359"/>
      <c r="BZ209" s="134" t="s">
        <v>376</v>
      </c>
      <c r="CA209" s="134" t="s">
        <v>387</v>
      </c>
      <c r="CB209" s="134" t="s">
        <v>377</v>
      </c>
      <c r="CE209" s="149"/>
    </row>
    <row r="210" s="134" customFormat="1" customHeight="1" spans="1:83">
      <c r="A210" s="134">
        <v>143</v>
      </c>
      <c r="C210" s="138">
        <v>44965</v>
      </c>
      <c r="D210" s="134">
        <v>20230001086</v>
      </c>
      <c r="F210" s="429" t="s">
        <v>2501</v>
      </c>
      <c r="G210" s="440" t="s">
        <v>2234</v>
      </c>
      <c r="H210" s="1008" t="s">
        <v>2502</v>
      </c>
      <c r="I210" s="423" t="s">
        <v>2503</v>
      </c>
      <c r="J210" s="134">
        <v>107.62</v>
      </c>
      <c r="K210" s="134">
        <v>107.62</v>
      </c>
      <c r="L210" s="505">
        <v>5262.39</v>
      </c>
      <c r="M210" s="506">
        <v>566338</v>
      </c>
      <c r="N210" s="507"/>
      <c r="O210" s="508">
        <v>519576.15</v>
      </c>
      <c r="P210" s="446" t="s">
        <v>2504</v>
      </c>
      <c r="Q210" s="448">
        <v>45585</v>
      </c>
      <c r="R210" s="359"/>
      <c r="S210" s="362"/>
      <c r="T210" s="363" t="s">
        <v>2505</v>
      </c>
      <c r="U210" s="362" t="s">
        <v>2506</v>
      </c>
      <c r="V210" s="359">
        <v>16338</v>
      </c>
      <c r="W210" s="138" t="s">
        <v>1481</v>
      </c>
      <c r="X210" s="359">
        <v>12900</v>
      </c>
      <c r="Y210" s="138" t="s">
        <v>2507</v>
      </c>
      <c r="Z210" s="359">
        <v>87100</v>
      </c>
      <c r="AA210" s="362" t="s">
        <v>1990</v>
      </c>
      <c r="AB210" s="359">
        <v>450000</v>
      </c>
      <c r="AC210" s="362" t="s">
        <v>2508</v>
      </c>
      <c r="AH210" s="359">
        <f t="shared" si="29"/>
        <v>566338</v>
      </c>
      <c r="AK210" s="364">
        <f t="shared" si="28"/>
        <v>0</v>
      </c>
      <c r="AL210" s="429" t="s">
        <v>2509</v>
      </c>
      <c r="AM210" s="429"/>
      <c r="AN210" s="509"/>
      <c r="AO210" s="509"/>
      <c r="AP210" s="509"/>
      <c r="AQ210" s="365">
        <f>0.4%+0.04%+0.1%+0.04%</f>
        <v>0.0058</v>
      </c>
      <c r="AR210" s="419">
        <f t="shared" si="30"/>
        <v>566338</v>
      </c>
      <c r="AS210" s="359"/>
      <c r="AT210" s="359">
        <v>100</v>
      </c>
      <c r="AU210" s="359"/>
      <c r="AV210" s="359"/>
      <c r="AW210" s="359"/>
      <c r="AX210" s="359"/>
      <c r="AY210" s="218"/>
      <c r="AZ210" s="128"/>
      <c r="BA210" s="359">
        <v>116338</v>
      </c>
      <c r="BB210" s="359"/>
      <c r="BC210" s="359">
        <v>450000</v>
      </c>
      <c r="BD210" s="359"/>
      <c r="BE210" s="359"/>
      <c r="BZ210" s="134" t="s">
        <v>376</v>
      </c>
      <c r="CA210" s="134" t="s">
        <v>387</v>
      </c>
      <c r="CB210" s="134" t="s">
        <v>377</v>
      </c>
      <c r="CE210" s="149"/>
    </row>
    <row r="211" s="134" customFormat="1" customHeight="1" spans="1:83">
      <c r="A211" s="134">
        <v>144</v>
      </c>
      <c r="C211" s="138">
        <v>44968</v>
      </c>
      <c r="D211" s="496" t="s">
        <v>2510</v>
      </c>
      <c r="F211" s="429" t="s">
        <v>2511</v>
      </c>
      <c r="G211" s="440" t="s">
        <v>2218</v>
      </c>
      <c r="H211" s="1008" t="s">
        <v>2512</v>
      </c>
      <c r="I211" s="414" t="s">
        <v>2513</v>
      </c>
      <c r="J211" s="134">
        <v>107.62</v>
      </c>
      <c r="K211" s="134">
        <v>107.62</v>
      </c>
      <c r="L211" s="134">
        <v>5256.38</v>
      </c>
      <c r="M211" s="436">
        <v>565692</v>
      </c>
      <c r="N211" s="437"/>
      <c r="O211" s="445">
        <v>518983.49</v>
      </c>
      <c r="P211" s="446" t="s">
        <v>2514</v>
      </c>
      <c r="Q211" s="448">
        <v>45585</v>
      </c>
      <c r="R211" s="359"/>
      <c r="S211" s="362"/>
      <c r="T211" s="363" t="s">
        <v>2515</v>
      </c>
      <c r="U211" s="362" t="s">
        <v>2516</v>
      </c>
      <c r="V211" s="359">
        <v>2000</v>
      </c>
      <c r="W211" s="138">
        <v>44759</v>
      </c>
      <c r="X211" s="359">
        <v>18000</v>
      </c>
      <c r="Y211" s="138" t="s">
        <v>1398</v>
      </c>
      <c r="Z211" s="359">
        <v>100692</v>
      </c>
      <c r="AA211" s="138" t="s">
        <v>1347</v>
      </c>
      <c r="AB211" s="359">
        <v>50000</v>
      </c>
      <c r="AC211" s="134" t="s">
        <v>2517</v>
      </c>
      <c r="AD211" s="359">
        <v>395000</v>
      </c>
      <c r="AE211" s="362" t="s">
        <v>976</v>
      </c>
      <c r="AH211" s="359">
        <f t="shared" si="29"/>
        <v>565692</v>
      </c>
      <c r="AJ211" s="510"/>
      <c r="AK211" s="364">
        <f t="shared" si="28"/>
        <v>0</v>
      </c>
      <c r="AL211" s="429" t="s">
        <v>2518</v>
      </c>
      <c r="AM211" s="429"/>
      <c r="AN211" s="447"/>
      <c r="AO211" s="447"/>
      <c r="AP211" s="447"/>
      <c r="AQ211" s="365">
        <f>0.6%+0.04%+0.1%</f>
        <v>0.0074</v>
      </c>
      <c r="AR211" s="419">
        <f t="shared" si="30"/>
        <v>565692</v>
      </c>
      <c r="AS211" s="359"/>
      <c r="AT211" s="359"/>
      <c r="AU211" s="359"/>
      <c r="AV211" s="359">
        <v>170692</v>
      </c>
      <c r="AW211" s="359"/>
      <c r="AX211" s="359"/>
      <c r="AY211" s="218"/>
      <c r="BA211" s="359">
        <v>395000</v>
      </c>
      <c r="BB211" s="359"/>
      <c r="BC211" s="359"/>
      <c r="BD211" s="359"/>
      <c r="BE211" s="359"/>
      <c r="BZ211" s="134" t="s">
        <v>376</v>
      </c>
      <c r="CA211" s="134" t="s">
        <v>387</v>
      </c>
      <c r="CB211" s="134" t="s">
        <v>377</v>
      </c>
      <c r="CE211" s="149"/>
    </row>
    <row r="212" s="134" customFormat="1" customHeight="1" spans="1:83">
      <c r="A212" s="134">
        <v>145</v>
      </c>
      <c r="C212" s="138">
        <v>45075</v>
      </c>
      <c r="D212" s="496" t="s">
        <v>2519</v>
      </c>
      <c r="F212" s="429" t="s">
        <v>2520</v>
      </c>
      <c r="G212" s="420" t="s">
        <v>2521</v>
      </c>
      <c r="H212" s="1009" t="s">
        <v>2522</v>
      </c>
      <c r="I212" s="414" t="s">
        <v>2523</v>
      </c>
      <c r="J212" s="134">
        <v>107.62</v>
      </c>
      <c r="K212" s="134">
        <v>107.62</v>
      </c>
      <c r="L212" s="134">
        <v>5605.41</v>
      </c>
      <c r="M212" s="436">
        <v>603254</v>
      </c>
      <c r="N212" s="437"/>
      <c r="O212" s="445">
        <v>553444.04</v>
      </c>
      <c r="P212" s="446" t="s">
        <v>2524</v>
      </c>
      <c r="Q212" s="448">
        <v>45585</v>
      </c>
      <c r="R212" s="359"/>
      <c r="S212" s="362"/>
      <c r="T212" s="362"/>
      <c r="U212" s="362" t="s">
        <v>524</v>
      </c>
      <c r="V212" s="359">
        <v>20000</v>
      </c>
      <c r="W212" s="362" t="s">
        <v>2344</v>
      </c>
      <c r="X212" s="359">
        <v>161254</v>
      </c>
      <c r="Y212" s="138" t="s">
        <v>1591</v>
      </c>
      <c r="Z212" s="359">
        <v>422000</v>
      </c>
      <c r="AA212" s="138" t="s">
        <v>1153</v>
      </c>
      <c r="AB212" s="359"/>
      <c r="AH212" s="359">
        <f t="shared" si="29"/>
        <v>603254</v>
      </c>
      <c r="AK212" s="364">
        <f t="shared" si="28"/>
        <v>0</v>
      </c>
      <c r="AL212" s="429" t="s">
        <v>2525</v>
      </c>
      <c r="AM212" s="429"/>
      <c r="AN212" s="447"/>
      <c r="AO212" s="447"/>
      <c r="AP212" s="447"/>
      <c r="AQ212" s="365">
        <f>0.6%+0.06%+0.14%</f>
        <v>0.008</v>
      </c>
      <c r="AR212" s="419">
        <f t="shared" si="30"/>
        <v>603254</v>
      </c>
      <c r="AS212" s="359"/>
      <c r="AT212" s="359"/>
      <c r="AU212" s="359"/>
      <c r="AV212" s="359"/>
      <c r="AW212" s="359"/>
      <c r="AX212" s="359"/>
      <c r="AY212" s="218">
        <v>181254</v>
      </c>
      <c r="AZ212" s="128">
        <v>422000</v>
      </c>
      <c r="BA212" s="359"/>
      <c r="BB212" s="359"/>
      <c r="BC212" s="359"/>
      <c r="BD212" s="359"/>
      <c r="BE212" s="359"/>
      <c r="BZ212" s="134" t="s">
        <v>376</v>
      </c>
      <c r="CA212" s="134" t="s">
        <v>387</v>
      </c>
      <c r="CB212" s="134" t="s">
        <v>377</v>
      </c>
      <c r="CE212" s="149"/>
    </row>
    <row r="213" s="134" customFormat="1" customHeight="1" spans="1:83">
      <c r="A213" s="134">
        <v>146</v>
      </c>
      <c r="C213" s="138">
        <v>45120</v>
      </c>
      <c r="D213" s="496" t="s">
        <v>2526</v>
      </c>
      <c r="F213" s="429" t="s">
        <v>2527</v>
      </c>
      <c r="G213" s="420" t="s">
        <v>2528</v>
      </c>
      <c r="H213" s="1009" t="s">
        <v>2529</v>
      </c>
      <c r="I213" s="414" t="s">
        <v>2530</v>
      </c>
      <c r="J213" s="134">
        <v>107.62</v>
      </c>
      <c r="K213" s="134">
        <v>107.62</v>
      </c>
      <c r="L213" s="134">
        <v>5301.38</v>
      </c>
      <c r="M213" s="436">
        <v>570535</v>
      </c>
      <c r="N213" s="437"/>
      <c r="O213" s="445">
        <v>523426.61</v>
      </c>
      <c r="P213" s="446" t="s">
        <v>2531</v>
      </c>
      <c r="Q213" s="448">
        <v>45585</v>
      </c>
      <c r="R213" s="359"/>
      <c r="S213" s="362"/>
      <c r="T213" s="363" t="s">
        <v>2532</v>
      </c>
      <c r="U213" s="362" t="s">
        <v>2533</v>
      </c>
      <c r="V213" s="359">
        <v>2000</v>
      </c>
      <c r="W213" s="138">
        <v>44761</v>
      </c>
      <c r="X213" s="359">
        <v>18000</v>
      </c>
      <c r="Y213" s="443" t="s">
        <v>1398</v>
      </c>
      <c r="Z213" s="359">
        <v>51535</v>
      </c>
      <c r="AA213" s="134" t="s">
        <v>1771</v>
      </c>
      <c r="AB213" s="359">
        <v>100000</v>
      </c>
      <c r="AC213" s="362" t="s">
        <v>1137</v>
      </c>
      <c r="AD213" s="359">
        <v>399000</v>
      </c>
      <c r="AE213" s="362" t="s">
        <v>1530</v>
      </c>
      <c r="AH213" s="359">
        <f t="shared" si="29"/>
        <v>570535</v>
      </c>
      <c r="AK213" s="364">
        <f t="shared" si="28"/>
        <v>0</v>
      </c>
      <c r="AL213" s="429" t="s">
        <v>2534</v>
      </c>
      <c r="AM213" s="429"/>
      <c r="AN213" s="447"/>
      <c r="AO213" s="447"/>
      <c r="AP213" s="447"/>
      <c r="AQ213" s="365">
        <f>0.6%+0.1%+0.04%</f>
        <v>0.0074</v>
      </c>
      <c r="AR213" s="419">
        <f t="shared" si="30"/>
        <v>570535</v>
      </c>
      <c r="AS213" s="359">
        <f>100</f>
        <v>100</v>
      </c>
      <c r="AT213" s="359"/>
      <c r="AU213" s="359"/>
      <c r="AV213" s="359"/>
      <c r="AW213" s="359"/>
      <c r="AX213" s="359"/>
      <c r="AY213" s="218"/>
      <c r="AZ213" s="128"/>
      <c r="BA213" s="359">
        <v>171535</v>
      </c>
      <c r="BB213" s="359">
        <v>399000</v>
      </c>
      <c r="BC213" s="359"/>
      <c r="BD213" s="359"/>
      <c r="BE213" s="359"/>
      <c r="BZ213" s="134" t="s">
        <v>376</v>
      </c>
      <c r="CA213" s="134" t="s">
        <v>387</v>
      </c>
      <c r="CB213" s="134" t="s">
        <v>377</v>
      </c>
      <c r="CE213" s="149"/>
    </row>
    <row r="214" s="134" customFormat="1" customHeight="1" spans="1:83">
      <c r="A214" s="134">
        <v>147</v>
      </c>
      <c r="C214" s="138">
        <v>45043</v>
      </c>
      <c r="D214" s="496" t="s">
        <v>2535</v>
      </c>
      <c r="F214" s="429" t="s">
        <v>2536</v>
      </c>
      <c r="G214" s="440" t="s">
        <v>2537</v>
      </c>
      <c r="H214" s="1008" t="s">
        <v>2538</v>
      </c>
      <c r="I214" s="414" t="s">
        <v>2539</v>
      </c>
      <c r="J214" s="134">
        <v>107.62</v>
      </c>
      <c r="K214" s="134">
        <v>107.62</v>
      </c>
      <c r="L214" s="134">
        <v>5620</v>
      </c>
      <c r="M214" s="436">
        <v>604824</v>
      </c>
      <c r="N214" s="437"/>
      <c r="O214" s="445">
        <v>554884.4</v>
      </c>
      <c r="P214" s="446" t="s">
        <v>2540</v>
      </c>
      <c r="Q214" s="448">
        <v>45585</v>
      </c>
      <c r="R214" s="359"/>
      <c r="S214" s="362"/>
      <c r="T214" s="362"/>
      <c r="U214" s="362" t="s">
        <v>2541</v>
      </c>
      <c r="V214" s="359">
        <f>20000+164824</f>
        <v>184824</v>
      </c>
      <c r="W214" s="362" t="s">
        <v>2361</v>
      </c>
      <c r="X214" s="359">
        <v>420000</v>
      </c>
      <c r="Y214" s="443" t="s">
        <v>1400</v>
      </c>
      <c r="Z214" s="359"/>
      <c r="AA214" s="138"/>
      <c r="AB214" s="359"/>
      <c r="AC214" s="138"/>
      <c r="AD214" s="138"/>
      <c r="AE214" s="138"/>
      <c r="AF214" s="138"/>
      <c r="AG214" s="138"/>
      <c r="AH214" s="359">
        <f t="shared" si="29"/>
        <v>604824</v>
      </c>
      <c r="AK214" s="364">
        <f t="shared" si="28"/>
        <v>0</v>
      </c>
      <c r="AL214" s="429" t="s">
        <v>2542</v>
      </c>
      <c r="AM214" s="429"/>
      <c r="AN214" s="447"/>
      <c r="AO214" s="447"/>
      <c r="AP214" s="447"/>
      <c r="AQ214" s="365">
        <f>0.4%</f>
        <v>0.004</v>
      </c>
      <c r="AR214" s="419">
        <f t="shared" si="30"/>
        <v>604824</v>
      </c>
      <c r="AS214" s="359">
        <v>100</v>
      </c>
      <c r="AT214" s="359"/>
      <c r="AU214" s="359"/>
      <c r="AV214" s="359"/>
      <c r="AW214" s="359"/>
      <c r="AX214" s="359">
        <v>184824</v>
      </c>
      <c r="AY214" s="218">
        <v>420000</v>
      </c>
      <c r="BA214" s="359"/>
      <c r="BB214" s="359"/>
      <c r="BC214" s="359"/>
      <c r="BD214" s="359"/>
      <c r="BE214" s="359"/>
      <c r="BZ214" s="134" t="s">
        <v>376</v>
      </c>
      <c r="CA214" s="134" t="s">
        <v>387</v>
      </c>
      <c r="CB214" s="134" t="s">
        <v>377</v>
      </c>
      <c r="CE214" s="149"/>
    </row>
    <row r="215" s="134" customFormat="1" customHeight="1" spans="1:83">
      <c r="A215" s="134">
        <v>148</v>
      </c>
      <c r="C215" s="138">
        <v>45091</v>
      </c>
      <c r="D215" s="496" t="s">
        <v>2543</v>
      </c>
      <c r="F215" s="476" t="s">
        <v>2544</v>
      </c>
      <c r="G215" s="420" t="s">
        <v>2252</v>
      </c>
      <c r="H215" s="1009" t="s">
        <v>2545</v>
      </c>
      <c r="I215" s="423" t="s">
        <v>2546</v>
      </c>
      <c r="J215" s="134">
        <v>107.62</v>
      </c>
      <c r="K215" s="134">
        <v>107.62</v>
      </c>
      <c r="L215" s="134">
        <v>5621.63</v>
      </c>
      <c r="M215" s="436">
        <v>605000</v>
      </c>
      <c r="N215" s="437"/>
      <c r="O215" s="445">
        <v>555045.87</v>
      </c>
      <c r="P215" s="446" t="s">
        <v>2547</v>
      </c>
      <c r="Q215" s="448">
        <v>45585</v>
      </c>
      <c r="R215" s="359"/>
      <c r="S215" s="362"/>
      <c r="T215" s="362"/>
      <c r="U215" s="362" t="s">
        <v>496</v>
      </c>
      <c r="V215" s="359">
        <v>20000</v>
      </c>
      <c r="W215" s="138" t="s">
        <v>1527</v>
      </c>
      <c r="X215" s="359">
        <f>200000+85000</f>
        <v>285000</v>
      </c>
      <c r="Y215" s="443" t="s">
        <v>2548</v>
      </c>
      <c r="Z215" s="359">
        <v>30000</v>
      </c>
      <c r="AA215" s="138" t="s">
        <v>2401</v>
      </c>
      <c r="AB215" s="359">
        <v>270000</v>
      </c>
      <c r="AC215" s="362" t="s">
        <v>1112</v>
      </c>
      <c r="AD215" s="138"/>
      <c r="AE215" s="138"/>
      <c r="AF215" s="138"/>
      <c r="AG215" s="138"/>
      <c r="AH215" s="359">
        <f t="shared" si="29"/>
        <v>605000</v>
      </c>
      <c r="AK215" s="364">
        <f t="shared" si="28"/>
        <v>0</v>
      </c>
      <c r="AL215" s="429" t="s">
        <v>2549</v>
      </c>
      <c r="AM215" s="429"/>
      <c r="AN215" s="447"/>
      <c r="AO215" s="447"/>
      <c r="AP215" s="447"/>
      <c r="AQ215" s="365">
        <f>0.6%+0.04%+0.1%</f>
        <v>0.0074</v>
      </c>
      <c r="AR215" s="419">
        <f t="shared" si="30"/>
        <v>605000</v>
      </c>
      <c r="AS215" s="359"/>
      <c r="AT215" s="359"/>
      <c r="AU215" s="359"/>
      <c r="AV215" s="359"/>
      <c r="AW215" s="359"/>
      <c r="AX215" s="359"/>
      <c r="AY215" s="218"/>
      <c r="AZ215" s="128">
        <v>335000</v>
      </c>
      <c r="BA215" s="359">
        <v>270000</v>
      </c>
      <c r="BB215" s="359"/>
      <c r="BC215" s="359"/>
      <c r="BD215" s="359"/>
      <c r="BE215" s="359"/>
      <c r="BZ215" s="134" t="s">
        <v>376</v>
      </c>
      <c r="CA215" s="134" t="s">
        <v>387</v>
      </c>
      <c r="CB215" s="134" t="s">
        <v>377</v>
      </c>
      <c r="CE215" s="149"/>
    </row>
    <row r="216" s="134" customFormat="1" customHeight="1" spans="1:83">
      <c r="A216" s="134">
        <v>149</v>
      </c>
      <c r="C216" s="138">
        <v>45061</v>
      </c>
      <c r="D216" s="496" t="s">
        <v>2550</v>
      </c>
      <c r="F216" s="429" t="s">
        <v>2551</v>
      </c>
      <c r="G216" s="420" t="s">
        <v>2226</v>
      </c>
      <c r="H216" s="1009" t="s">
        <v>2552</v>
      </c>
      <c r="I216" s="414" t="s">
        <v>2553</v>
      </c>
      <c r="J216" s="134">
        <v>107.62</v>
      </c>
      <c r="K216" s="134">
        <v>107.62</v>
      </c>
      <c r="L216" s="134">
        <v>5657.76</v>
      </c>
      <c r="M216" s="436">
        <v>608888</v>
      </c>
      <c r="N216" s="437"/>
      <c r="O216" s="445">
        <v>558612.84</v>
      </c>
      <c r="P216" s="446" t="s">
        <v>2554</v>
      </c>
      <c r="Q216" s="448">
        <v>45585</v>
      </c>
      <c r="R216" s="359"/>
      <c r="S216" s="362"/>
      <c r="T216" s="362"/>
      <c r="U216" s="362" t="s">
        <v>496</v>
      </c>
      <c r="V216" s="359">
        <v>20000</v>
      </c>
      <c r="W216" s="362" t="s">
        <v>2555</v>
      </c>
      <c r="X216" s="359">
        <v>68888</v>
      </c>
      <c r="Y216" s="443" t="s">
        <v>1762</v>
      </c>
      <c r="Z216" s="359">
        <v>40000</v>
      </c>
      <c r="AA216" s="138" t="s">
        <v>606</v>
      </c>
      <c r="AB216" s="359">
        <v>480000</v>
      </c>
      <c r="AC216" s="362" t="s">
        <v>1522</v>
      </c>
      <c r="AH216" s="359">
        <f t="shared" si="29"/>
        <v>608888</v>
      </c>
      <c r="AK216" s="364">
        <f t="shared" si="28"/>
        <v>0</v>
      </c>
      <c r="AL216" s="429" t="s">
        <v>2556</v>
      </c>
      <c r="AM216" s="429"/>
      <c r="AN216" s="447"/>
      <c r="AO216" s="447"/>
      <c r="AP216" s="447"/>
      <c r="AQ216" s="365">
        <f>0.6%+0.05%+0.14%</f>
        <v>0.0079</v>
      </c>
      <c r="AR216" s="419">
        <f t="shared" si="30"/>
        <v>608888</v>
      </c>
      <c r="AS216" s="359"/>
      <c r="AT216" s="359"/>
      <c r="AU216" s="359"/>
      <c r="AV216" s="359"/>
      <c r="AW216" s="359"/>
      <c r="AX216" s="359"/>
      <c r="AY216" s="218">
        <v>128888</v>
      </c>
      <c r="BA216" s="359"/>
      <c r="BB216" s="359"/>
      <c r="BC216" s="359">
        <v>480000</v>
      </c>
      <c r="BD216" s="359"/>
      <c r="BE216" s="359"/>
      <c r="BZ216" s="134" t="s">
        <v>376</v>
      </c>
      <c r="CA216" s="134" t="s">
        <v>387</v>
      </c>
      <c r="CB216" s="134" t="s">
        <v>377</v>
      </c>
      <c r="CE216" s="149"/>
    </row>
    <row r="217" s="134" customFormat="1" customHeight="1" spans="1:83">
      <c r="A217" s="134">
        <v>150</v>
      </c>
      <c r="C217" s="138">
        <v>45066</v>
      </c>
      <c r="D217" s="496" t="s">
        <v>2557</v>
      </c>
      <c r="F217" s="476" t="s">
        <v>2558</v>
      </c>
      <c r="G217" s="420" t="s">
        <v>2559</v>
      </c>
      <c r="H217" s="1009" t="s">
        <v>2560</v>
      </c>
      <c r="I217" s="423" t="s">
        <v>2561</v>
      </c>
      <c r="J217" s="134">
        <v>107.62</v>
      </c>
      <c r="K217" s="134">
        <v>107.62</v>
      </c>
      <c r="L217" s="134">
        <v>5657.76</v>
      </c>
      <c r="M217" s="436">
        <v>608888</v>
      </c>
      <c r="N217" s="437"/>
      <c r="O217" s="445">
        <v>558612.84</v>
      </c>
      <c r="P217" s="446" t="s">
        <v>2562</v>
      </c>
      <c r="Q217" s="448">
        <v>45585</v>
      </c>
      <c r="R217" s="359"/>
      <c r="S217" s="362"/>
      <c r="T217" s="362"/>
      <c r="U217" s="362" t="s">
        <v>2563</v>
      </c>
      <c r="V217" s="359">
        <v>20000</v>
      </c>
      <c r="W217" s="362" t="s">
        <v>2564</v>
      </c>
      <c r="X217" s="359">
        <v>28888</v>
      </c>
      <c r="Y217" s="443" t="s">
        <v>2565</v>
      </c>
      <c r="Z217" s="359">
        <v>80000</v>
      </c>
      <c r="AA217" s="362" t="s">
        <v>562</v>
      </c>
      <c r="AB217" s="359">
        <v>480000</v>
      </c>
      <c r="AC217" s="362" t="s">
        <v>1499</v>
      </c>
      <c r="AH217" s="359">
        <f t="shared" si="29"/>
        <v>608888</v>
      </c>
      <c r="AK217" s="364">
        <f t="shared" ref="AK217:AK280" si="31">M217-AH217</f>
        <v>0</v>
      </c>
      <c r="AL217" s="429" t="s">
        <v>2566</v>
      </c>
      <c r="AM217" s="429"/>
      <c r="AN217" s="447"/>
      <c r="AO217" s="447"/>
      <c r="AP217" s="447"/>
      <c r="AQ217" s="365">
        <f>0.6%+0.06%+0.14%</f>
        <v>0.008</v>
      </c>
      <c r="AR217" s="419">
        <f t="shared" si="30"/>
        <v>608888</v>
      </c>
      <c r="AS217" s="359"/>
      <c r="AT217" s="359"/>
      <c r="AU217" s="359"/>
      <c r="AV217" s="359"/>
      <c r="AW217" s="359"/>
      <c r="AX217" s="359"/>
      <c r="AY217" s="218"/>
      <c r="BA217" s="359"/>
      <c r="BB217" s="359">
        <v>128888</v>
      </c>
      <c r="BC217" s="359"/>
      <c r="BD217" s="359"/>
      <c r="BE217" s="359">
        <v>480000</v>
      </c>
      <c r="BZ217" s="134" t="s">
        <v>376</v>
      </c>
      <c r="CA217" s="134" t="s">
        <v>387</v>
      </c>
      <c r="CB217" s="134" t="s">
        <v>377</v>
      </c>
      <c r="CE217" s="149"/>
    </row>
    <row r="218" s="134" customFormat="1" customHeight="1" spans="1:83">
      <c r="A218" s="134">
        <v>151</v>
      </c>
      <c r="C218" s="138">
        <v>45164</v>
      </c>
      <c r="D218" s="496" t="s">
        <v>2567</v>
      </c>
      <c r="F218" s="429" t="s">
        <v>2568</v>
      </c>
      <c r="G218" s="134" t="s">
        <v>2569</v>
      </c>
      <c r="H218" s="1006" t="s">
        <v>2570</v>
      </c>
      <c r="I218" s="414" t="s">
        <v>2571</v>
      </c>
      <c r="J218" s="134">
        <v>107.62</v>
      </c>
      <c r="K218" s="134">
        <v>107.62</v>
      </c>
      <c r="L218" s="134">
        <v>5950</v>
      </c>
      <c r="M218" s="436">
        <v>640339</v>
      </c>
      <c r="N218" s="437">
        <v>5948.42</v>
      </c>
      <c r="O218" s="445">
        <v>587466.97</v>
      </c>
      <c r="P218" s="446" t="s">
        <v>2572</v>
      </c>
      <c r="Q218" s="448">
        <v>45585</v>
      </c>
      <c r="R218" s="359"/>
      <c r="S218" s="362"/>
      <c r="T218" s="420"/>
      <c r="U218" s="362" t="s">
        <v>677</v>
      </c>
      <c r="V218" s="359">
        <v>20000</v>
      </c>
      <c r="W218" s="362" t="s">
        <v>1529</v>
      </c>
      <c r="X218" s="359">
        <v>280339</v>
      </c>
      <c r="Y218" s="443" t="s">
        <v>2573</v>
      </c>
      <c r="Z218" s="359">
        <v>340000</v>
      </c>
      <c r="AA218" s="362" t="s">
        <v>2574</v>
      </c>
      <c r="AB218" s="359"/>
      <c r="AH218" s="359">
        <f t="shared" si="29"/>
        <v>640339</v>
      </c>
      <c r="AK218" s="364">
        <f t="shared" si="31"/>
        <v>0</v>
      </c>
      <c r="AL218" s="429" t="s">
        <v>2575</v>
      </c>
      <c r="AM218" s="429"/>
      <c r="AN218" s="447"/>
      <c r="AO218" s="447"/>
      <c r="AP218" s="447"/>
      <c r="AQ218" s="140">
        <f>0.7%+0.05%+0.12%</f>
        <v>0.0087</v>
      </c>
      <c r="AR218" s="419">
        <f t="shared" si="30"/>
        <v>640339</v>
      </c>
      <c r="AS218" s="359"/>
      <c r="AT218" s="359"/>
      <c r="AU218" s="359"/>
      <c r="AV218" s="359"/>
      <c r="AW218" s="359"/>
      <c r="AX218" s="359"/>
      <c r="AY218" s="218"/>
      <c r="BA218" s="359"/>
      <c r="BB218" s="359">
        <v>300339</v>
      </c>
      <c r="BC218" s="359"/>
      <c r="BD218" s="359"/>
      <c r="BE218" s="359">
        <v>340000</v>
      </c>
      <c r="BZ218" s="134" t="s">
        <v>376</v>
      </c>
      <c r="CA218" s="134" t="s">
        <v>387</v>
      </c>
      <c r="CB218" s="134" t="s">
        <v>377</v>
      </c>
      <c r="CE218" s="149"/>
    </row>
    <row r="219" s="134" customFormat="1" customHeight="1" spans="1:83">
      <c r="A219" s="134">
        <v>152</v>
      </c>
      <c r="C219" s="138">
        <v>45075</v>
      </c>
      <c r="D219" s="496" t="s">
        <v>2576</v>
      </c>
      <c r="F219" s="429" t="s">
        <v>2577</v>
      </c>
      <c r="G219" s="420" t="s">
        <v>2578</v>
      </c>
      <c r="H219" s="1009" t="s">
        <v>2579</v>
      </c>
      <c r="I219" s="423" t="s">
        <v>2580</v>
      </c>
      <c r="J219" s="134">
        <v>107.62</v>
      </c>
      <c r="K219" s="134">
        <v>107.62</v>
      </c>
      <c r="L219" s="134">
        <v>5965.4</v>
      </c>
      <c r="M219" s="436">
        <v>642000</v>
      </c>
      <c r="N219" s="437">
        <v>5942.22</v>
      </c>
      <c r="O219" s="445">
        <v>588990.83</v>
      </c>
      <c r="P219" s="446" t="s">
        <v>2581</v>
      </c>
      <c r="Q219" s="448">
        <v>45585</v>
      </c>
      <c r="R219" s="359"/>
      <c r="S219" s="362"/>
      <c r="T219" s="362"/>
      <c r="U219" s="362" t="s">
        <v>393</v>
      </c>
      <c r="V219" s="359">
        <v>20000</v>
      </c>
      <c r="W219" s="362" t="s">
        <v>1667</v>
      </c>
      <c r="X219" s="359">
        <v>322000</v>
      </c>
      <c r="Y219" s="443" t="s">
        <v>1591</v>
      </c>
      <c r="Z219" s="359">
        <v>300000</v>
      </c>
      <c r="AA219" s="362" t="s">
        <v>1784</v>
      </c>
      <c r="AB219" s="359"/>
      <c r="AH219" s="359">
        <f t="shared" si="29"/>
        <v>642000</v>
      </c>
      <c r="AK219" s="364">
        <f t="shared" si="31"/>
        <v>0</v>
      </c>
      <c r="AL219" s="429" t="s">
        <v>2582</v>
      </c>
      <c r="AM219" s="429"/>
      <c r="AN219" s="447"/>
      <c r="AO219" s="447"/>
      <c r="AP219" s="447"/>
      <c r="AQ219" s="365">
        <f>0.6%+0.05%+0.14%</f>
        <v>0.0079</v>
      </c>
      <c r="AR219" s="419">
        <f t="shared" si="30"/>
        <v>642000</v>
      </c>
      <c r="AS219" s="359"/>
      <c r="AT219" s="359"/>
      <c r="AU219" s="359"/>
      <c r="AV219" s="359"/>
      <c r="AW219" s="359"/>
      <c r="AX219" s="359"/>
      <c r="AY219" s="218">
        <v>342000</v>
      </c>
      <c r="BA219" s="359"/>
      <c r="BB219" s="359">
        <v>300000</v>
      </c>
      <c r="BC219" s="359"/>
      <c r="BD219" s="359"/>
      <c r="BE219" s="359"/>
      <c r="BZ219" s="134" t="s">
        <v>376</v>
      </c>
      <c r="CA219" s="134" t="s">
        <v>387</v>
      </c>
      <c r="CB219" s="134" t="s">
        <v>377</v>
      </c>
      <c r="CE219" s="149"/>
    </row>
    <row r="220" s="134" customFormat="1" customHeight="1" spans="1:83">
      <c r="A220" s="134">
        <v>153</v>
      </c>
      <c r="C220" s="138">
        <v>45132</v>
      </c>
      <c r="D220" s="496" t="s">
        <v>2583</v>
      </c>
      <c r="F220" s="429" t="s">
        <v>2584</v>
      </c>
      <c r="G220" s="420" t="s">
        <v>2585</v>
      </c>
      <c r="H220" s="1009" t="s">
        <v>2586</v>
      </c>
      <c r="I220" s="414" t="s">
        <v>2587</v>
      </c>
      <c r="J220" s="134">
        <v>107.62</v>
      </c>
      <c r="K220" s="134">
        <v>107.62</v>
      </c>
      <c r="L220" s="134">
        <v>7116</v>
      </c>
      <c r="M220" s="436">
        <v>765824</v>
      </c>
      <c r="N220" s="437">
        <v>6966</v>
      </c>
      <c r="O220" s="445">
        <v>702590.83</v>
      </c>
      <c r="P220" s="446" t="s">
        <v>2588</v>
      </c>
      <c r="Q220" s="448">
        <v>45608</v>
      </c>
      <c r="R220" s="359"/>
      <c r="S220" s="362"/>
      <c r="T220" s="362"/>
      <c r="U220" s="362" t="s">
        <v>2278</v>
      </c>
      <c r="V220" s="359">
        <f>20000+135824</f>
        <v>155824</v>
      </c>
      <c r="W220" s="362" t="s">
        <v>2471</v>
      </c>
      <c r="X220" s="359">
        <v>610000</v>
      </c>
      <c r="Y220" s="362" t="s">
        <v>2589</v>
      </c>
      <c r="Z220" s="359"/>
      <c r="AA220" s="138"/>
      <c r="AB220" s="359"/>
      <c r="AC220" s="138"/>
      <c r="AD220" s="138"/>
      <c r="AE220" s="138"/>
      <c r="AF220" s="138"/>
      <c r="AG220" s="138"/>
      <c r="AH220" s="359">
        <f t="shared" si="29"/>
        <v>765824</v>
      </c>
      <c r="AK220" s="364">
        <f t="shared" si="31"/>
        <v>0</v>
      </c>
      <c r="AL220" s="429" t="s">
        <v>2590</v>
      </c>
      <c r="AM220" s="429"/>
      <c r="AN220" s="447"/>
      <c r="AO220" s="447"/>
      <c r="AP220" s="447"/>
      <c r="AQ220" s="365">
        <f>0.6%+0.03%+0.14%</f>
        <v>0.0077</v>
      </c>
      <c r="AR220" s="419">
        <f t="shared" si="30"/>
        <v>765824</v>
      </c>
      <c r="AS220" s="359"/>
      <c r="AT220" s="359"/>
      <c r="AU220" s="359"/>
      <c r="AV220" s="359"/>
      <c r="AW220" s="359"/>
      <c r="AX220" s="359"/>
      <c r="AY220" s="218"/>
      <c r="BA220" s="359">
        <v>155824</v>
      </c>
      <c r="BB220" s="359"/>
      <c r="BC220" s="359">
        <v>610000</v>
      </c>
      <c r="BD220" s="359"/>
      <c r="BE220" s="359"/>
      <c r="BZ220" s="134" t="s">
        <v>376</v>
      </c>
      <c r="CA220" s="134" t="s">
        <v>387</v>
      </c>
      <c r="CB220" s="134" t="s">
        <v>377</v>
      </c>
      <c r="CE220" s="149"/>
    </row>
    <row r="221" s="134" customFormat="1" customHeight="1" spans="1:83">
      <c r="A221" s="134">
        <v>154</v>
      </c>
      <c r="C221" s="138">
        <v>45299</v>
      </c>
      <c r="D221" s="496" t="s">
        <v>2591</v>
      </c>
      <c r="F221" s="429" t="s">
        <v>2592</v>
      </c>
      <c r="G221" s="440" t="s">
        <v>2593</v>
      </c>
      <c r="H221" s="1008" t="s">
        <v>2594</v>
      </c>
      <c r="I221" s="423" t="s">
        <v>2595</v>
      </c>
      <c r="J221" s="134">
        <v>107.62</v>
      </c>
      <c r="K221" s="134">
        <v>107.62</v>
      </c>
      <c r="L221" s="134">
        <v>6968.96</v>
      </c>
      <c r="M221" s="436">
        <v>750000</v>
      </c>
      <c r="N221" s="437">
        <v>6958</v>
      </c>
      <c r="O221" s="445">
        <v>688073.39</v>
      </c>
      <c r="P221" s="446" t="s">
        <v>2596</v>
      </c>
      <c r="Q221" s="448">
        <v>45608</v>
      </c>
      <c r="R221" s="359"/>
      <c r="S221" s="362"/>
      <c r="T221" s="362"/>
      <c r="U221" s="362" t="s">
        <v>410</v>
      </c>
      <c r="V221" s="359">
        <v>20000</v>
      </c>
      <c r="W221" s="362" t="s">
        <v>726</v>
      </c>
      <c r="X221" s="359">
        <f>45000+55000</f>
        <v>100000</v>
      </c>
      <c r="Y221" s="443" t="s">
        <v>2304</v>
      </c>
      <c r="Z221" s="359">
        <v>30000</v>
      </c>
      <c r="AA221" s="134" t="s">
        <v>1657</v>
      </c>
      <c r="AB221" s="359">
        <v>600000</v>
      </c>
      <c r="AC221" s="362" t="s">
        <v>553</v>
      </c>
      <c r="AH221" s="359">
        <f t="shared" si="29"/>
        <v>750000</v>
      </c>
      <c r="AK221" s="364">
        <f t="shared" si="31"/>
        <v>0</v>
      </c>
      <c r="AL221" s="429" t="s">
        <v>2597</v>
      </c>
      <c r="AM221" s="429"/>
      <c r="AN221" s="447"/>
      <c r="AO221" s="447"/>
      <c r="AP221" s="447"/>
      <c r="AQ221" s="173">
        <f>0.7%+0.04%+0.12%</f>
        <v>0.0086</v>
      </c>
      <c r="AR221" s="419">
        <f t="shared" si="30"/>
        <v>750000</v>
      </c>
      <c r="AS221" s="359"/>
      <c r="AT221" s="359"/>
      <c r="AU221" s="359"/>
      <c r="AV221" s="359"/>
      <c r="AW221" s="359"/>
      <c r="AX221" s="359"/>
      <c r="AY221" s="218"/>
      <c r="BA221" s="359"/>
      <c r="BB221" s="359"/>
      <c r="BC221" s="359"/>
      <c r="BD221" s="359"/>
      <c r="BE221" s="359"/>
      <c r="BG221" s="134">
        <v>150000</v>
      </c>
      <c r="BI221" s="134">
        <v>600000</v>
      </c>
      <c r="BZ221" s="134" t="s">
        <v>376</v>
      </c>
      <c r="CA221" s="134" t="s">
        <v>387</v>
      </c>
      <c r="CB221" s="134" t="s">
        <v>377</v>
      </c>
      <c r="CE221" s="149"/>
    </row>
    <row r="222" s="134" customFormat="1" customHeight="1" spans="1:83">
      <c r="A222" s="134">
        <v>155</v>
      </c>
      <c r="C222" s="138">
        <v>46188</v>
      </c>
      <c r="D222" s="496" t="s">
        <v>122</v>
      </c>
      <c r="E222" s="134" t="s">
        <v>123</v>
      </c>
      <c r="F222" s="1006" t="s">
        <v>124</v>
      </c>
      <c r="G222" s="420" t="s">
        <v>125</v>
      </c>
      <c r="H222" s="420"/>
      <c r="I222" s="414" t="s">
        <v>126</v>
      </c>
      <c r="J222" s="134">
        <v>107.42</v>
      </c>
      <c r="K222" s="134">
        <v>107.42</v>
      </c>
      <c r="L222" s="134">
        <v>7354.31</v>
      </c>
      <c r="M222" s="436">
        <v>790000</v>
      </c>
      <c r="N222" s="134">
        <v>8639.36</v>
      </c>
      <c r="O222" s="445">
        <v>724770.64</v>
      </c>
      <c r="P222" s="446" t="s">
        <v>2598</v>
      </c>
      <c r="Q222" s="446" t="s">
        <v>2599</v>
      </c>
      <c r="R222" s="359">
        <v>290000</v>
      </c>
      <c r="S222" s="362">
        <v>46188</v>
      </c>
      <c r="T222" s="362"/>
      <c r="U222" s="362"/>
      <c r="V222" s="359">
        <v>290000</v>
      </c>
      <c r="W222" s="362">
        <v>46188</v>
      </c>
      <c r="X222" s="359"/>
      <c r="Y222" s="138"/>
      <c r="Z222" s="359"/>
      <c r="AA222" s="138"/>
      <c r="AB222" s="359"/>
      <c r="AC222" s="138"/>
      <c r="AD222" s="138"/>
      <c r="AE222" s="138"/>
      <c r="AF222" s="138"/>
      <c r="AG222" s="138"/>
      <c r="AH222" s="359">
        <f t="shared" si="29"/>
        <v>290000</v>
      </c>
      <c r="AK222" s="364">
        <f t="shared" si="31"/>
        <v>500000</v>
      </c>
      <c r="AL222" s="429"/>
      <c r="AM222" s="429"/>
      <c r="AN222" s="447"/>
      <c r="AO222" s="447"/>
      <c r="AP222" s="447"/>
      <c r="AQ222" s="365">
        <f>0.4%+0.05%+0.14%</f>
        <v>0.0059</v>
      </c>
      <c r="AR222" s="419">
        <f t="shared" si="30"/>
        <v>0</v>
      </c>
      <c r="AS222" s="359">
        <v>100</v>
      </c>
      <c r="AT222" s="359"/>
      <c r="AU222" s="359"/>
      <c r="AV222" s="359"/>
      <c r="AW222" s="359"/>
      <c r="AX222" s="359"/>
      <c r="AY222" s="218"/>
      <c r="AZ222" s="128"/>
      <c r="BA222" s="359"/>
      <c r="BB222" s="359"/>
      <c r="BC222" s="359"/>
      <c r="BD222" s="359"/>
      <c r="BE222" s="359"/>
      <c r="BZ222" s="134" t="s">
        <v>376</v>
      </c>
    </row>
    <row r="223" s="134" customFormat="1" customHeight="1" spans="1:83">
      <c r="A223" s="134">
        <v>156</v>
      </c>
      <c r="C223" s="138">
        <v>45053</v>
      </c>
      <c r="D223" s="496" t="s">
        <v>2600</v>
      </c>
      <c r="F223" s="429" t="s">
        <v>2601</v>
      </c>
      <c r="G223" s="420" t="s">
        <v>2602</v>
      </c>
      <c r="H223" s="420"/>
      <c r="I223" s="423" t="s">
        <v>2603</v>
      </c>
      <c r="J223" s="134">
        <v>107.98</v>
      </c>
      <c r="K223" s="134">
        <v>107.98</v>
      </c>
      <c r="L223" s="134">
        <v>7992.01</v>
      </c>
      <c r="M223" s="436">
        <v>862977</v>
      </c>
      <c r="N223" s="437"/>
      <c r="O223" s="445">
        <v>791722.02</v>
      </c>
      <c r="P223" s="446" t="s">
        <v>2604</v>
      </c>
      <c r="Q223" s="448">
        <v>45564</v>
      </c>
      <c r="R223" s="359"/>
      <c r="S223" s="362"/>
      <c r="T223" s="362"/>
      <c r="U223" s="362" t="s">
        <v>393</v>
      </c>
      <c r="V223" s="359">
        <v>2977</v>
      </c>
      <c r="W223" s="138" t="s">
        <v>447</v>
      </c>
      <c r="X223" s="359">
        <v>187000</v>
      </c>
      <c r="Y223" s="443" t="s">
        <v>2070</v>
      </c>
      <c r="Z223" s="359">
        <v>673000</v>
      </c>
      <c r="AA223" s="134" t="s">
        <v>1215</v>
      </c>
      <c r="AB223" s="359"/>
      <c r="AH223" s="359">
        <f t="shared" si="29"/>
        <v>862977</v>
      </c>
      <c r="AK223" s="364">
        <f t="shared" si="31"/>
        <v>0</v>
      </c>
      <c r="AL223" s="429" t="s">
        <v>2605</v>
      </c>
      <c r="AM223" s="429"/>
      <c r="AN223" s="447"/>
      <c r="AO223" s="447"/>
      <c r="AP223" s="447"/>
      <c r="AQ223" s="365">
        <f>0.6%+0.05%+0.14%</f>
        <v>0.0079</v>
      </c>
      <c r="AR223" s="419">
        <f t="shared" si="30"/>
        <v>862977</v>
      </c>
      <c r="AS223" s="359"/>
      <c r="AT223" s="359"/>
      <c r="AU223" s="359"/>
      <c r="AV223" s="359"/>
      <c r="AW223" s="359"/>
      <c r="AX223" s="359"/>
      <c r="AY223" s="218">
        <v>189977</v>
      </c>
      <c r="BA223" s="359">
        <v>673000</v>
      </c>
      <c r="BB223" s="359"/>
      <c r="BC223" s="359"/>
      <c r="BD223" s="359"/>
      <c r="BE223" s="359"/>
      <c r="BZ223" s="134" t="s">
        <v>376</v>
      </c>
      <c r="CA223" s="134" t="s">
        <v>387</v>
      </c>
      <c r="CB223" s="134" t="s">
        <v>377</v>
      </c>
      <c r="CE223" s="149"/>
    </row>
    <row r="224" s="134" customFormat="1" customHeight="1" spans="1:83">
      <c r="A224" s="134">
        <v>157</v>
      </c>
      <c r="B224" s="134"/>
      <c r="C224" s="138">
        <v>45754</v>
      </c>
      <c r="D224" s="134">
        <v>20250001791</v>
      </c>
      <c r="E224" s="134" t="s">
        <v>2606</v>
      </c>
      <c r="F224" s="429" t="s">
        <v>2607</v>
      </c>
      <c r="G224" s="420" t="s">
        <v>2608</v>
      </c>
      <c r="H224" s="420"/>
      <c r="I224" s="414" t="s">
        <v>2609</v>
      </c>
      <c r="J224" s="134">
        <v>107.62</v>
      </c>
      <c r="K224" s="134">
        <v>107.62</v>
      </c>
      <c r="L224" s="134">
        <v>5883.35</v>
      </c>
      <c r="M224" s="358">
        <v>633166</v>
      </c>
      <c r="N224" s="134">
        <v>5883.35</v>
      </c>
      <c r="O224" s="445">
        <v>580886.24</v>
      </c>
      <c r="P224" s="415" t="s">
        <v>2610</v>
      </c>
      <c r="Q224" s="361">
        <v>45754</v>
      </c>
      <c r="R224" s="359"/>
      <c r="S224" s="362"/>
      <c r="T224" s="362"/>
      <c r="U224" s="362"/>
      <c r="V224" s="359">
        <v>633166</v>
      </c>
      <c r="W224" s="362" t="s">
        <v>1003</v>
      </c>
      <c r="X224" s="359"/>
      <c r="Y224" s="443"/>
      <c r="Z224" s="359"/>
      <c r="AA224" s="138"/>
      <c r="AB224" s="359"/>
      <c r="AC224" s="134"/>
      <c r="AD224" s="134"/>
      <c r="AE224" s="134"/>
      <c r="AF224" s="134"/>
      <c r="AG224" s="134"/>
      <c r="AH224" s="359">
        <f t="shared" si="29"/>
        <v>633166</v>
      </c>
      <c r="AK224" s="364">
        <f t="shared" si="31"/>
        <v>0</v>
      </c>
      <c r="AL224" s="429" t="s">
        <v>2611</v>
      </c>
      <c r="AM224" s="429"/>
      <c r="AN224" s="441"/>
      <c r="AO224" s="441"/>
      <c r="AP224" s="441"/>
      <c r="AQ224" s="365"/>
      <c r="AR224" s="419">
        <f t="shared" si="30"/>
        <v>0</v>
      </c>
      <c r="AS224" s="359"/>
      <c r="AT224" s="359"/>
      <c r="AU224" s="359"/>
      <c r="AV224" s="359"/>
      <c r="AW224" s="359"/>
      <c r="AX224" s="359"/>
      <c r="AY224" s="218"/>
      <c r="BA224" s="359"/>
      <c r="BB224" s="359"/>
      <c r="BC224" s="359"/>
      <c r="BD224" s="359"/>
      <c r="BE224" s="359"/>
      <c r="BZ224" s="134" t="s">
        <v>376</v>
      </c>
      <c r="CB224" s="134" t="s">
        <v>377</v>
      </c>
      <c r="CE224" s="149"/>
    </row>
    <row r="225" s="134" customFormat="1" customHeight="1" spans="1:83">
      <c r="A225" s="134">
        <v>158</v>
      </c>
      <c r="C225" s="138">
        <v>45417</v>
      </c>
      <c r="D225" s="496" t="s">
        <v>2612</v>
      </c>
      <c r="F225" s="429" t="s">
        <v>2613</v>
      </c>
      <c r="G225" s="420" t="s">
        <v>2614</v>
      </c>
      <c r="H225" s="1009" t="s">
        <v>2615</v>
      </c>
      <c r="I225" s="423" t="s">
        <v>2616</v>
      </c>
      <c r="J225" s="134">
        <v>107.98</v>
      </c>
      <c r="K225" s="134">
        <v>107.98</v>
      </c>
      <c r="L225" s="134">
        <v>5600</v>
      </c>
      <c r="M225" s="436">
        <v>604688</v>
      </c>
      <c r="N225" s="437">
        <v>5518.93</v>
      </c>
      <c r="O225" s="445">
        <v>554759.63</v>
      </c>
      <c r="P225" s="446" t="s">
        <v>2617</v>
      </c>
      <c r="Q225" s="448">
        <v>45564</v>
      </c>
      <c r="R225" s="359"/>
      <c r="S225" s="362"/>
      <c r="T225" s="362"/>
      <c r="U225" s="362" t="s">
        <v>662</v>
      </c>
      <c r="V225" s="359">
        <v>20000</v>
      </c>
      <c r="W225" s="362" t="s">
        <v>385</v>
      </c>
      <c r="X225" s="359">
        <v>184688</v>
      </c>
      <c r="Y225" s="362" t="s">
        <v>1083</v>
      </c>
      <c r="Z225" s="359">
        <v>400000</v>
      </c>
      <c r="AA225" s="362" t="s">
        <v>2618</v>
      </c>
      <c r="AB225" s="359"/>
      <c r="AH225" s="359">
        <f t="shared" ref="AH225:AH256" si="32">V225+X225+Z225+AB225+AD225+AF225</f>
        <v>604688</v>
      </c>
      <c r="AK225" s="364">
        <f t="shared" si="31"/>
        <v>0</v>
      </c>
      <c r="AL225" s="429" t="s">
        <v>2619</v>
      </c>
      <c r="AM225" s="429"/>
      <c r="AN225" s="447"/>
      <c r="AO225" s="447"/>
      <c r="AP225" s="447"/>
      <c r="AQ225" s="173">
        <f>0.7%+0.12%</f>
        <v>0.0082</v>
      </c>
      <c r="AR225" s="419">
        <f t="shared" si="30"/>
        <v>604688</v>
      </c>
      <c r="AS225" s="359"/>
      <c r="AT225" s="359">
        <v>100</v>
      </c>
      <c r="AU225" s="359"/>
      <c r="AV225" s="359"/>
      <c r="AW225" s="359"/>
      <c r="AX225" s="359"/>
      <c r="AY225" s="218"/>
      <c r="BA225" s="359"/>
      <c r="BB225" s="359"/>
      <c r="BC225" s="359"/>
      <c r="BD225" s="359"/>
      <c r="BE225" s="359"/>
      <c r="BK225" s="134">
        <v>204688</v>
      </c>
      <c r="BL225" s="134">
        <v>400000</v>
      </c>
      <c r="BZ225" s="134" t="s">
        <v>376</v>
      </c>
      <c r="CA225" s="134" t="s">
        <v>387</v>
      </c>
      <c r="CB225" s="134" t="s">
        <v>377</v>
      </c>
      <c r="CE225" s="149"/>
    </row>
    <row r="226" s="134" customFormat="1" customHeight="1" spans="1:83">
      <c r="A226" s="134">
        <v>159</v>
      </c>
      <c r="C226" s="138">
        <v>45180</v>
      </c>
      <c r="D226" s="485" t="s">
        <v>2620</v>
      </c>
      <c r="F226" s="429" t="s">
        <v>2621</v>
      </c>
      <c r="G226" s="420" t="s">
        <v>2254</v>
      </c>
      <c r="H226" s="1009" t="s">
        <v>2622</v>
      </c>
      <c r="I226" s="414" t="s">
        <v>2623</v>
      </c>
      <c r="J226" s="134">
        <v>107.62</v>
      </c>
      <c r="K226" s="134">
        <v>107.62</v>
      </c>
      <c r="L226" s="510">
        <v>5650</v>
      </c>
      <c r="M226" s="436">
        <v>608053</v>
      </c>
      <c r="N226" s="437">
        <v>5582.31</v>
      </c>
      <c r="O226" s="445">
        <v>557846.79</v>
      </c>
      <c r="P226" s="446" t="s">
        <v>2624</v>
      </c>
      <c r="Q226" s="448">
        <v>45564</v>
      </c>
      <c r="R226" s="359"/>
      <c r="S226" s="362"/>
      <c r="T226" s="362"/>
      <c r="U226" s="362" t="s">
        <v>400</v>
      </c>
      <c r="V226" s="359">
        <v>20000</v>
      </c>
      <c r="W226" s="362" t="s">
        <v>2625</v>
      </c>
      <c r="X226" s="359">
        <v>102053</v>
      </c>
      <c r="Y226" s="362" t="s">
        <v>734</v>
      </c>
      <c r="Z226" s="359">
        <v>486000</v>
      </c>
      <c r="AA226" s="362" t="s">
        <v>1066</v>
      </c>
      <c r="AB226" s="359"/>
      <c r="AC226" s="138"/>
      <c r="AD226" s="138"/>
      <c r="AE226" s="138"/>
      <c r="AF226" s="138"/>
      <c r="AG226" s="138"/>
      <c r="AH226" s="359">
        <f t="shared" si="32"/>
        <v>608053</v>
      </c>
      <c r="AK226" s="364">
        <f t="shared" si="31"/>
        <v>0</v>
      </c>
      <c r="AL226" s="429" t="s">
        <v>2626</v>
      </c>
      <c r="AM226" s="429"/>
      <c r="AN226" s="447"/>
      <c r="AO226" s="447"/>
      <c r="AP226" s="447"/>
      <c r="AQ226" s="365">
        <f>0.4%+0.02%+0.12%</f>
        <v>0.0054</v>
      </c>
      <c r="AR226" s="419">
        <f t="shared" si="30"/>
        <v>608053</v>
      </c>
      <c r="AS226" s="359">
        <f>100</f>
        <v>100</v>
      </c>
      <c r="AT226" s="359"/>
      <c r="AU226" s="359"/>
      <c r="AV226" s="359"/>
      <c r="AW226" s="359"/>
      <c r="AX226" s="359"/>
      <c r="AY226" s="218"/>
      <c r="BA226" s="359"/>
      <c r="BB226" s="359"/>
      <c r="BC226" s="359">
        <v>122053</v>
      </c>
      <c r="BD226" s="359">
        <v>486000</v>
      </c>
      <c r="BE226" s="359"/>
      <c r="BZ226" s="134" t="s">
        <v>376</v>
      </c>
      <c r="CA226" s="134" t="s">
        <v>387</v>
      </c>
      <c r="CB226" s="134" t="s">
        <v>377</v>
      </c>
      <c r="CE226" s="149"/>
    </row>
    <row r="227" s="134" customFormat="1" customHeight="1" spans="1:83">
      <c r="A227" s="134">
        <v>160</v>
      </c>
      <c r="C227" s="138">
        <v>45172</v>
      </c>
      <c r="D227" s="496" t="s">
        <v>2627</v>
      </c>
      <c r="F227" s="429" t="s">
        <v>2628</v>
      </c>
      <c r="G227" s="420" t="s">
        <v>2629</v>
      </c>
      <c r="H227" s="1009" t="s">
        <v>2630</v>
      </c>
      <c r="I227" s="414" t="s">
        <v>2631</v>
      </c>
      <c r="J227" s="134">
        <v>107.98</v>
      </c>
      <c r="K227" s="134">
        <v>107.98</v>
      </c>
      <c r="L227" s="134">
        <v>5649</v>
      </c>
      <c r="M227" s="436">
        <v>609979</v>
      </c>
      <c r="N227" s="437">
        <v>5570.89</v>
      </c>
      <c r="O227" s="445">
        <v>559613.76</v>
      </c>
      <c r="P227" s="446" t="s">
        <v>2632</v>
      </c>
      <c r="Q227" s="448">
        <v>45564</v>
      </c>
      <c r="R227" s="359"/>
      <c r="S227" s="362"/>
      <c r="T227" s="362"/>
      <c r="U227" s="362" t="s">
        <v>496</v>
      </c>
      <c r="V227" s="359">
        <v>20000</v>
      </c>
      <c r="W227" s="362" t="s">
        <v>2633</v>
      </c>
      <c r="X227" s="359">
        <v>109979</v>
      </c>
      <c r="Y227" s="362" t="s">
        <v>2634</v>
      </c>
      <c r="Z227" s="359">
        <v>480000</v>
      </c>
      <c r="AA227" s="134" t="s">
        <v>1077</v>
      </c>
      <c r="AB227" s="359"/>
      <c r="AH227" s="359">
        <f t="shared" si="32"/>
        <v>609979</v>
      </c>
      <c r="AK227" s="364">
        <f t="shared" si="31"/>
        <v>0</v>
      </c>
      <c r="AL227" s="429" t="s">
        <v>2635</v>
      </c>
      <c r="AM227" s="429"/>
      <c r="AN227" s="447"/>
      <c r="AO227" s="447"/>
      <c r="AP227" s="447"/>
      <c r="AQ227" s="365">
        <f>0.5%+0.05%+0.12%</f>
        <v>0.0067</v>
      </c>
      <c r="AR227" s="419">
        <f t="shared" si="30"/>
        <v>609979</v>
      </c>
      <c r="AS227" s="359"/>
      <c r="AT227" s="359"/>
      <c r="AU227" s="359"/>
      <c r="AV227" s="359"/>
      <c r="AW227" s="359"/>
      <c r="AX227" s="359"/>
      <c r="AY227" s="218"/>
      <c r="BA227" s="359"/>
      <c r="BB227" s="359"/>
      <c r="BC227" s="359">
        <v>129979</v>
      </c>
      <c r="BD227" s="359">
        <v>480000</v>
      </c>
      <c r="BE227" s="359"/>
      <c r="BZ227" s="134" t="s">
        <v>376</v>
      </c>
      <c r="CA227" s="134" t="s">
        <v>387</v>
      </c>
      <c r="CB227" s="134" t="s">
        <v>377</v>
      </c>
      <c r="CE227" s="149"/>
    </row>
    <row r="228" s="134" customFormat="1" customHeight="1" spans="1:83">
      <c r="A228" s="134">
        <v>161</v>
      </c>
      <c r="C228" s="138">
        <v>45117</v>
      </c>
      <c r="D228" s="496" t="s">
        <v>2636</v>
      </c>
      <c r="F228" s="429" t="s">
        <v>2637</v>
      </c>
      <c r="G228" s="420" t="s">
        <v>2638</v>
      </c>
      <c r="H228" s="1009" t="s">
        <v>2639</v>
      </c>
      <c r="I228" s="414" t="s">
        <v>2640</v>
      </c>
      <c r="J228" s="134">
        <v>107.62</v>
      </c>
      <c r="K228" s="134">
        <v>107.62</v>
      </c>
      <c r="L228" s="134">
        <v>5723.84</v>
      </c>
      <c r="M228" s="436">
        <v>616000</v>
      </c>
      <c r="N228" s="437">
        <v>5643.32</v>
      </c>
      <c r="O228" s="445">
        <v>565137.61</v>
      </c>
      <c r="P228" s="446" t="s">
        <v>2641</v>
      </c>
      <c r="Q228" s="448">
        <v>45564</v>
      </c>
      <c r="R228" s="359"/>
      <c r="S228" s="362"/>
      <c r="T228" s="362"/>
      <c r="U228" s="362" t="s">
        <v>677</v>
      </c>
      <c r="V228" s="359">
        <v>10000</v>
      </c>
      <c r="W228" s="362" t="s">
        <v>2642</v>
      </c>
      <c r="X228" s="359">
        <f>206000+80000</f>
        <v>286000</v>
      </c>
      <c r="Y228" s="362" t="s">
        <v>1175</v>
      </c>
      <c r="Z228" s="359">
        <v>320000</v>
      </c>
      <c r="AA228" s="362" t="s">
        <v>2643</v>
      </c>
      <c r="AB228" s="359"/>
      <c r="AH228" s="359">
        <f t="shared" si="32"/>
        <v>616000</v>
      </c>
      <c r="AK228" s="364">
        <f t="shared" si="31"/>
        <v>0</v>
      </c>
      <c r="AL228" s="429" t="s">
        <v>2644</v>
      </c>
      <c r="AM228" s="429"/>
      <c r="AN228" s="447"/>
      <c r="AO228" s="447"/>
      <c r="AP228" s="447"/>
      <c r="AQ228" s="365">
        <f>0.4%+0.02%+0.08%</f>
        <v>0.005</v>
      </c>
      <c r="AR228" s="419">
        <f t="shared" si="30"/>
        <v>616000</v>
      </c>
      <c r="AS228" s="359"/>
      <c r="AT228" s="359"/>
      <c r="AU228" s="359"/>
      <c r="AV228" s="359"/>
      <c r="AW228" s="359"/>
      <c r="AX228" s="359"/>
      <c r="AY228" s="218"/>
      <c r="AZ228" s="128"/>
      <c r="BA228" s="359">
        <v>296000</v>
      </c>
      <c r="BB228" s="359">
        <v>320000</v>
      </c>
      <c r="BC228" s="359"/>
      <c r="BD228" s="359"/>
      <c r="BE228" s="359"/>
      <c r="BZ228" s="134" t="s">
        <v>376</v>
      </c>
      <c r="CA228" s="134" t="s">
        <v>387</v>
      </c>
      <c r="CB228" s="134" t="s">
        <v>377</v>
      </c>
      <c r="CE228" s="149"/>
    </row>
    <row r="229" s="134" customFormat="1" customHeight="1" spans="1:83">
      <c r="A229" s="134">
        <v>162</v>
      </c>
      <c r="C229" s="138">
        <v>45137</v>
      </c>
      <c r="D229" s="496" t="s">
        <v>2645</v>
      </c>
      <c r="F229" s="1007" t="s">
        <v>2646</v>
      </c>
      <c r="G229" s="420" t="s">
        <v>2647</v>
      </c>
      <c r="H229" s="420"/>
      <c r="I229" s="423" t="s">
        <v>2648</v>
      </c>
      <c r="J229" s="134">
        <v>107.98</v>
      </c>
      <c r="K229" s="134">
        <v>107.98</v>
      </c>
      <c r="L229" s="134">
        <v>5660</v>
      </c>
      <c r="M229" s="436">
        <v>611167</v>
      </c>
      <c r="N229" s="437">
        <v>5631.9</v>
      </c>
      <c r="O229" s="445">
        <v>560703.67</v>
      </c>
      <c r="P229" s="446" t="s">
        <v>2649</v>
      </c>
      <c r="Q229" s="448">
        <v>45564</v>
      </c>
      <c r="R229" s="359"/>
      <c r="S229" s="471"/>
      <c r="T229" s="471"/>
      <c r="U229" s="471" t="s">
        <v>662</v>
      </c>
      <c r="V229" s="359">
        <v>251167</v>
      </c>
      <c r="W229" s="471" t="s">
        <v>1999</v>
      </c>
      <c r="X229" s="359">
        <v>10000</v>
      </c>
      <c r="Y229" s="362" t="s">
        <v>2185</v>
      </c>
      <c r="Z229" s="359">
        <v>350000</v>
      </c>
      <c r="AA229" s="471" t="s">
        <v>965</v>
      </c>
      <c r="AB229" s="359"/>
      <c r="AH229" s="359">
        <f t="shared" si="32"/>
        <v>611167</v>
      </c>
      <c r="AK229" s="364">
        <f t="shared" si="31"/>
        <v>0</v>
      </c>
      <c r="AL229" s="429" t="s">
        <v>2650</v>
      </c>
      <c r="AM229" s="429"/>
      <c r="AN229" s="447"/>
      <c r="AO229" s="447"/>
      <c r="AP229" s="447"/>
      <c r="AQ229" s="365">
        <f>0.7%+0.14%</f>
        <v>0.0084</v>
      </c>
      <c r="AR229" s="419">
        <f t="shared" si="30"/>
        <v>611167</v>
      </c>
      <c r="AS229" s="359"/>
      <c r="AT229" s="359"/>
      <c r="AU229" s="359"/>
      <c r="AV229" s="359"/>
      <c r="AW229" s="359"/>
      <c r="AX229" s="359"/>
      <c r="AY229" s="218"/>
      <c r="BA229" s="359">
        <v>251167</v>
      </c>
      <c r="BB229" s="359"/>
      <c r="BC229" s="359"/>
      <c r="BD229" s="359">
        <v>360000</v>
      </c>
      <c r="BE229" s="359"/>
      <c r="BZ229" s="134" t="s">
        <v>376</v>
      </c>
      <c r="CA229" s="134" t="s">
        <v>387</v>
      </c>
      <c r="CB229" s="134" t="s">
        <v>377</v>
      </c>
      <c r="CE229" s="149"/>
    </row>
    <row r="230" s="134" customFormat="1" customHeight="1" spans="1:83">
      <c r="A230" s="134">
        <v>163</v>
      </c>
      <c r="C230" s="138">
        <v>45047</v>
      </c>
      <c r="D230" s="496" t="s">
        <v>2651</v>
      </c>
      <c r="F230" s="429" t="s">
        <v>2652</v>
      </c>
      <c r="G230" s="420" t="s">
        <v>2653</v>
      </c>
      <c r="H230" s="1009" t="s">
        <v>2654</v>
      </c>
      <c r="I230" s="414" t="s">
        <v>2655</v>
      </c>
      <c r="J230" s="134">
        <v>107.62</v>
      </c>
      <c r="K230" s="134">
        <v>107.62</v>
      </c>
      <c r="L230" s="134">
        <v>5482.25</v>
      </c>
      <c r="M230" s="436">
        <v>590000</v>
      </c>
      <c r="N230" s="437"/>
      <c r="O230" s="445">
        <v>541284.4</v>
      </c>
      <c r="P230" s="446" t="s">
        <v>2656</v>
      </c>
      <c r="Q230" s="448">
        <v>45564</v>
      </c>
      <c r="R230" s="359"/>
      <c r="S230" s="362"/>
      <c r="T230" s="362"/>
      <c r="U230" s="362" t="s">
        <v>410</v>
      </c>
      <c r="V230" s="359">
        <v>20000</v>
      </c>
      <c r="W230" s="511" t="s">
        <v>2657</v>
      </c>
      <c r="X230" s="359">
        <v>170000</v>
      </c>
      <c r="Y230" s="443" t="s">
        <v>964</v>
      </c>
      <c r="Z230" s="359">
        <v>400000</v>
      </c>
      <c r="AA230" s="362" t="s">
        <v>928</v>
      </c>
      <c r="AB230" s="359"/>
      <c r="AH230" s="359">
        <f t="shared" si="32"/>
        <v>590000</v>
      </c>
      <c r="AK230" s="364">
        <f t="shared" si="31"/>
        <v>0</v>
      </c>
      <c r="AL230" s="429" t="s">
        <v>2658</v>
      </c>
      <c r="AM230" s="429"/>
      <c r="AN230" s="447"/>
      <c r="AO230" s="447"/>
      <c r="AP230" s="447"/>
      <c r="AQ230" s="365">
        <f>0.6%+0.04%+0.1%</f>
        <v>0.0074</v>
      </c>
      <c r="AR230" s="419">
        <f t="shared" si="30"/>
        <v>590000</v>
      </c>
      <c r="AS230" s="359"/>
      <c r="AT230" s="359"/>
      <c r="AU230" s="359"/>
      <c r="AV230" s="359"/>
      <c r="AW230" s="359"/>
      <c r="AX230" s="359"/>
      <c r="AY230" s="218">
        <v>190000</v>
      </c>
      <c r="BA230" s="359">
        <v>400000</v>
      </c>
      <c r="BB230" s="359"/>
      <c r="BC230" s="359"/>
      <c r="BD230" s="359"/>
      <c r="BE230" s="359"/>
      <c r="BZ230" s="134" t="s">
        <v>376</v>
      </c>
      <c r="CA230" s="134" t="s">
        <v>387</v>
      </c>
      <c r="CB230" s="134" t="s">
        <v>377</v>
      </c>
      <c r="CE230" s="149"/>
    </row>
    <row r="231" s="134" customFormat="1" customHeight="1" spans="1:83">
      <c r="A231" s="134">
        <v>164</v>
      </c>
      <c r="C231" s="138">
        <v>45133</v>
      </c>
      <c r="D231" s="429" t="s">
        <v>2659</v>
      </c>
      <c r="F231" s="429" t="s">
        <v>2660</v>
      </c>
      <c r="G231" s="420" t="s">
        <v>2661</v>
      </c>
      <c r="H231" s="1009" t="s">
        <v>2662</v>
      </c>
      <c r="I231" s="423" t="s">
        <v>2663</v>
      </c>
      <c r="J231" s="134">
        <v>107.98</v>
      </c>
      <c r="K231" s="134">
        <v>107.98</v>
      </c>
      <c r="L231" s="134">
        <v>5800</v>
      </c>
      <c r="M231" s="436">
        <v>626284</v>
      </c>
      <c r="N231" s="437">
        <v>5738.57</v>
      </c>
      <c r="O231" s="445">
        <v>574572.48</v>
      </c>
      <c r="P231" s="446" t="s">
        <v>2664</v>
      </c>
      <c r="Q231" s="448">
        <v>45564</v>
      </c>
      <c r="R231" s="359"/>
      <c r="S231" s="362"/>
      <c r="T231" s="362"/>
      <c r="U231" s="362" t="s">
        <v>677</v>
      </c>
      <c r="V231" s="359">
        <v>20000</v>
      </c>
      <c r="W231" s="362" t="s">
        <v>1809</v>
      </c>
      <c r="X231" s="359">
        <v>176284</v>
      </c>
      <c r="Y231" s="443" t="s">
        <v>928</v>
      </c>
      <c r="Z231" s="359">
        <v>430000</v>
      </c>
      <c r="AA231" s="362" t="s">
        <v>2103</v>
      </c>
      <c r="AB231" s="359"/>
      <c r="AH231" s="359">
        <f t="shared" si="32"/>
        <v>626284</v>
      </c>
      <c r="AK231" s="364">
        <f t="shared" si="31"/>
        <v>0</v>
      </c>
      <c r="AL231" s="429" t="s">
        <v>2665</v>
      </c>
      <c r="AM231" s="429"/>
      <c r="AN231" s="447"/>
      <c r="AO231" s="447"/>
      <c r="AP231" s="447"/>
      <c r="AQ231" s="365">
        <f>0.7%+0.05%+0.14%</f>
        <v>0.0089</v>
      </c>
      <c r="AR231" s="419">
        <f t="shared" si="30"/>
        <v>626284</v>
      </c>
      <c r="AS231" s="359"/>
      <c r="AT231" s="359">
        <v>100</v>
      </c>
      <c r="AU231" s="359"/>
      <c r="AV231" s="359"/>
      <c r="AW231" s="359"/>
      <c r="AX231" s="359"/>
      <c r="AY231" s="218"/>
      <c r="BA231" s="359">
        <v>196284</v>
      </c>
      <c r="BB231" s="359"/>
      <c r="BC231" s="359">
        <v>430000</v>
      </c>
      <c r="BD231" s="359"/>
      <c r="BE231" s="359"/>
      <c r="BZ231" s="134" t="s">
        <v>376</v>
      </c>
      <c r="CA231" s="134" t="s">
        <v>387</v>
      </c>
      <c r="CB231" s="134" t="s">
        <v>377</v>
      </c>
      <c r="CE231" s="149"/>
    </row>
    <row r="232" s="134" customFormat="1" customHeight="1" spans="1:83">
      <c r="A232" s="134">
        <v>165</v>
      </c>
      <c r="C232" s="138">
        <v>45027</v>
      </c>
      <c r="D232" s="134">
        <v>20230003244</v>
      </c>
      <c r="F232" s="429" t="s">
        <v>2666</v>
      </c>
      <c r="G232" s="420" t="s">
        <v>2667</v>
      </c>
      <c r="H232" s="1009" t="s">
        <v>2668</v>
      </c>
      <c r="I232" s="414" t="s">
        <v>2669</v>
      </c>
      <c r="J232" s="134">
        <v>107.62</v>
      </c>
      <c r="K232" s="134">
        <v>107.62</v>
      </c>
      <c r="L232" s="134">
        <v>5566.5</v>
      </c>
      <c r="M232" s="358">
        <v>599067</v>
      </c>
      <c r="N232" s="359"/>
      <c r="O232" s="145">
        <v>549602.75</v>
      </c>
      <c r="P232" s="1014" t="s">
        <v>2670</v>
      </c>
      <c r="Q232" s="448">
        <v>45564</v>
      </c>
      <c r="R232" s="359"/>
      <c r="S232" s="362"/>
      <c r="T232" s="362" t="s">
        <v>2667</v>
      </c>
      <c r="U232" s="362" t="s">
        <v>486</v>
      </c>
      <c r="V232" s="359">
        <v>20000</v>
      </c>
      <c r="W232" s="362" t="s">
        <v>927</v>
      </c>
      <c r="X232" s="359">
        <f>35000+184067</f>
        <v>219067</v>
      </c>
      <c r="Y232" s="443" t="s">
        <v>2043</v>
      </c>
      <c r="Z232" s="359">
        <v>360000</v>
      </c>
      <c r="AA232" s="138" t="s">
        <v>1527</v>
      </c>
      <c r="AB232" s="359"/>
      <c r="AH232" s="359">
        <f t="shared" si="32"/>
        <v>599067</v>
      </c>
      <c r="AK232" s="364">
        <f t="shared" si="31"/>
        <v>0</v>
      </c>
      <c r="AL232" s="429" t="s">
        <v>2671</v>
      </c>
      <c r="AM232" s="429"/>
      <c r="AN232" s="441"/>
      <c r="AO232" s="441"/>
      <c r="AP232" s="441"/>
      <c r="AQ232" s="365">
        <f>0.6%+0.04%+0.1%</f>
        <v>0.0074</v>
      </c>
      <c r="AR232" s="419">
        <f t="shared" si="30"/>
        <v>599067</v>
      </c>
      <c r="AS232" s="359"/>
      <c r="AT232" s="359"/>
      <c r="AU232" s="359"/>
      <c r="AV232" s="359"/>
      <c r="AW232" s="359"/>
      <c r="AX232" s="359">
        <v>599067</v>
      </c>
      <c r="AY232" s="218"/>
      <c r="BA232" s="359"/>
      <c r="BB232" s="359"/>
      <c r="BC232" s="359"/>
      <c r="BD232" s="359"/>
      <c r="BE232" s="359"/>
      <c r="BZ232" s="134" t="s">
        <v>376</v>
      </c>
      <c r="CA232" s="134" t="s">
        <v>387</v>
      </c>
      <c r="CB232" s="134" t="s">
        <v>377</v>
      </c>
      <c r="CE232" s="149"/>
    </row>
    <row r="233" s="134" customFormat="1" customHeight="1" spans="1:83">
      <c r="A233" s="134">
        <v>166</v>
      </c>
      <c r="C233" s="138">
        <v>45028</v>
      </c>
      <c r="D233" s="134">
        <v>20230003314</v>
      </c>
      <c r="F233" s="429" t="s">
        <v>2672</v>
      </c>
      <c r="G233" s="440" t="s">
        <v>2673</v>
      </c>
      <c r="H233" s="440"/>
      <c r="I233" s="423" t="s">
        <v>2674</v>
      </c>
      <c r="J233" s="134">
        <v>107.98</v>
      </c>
      <c r="K233" s="134">
        <v>107.98</v>
      </c>
      <c r="L233" s="134">
        <v>5547.32</v>
      </c>
      <c r="M233" s="358">
        <v>599000</v>
      </c>
      <c r="N233" s="359"/>
      <c r="O233" s="145">
        <v>549541.28</v>
      </c>
      <c r="P233" s="415" t="s">
        <v>2675</v>
      </c>
      <c r="Q233" s="448">
        <v>45564</v>
      </c>
      <c r="R233" s="359"/>
      <c r="S233" s="362"/>
      <c r="T233" s="362"/>
      <c r="U233" s="362" t="s">
        <v>383</v>
      </c>
      <c r="V233" s="359">
        <v>9000</v>
      </c>
      <c r="W233" s="138" t="s">
        <v>1574</v>
      </c>
      <c r="X233" s="359">
        <v>150000</v>
      </c>
      <c r="Y233" s="443" t="s">
        <v>2375</v>
      </c>
      <c r="Z233" s="359">
        <v>440000</v>
      </c>
      <c r="AA233" s="138" t="s">
        <v>1215</v>
      </c>
      <c r="AB233" s="359"/>
      <c r="AH233" s="359">
        <f t="shared" si="32"/>
        <v>599000</v>
      </c>
      <c r="AK233" s="364">
        <f t="shared" si="31"/>
        <v>0</v>
      </c>
      <c r="AL233" s="429" t="s">
        <v>2676</v>
      </c>
      <c r="AM233" s="429"/>
      <c r="AN233" s="441"/>
      <c r="AO233" s="441"/>
      <c r="AP233" s="441"/>
      <c r="AQ233" s="365">
        <f>0.6%+0.1%</f>
        <v>0.007</v>
      </c>
      <c r="AR233" s="419">
        <f t="shared" si="30"/>
        <v>599000</v>
      </c>
      <c r="AS233" s="359"/>
      <c r="AT233" s="359"/>
      <c r="AU233" s="359"/>
      <c r="AV233" s="359"/>
      <c r="AW233" s="359"/>
      <c r="AX233" s="359"/>
      <c r="AY233" s="218">
        <v>159000</v>
      </c>
      <c r="BA233" s="359">
        <v>440000</v>
      </c>
      <c r="BB233" s="359"/>
      <c r="BC233" s="359"/>
      <c r="BD233" s="359"/>
      <c r="BE233" s="359"/>
      <c r="BZ233" s="134" t="s">
        <v>376</v>
      </c>
      <c r="CA233" s="134" t="s">
        <v>387</v>
      </c>
      <c r="CB233" s="134" t="s">
        <v>377</v>
      </c>
      <c r="CE233" s="149"/>
    </row>
    <row r="234" s="134" customFormat="1" customHeight="1" spans="1:83">
      <c r="A234" s="134">
        <v>167</v>
      </c>
      <c r="C234" s="138">
        <v>45096</v>
      </c>
      <c r="D234" s="496" t="s">
        <v>2677</v>
      </c>
      <c r="F234" s="429" t="s">
        <v>2678</v>
      </c>
      <c r="G234" s="420" t="s">
        <v>2679</v>
      </c>
      <c r="H234" s="1009" t="s">
        <v>2680</v>
      </c>
      <c r="I234" s="414" t="s">
        <v>2681</v>
      </c>
      <c r="J234" s="134">
        <v>107.62</v>
      </c>
      <c r="K234" s="134">
        <v>107.62</v>
      </c>
      <c r="L234" s="134">
        <v>5863.22</v>
      </c>
      <c r="M234" s="436">
        <v>631000</v>
      </c>
      <c r="N234" s="437">
        <v>5843</v>
      </c>
      <c r="O234" s="445">
        <v>578899.08</v>
      </c>
      <c r="P234" s="446" t="s">
        <v>2682</v>
      </c>
      <c r="Q234" s="448">
        <v>45564</v>
      </c>
      <c r="R234" s="359"/>
      <c r="S234" s="362"/>
      <c r="T234" s="362"/>
      <c r="U234" s="362" t="s">
        <v>2683</v>
      </c>
      <c r="V234" s="359">
        <v>20000</v>
      </c>
      <c r="W234" s="362" t="s">
        <v>1434</v>
      </c>
      <c r="X234" s="359">
        <v>21000</v>
      </c>
      <c r="Y234" s="138" t="s">
        <v>1094</v>
      </c>
      <c r="Z234" s="359">
        <v>90000</v>
      </c>
      <c r="AA234" s="362" t="s">
        <v>1145</v>
      </c>
      <c r="AB234" s="359">
        <v>500000</v>
      </c>
      <c r="AC234" s="362" t="s">
        <v>1127</v>
      </c>
      <c r="AD234" s="138"/>
      <c r="AE234" s="138"/>
      <c r="AF234" s="138"/>
      <c r="AG234" s="138"/>
      <c r="AH234" s="359">
        <f t="shared" si="32"/>
        <v>631000</v>
      </c>
      <c r="AK234" s="364">
        <f t="shared" si="31"/>
        <v>0</v>
      </c>
      <c r="AL234" s="429" t="s">
        <v>2684</v>
      </c>
      <c r="AM234" s="429"/>
      <c r="AN234" s="447"/>
      <c r="AO234" s="447"/>
      <c r="AP234" s="447"/>
      <c r="AQ234" s="365">
        <f>0.4%+0.08%</f>
        <v>0.0048</v>
      </c>
      <c r="AR234" s="419">
        <f t="shared" si="30"/>
        <v>631000</v>
      </c>
      <c r="AS234" s="359"/>
      <c r="AT234" s="359"/>
      <c r="AU234" s="359"/>
      <c r="AV234" s="359"/>
      <c r="AW234" s="359"/>
      <c r="AX234" s="359"/>
      <c r="AY234" s="218"/>
      <c r="AZ234" s="128"/>
      <c r="BA234" s="359">
        <v>131000</v>
      </c>
      <c r="BB234" s="359">
        <v>500000</v>
      </c>
      <c r="BC234" s="359"/>
      <c r="BD234" s="359"/>
      <c r="BE234" s="359"/>
      <c r="BZ234" s="134" t="s">
        <v>376</v>
      </c>
      <c r="CA234" s="134" t="s">
        <v>387</v>
      </c>
      <c r="CB234" s="134" t="s">
        <v>377</v>
      </c>
      <c r="CE234" s="149"/>
    </row>
    <row r="235" s="134" customFormat="1" customHeight="1" spans="1:83">
      <c r="A235" s="134">
        <v>168</v>
      </c>
      <c r="C235" s="138">
        <v>45115</v>
      </c>
      <c r="D235" s="134">
        <v>20230005717</v>
      </c>
      <c r="F235" s="429" t="s">
        <v>2685</v>
      </c>
      <c r="G235" s="420" t="s">
        <v>2686</v>
      </c>
      <c r="H235" s="1009" t="s">
        <v>2687</v>
      </c>
      <c r="I235" s="423" t="s">
        <v>2688</v>
      </c>
      <c r="J235" s="134">
        <v>107.98</v>
      </c>
      <c r="K235" s="134">
        <v>107.98</v>
      </c>
      <c r="L235" s="134">
        <v>5881.59</v>
      </c>
      <c r="M235" s="358">
        <v>635094</v>
      </c>
      <c r="N235" s="359">
        <v>5831.59</v>
      </c>
      <c r="O235" s="145">
        <v>582655.05</v>
      </c>
      <c r="P235" s="415" t="s">
        <v>2689</v>
      </c>
      <c r="Q235" s="448">
        <v>45564</v>
      </c>
      <c r="R235" s="359"/>
      <c r="S235" s="362"/>
      <c r="T235" s="362"/>
      <c r="U235" s="362" t="s">
        <v>524</v>
      </c>
      <c r="V235" s="359">
        <f>20000+50000+65094</f>
        <v>135094</v>
      </c>
      <c r="W235" s="362" t="s">
        <v>976</v>
      </c>
      <c r="X235" s="359">
        <v>500000</v>
      </c>
      <c r="Y235" s="362" t="s">
        <v>562</v>
      </c>
      <c r="Z235" s="359"/>
      <c r="AA235" s="138"/>
      <c r="AB235" s="359"/>
      <c r="AH235" s="359">
        <f t="shared" si="32"/>
        <v>635094</v>
      </c>
      <c r="AK235" s="364">
        <f t="shared" si="31"/>
        <v>0</v>
      </c>
      <c r="AL235" s="429" t="s">
        <v>2690</v>
      </c>
      <c r="AM235" s="429"/>
      <c r="AN235" s="441"/>
      <c r="AO235" s="441"/>
      <c r="AP235" s="441"/>
      <c r="AQ235" s="365">
        <f>0.5%+0.04%+0.14%</f>
        <v>0.0068</v>
      </c>
      <c r="AR235" s="419">
        <f t="shared" si="30"/>
        <v>635094</v>
      </c>
      <c r="AS235" s="359"/>
      <c r="AT235" s="359"/>
      <c r="AU235" s="359"/>
      <c r="AV235" s="359"/>
      <c r="AW235" s="359"/>
      <c r="AX235" s="359"/>
      <c r="AY235" s="218"/>
      <c r="BA235" s="359">
        <v>135094</v>
      </c>
      <c r="BB235" s="359">
        <v>500000</v>
      </c>
      <c r="BC235" s="359"/>
      <c r="BD235" s="359"/>
      <c r="BE235" s="359"/>
      <c r="BZ235" s="134" t="s">
        <v>376</v>
      </c>
      <c r="CA235" s="134" t="s">
        <v>387</v>
      </c>
      <c r="CB235" s="134" t="s">
        <v>377</v>
      </c>
      <c r="CE235" s="149"/>
    </row>
    <row r="236" s="134" customFormat="1" customHeight="1" spans="1:83">
      <c r="A236" s="134">
        <v>169</v>
      </c>
      <c r="C236" s="138">
        <v>45077</v>
      </c>
      <c r="D236" s="134">
        <v>20230004619</v>
      </c>
      <c r="F236" s="429" t="s">
        <v>2691</v>
      </c>
      <c r="G236" s="134" t="s">
        <v>2692</v>
      </c>
      <c r="H236" s="1006" t="s">
        <v>2693</v>
      </c>
      <c r="I236" s="414" t="s">
        <v>2694</v>
      </c>
      <c r="J236" s="134">
        <v>107.62</v>
      </c>
      <c r="K236" s="134">
        <v>107.62</v>
      </c>
      <c r="L236" s="134">
        <v>5918.84</v>
      </c>
      <c r="M236" s="358">
        <v>636986</v>
      </c>
      <c r="N236" s="359">
        <v>5868.84</v>
      </c>
      <c r="O236" s="145">
        <v>584390.83</v>
      </c>
      <c r="P236" s="415" t="s">
        <v>2695</v>
      </c>
      <c r="Q236" s="448">
        <v>45585</v>
      </c>
      <c r="R236" s="359"/>
      <c r="S236" s="362"/>
      <c r="T236" s="362"/>
      <c r="U236" s="362" t="s">
        <v>410</v>
      </c>
      <c r="V236" s="359">
        <v>20000</v>
      </c>
      <c r="W236" s="362" t="s">
        <v>1507</v>
      </c>
      <c r="X236" s="359">
        <v>216986</v>
      </c>
      <c r="Y236" s="438" t="s">
        <v>457</v>
      </c>
      <c r="Z236" s="359">
        <v>170000</v>
      </c>
      <c r="AA236" s="134" t="s">
        <v>2696</v>
      </c>
      <c r="AB236" s="359">
        <v>230000</v>
      </c>
      <c r="AC236" s="362" t="s">
        <v>1742</v>
      </c>
      <c r="AH236" s="359">
        <f t="shared" si="32"/>
        <v>636986</v>
      </c>
      <c r="AK236" s="364">
        <f t="shared" si="31"/>
        <v>0</v>
      </c>
      <c r="AL236" s="429" t="s">
        <v>2697</v>
      </c>
      <c r="AM236" s="429"/>
      <c r="AQ236" s="365">
        <f>0.4%+0.05%+0.14%</f>
        <v>0.0059</v>
      </c>
      <c r="AR236" s="419">
        <f t="shared" si="30"/>
        <v>636986</v>
      </c>
      <c r="AS236" s="359"/>
      <c r="AT236" s="359"/>
      <c r="AU236" s="359"/>
      <c r="AV236" s="359"/>
      <c r="AW236" s="359"/>
      <c r="AX236" s="359"/>
      <c r="AY236" s="218"/>
      <c r="AZ236" s="128">
        <v>406986</v>
      </c>
      <c r="BA236" s="359"/>
      <c r="BB236" s="359">
        <v>230000</v>
      </c>
      <c r="BC236" s="359"/>
      <c r="BD236" s="359"/>
      <c r="BE236" s="359"/>
      <c r="BZ236" s="134" t="s">
        <v>376</v>
      </c>
      <c r="CA236" s="134" t="s">
        <v>387</v>
      </c>
      <c r="CB236" s="134" t="s">
        <v>377</v>
      </c>
      <c r="CE236" s="149"/>
    </row>
    <row r="237" s="134" customFormat="1" customHeight="1" spans="1:83">
      <c r="A237" s="134">
        <v>170</v>
      </c>
      <c r="C237" s="512">
        <v>45078</v>
      </c>
      <c r="D237" s="134">
        <v>20230005387</v>
      </c>
      <c r="F237" s="429" t="s">
        <v>2698</v>
      </c>
      <c r="G237" s="134" t="s">
        <v>2699</v>
      </c>
      <c r="I237" s="423" t="s">
        <v>2700</v>
      </c>
      <c r="J237" s="134">
        <v>107.98</v>
      </c>
      <c r="K237" s="134">
        <v>107.98</v>
      </c>
      <c r="L237" s="134">
        <f>M237/K237</f>
        <v>5907.41804037785</v>
      </c>
      <c r="M237" s="358">
        <v>637883</v>
      </c>
      <c r="N237" s="359">
        <v>5857.42</v>
      </c>
      <c r="O237" s="145">
        <v>585213.76</v>
      </c>
      <c r="P237" s="415" t="s">
        <v>2701</v>
      </c>
      <c r="Q237" s="448">
        <v>45585</v>
      </c>
      <c r="R237" s="359"/>
      <c r="S237" s="362"/>
      <c r="T237" s="362"/>
      <c r="U237" s="362"/>
      <c r="V237" s="359">
        <v>97883</v>
      </c>
      <c r="W237" s="362" t="s">
        <v>2702</v>
      </c>
      <c r="X237" s="359">
        <v>30000</v>
      </c>
      <c r="Y237" s="362" t="s">
        <v>1175</v>
      </c>
      <c r="Z237" s="359">
        <v>510000</v>
      </c>
      <c r="AA237" s="362" t="s">
        <v>1127</v>
      </c>
      <c r="AB237" s="359"/>
      <c r="AH237" s="359">
        <f t="shared" si="32"/>
        <v>637883</v>
      </c>
      <c r="AK237" s="364">
        <f t="shared" si="31"/>
        <v>0</v>
      </c>
      <c r="AL237" s="429"/>
      <c r="AM237" s="429"/>
      <c r="AQ237" s="365">
        <f>0.4%+0.02%+0.08%</f>
        <v>0.005</v>
      </c>
      <c r="AR237" s="419">
        <f t="shared" si="30"/>
        <v>637883</v>
      </c>
      <c r="AS237" s="359"/>
      <c r="AT237" s="359"/>
      <c r="AU237" s="359"/>
      <c r="AV237" s="359"/>
      <c r="AW237" s="359"/>
      <c r="AX237" s="359"/>
      <c r="AY237" s="218"/>
      <c r="AZ237" s="128"/>
      <c r="BA237" s="359">
        <v>127883</v>
      </c>
      <c r="BB237" s="359">
        <v>510000</v>
      </c>
      <c r="BC237" s="359"/>
      <c r="BD237" s="359"/>
      <c r="BE237" s="359"/>
      <c r="BZ237" s="134" t="s">
        <v>376</v>
      </c>
      <c r="CA237" s="134" t="s">
        <v>387</v>
      </c>
      <c r="CB237" s="134" t="s">
        <v>377</v>
      </c>
      <c r="CE237" s="149"/>
    </row>
    <row r="238" s="134" customFormat="1" customHeight="1" spans="1:83">
      <c r="A238" s="134">
        <v>171</v>
      </c>
      <c r="C238" s="138">
        <v>45069</v>
      </c>
      <c r="D238" s="134">
        <v>20230004337</v>
      </c>
      <c r="F238" s="1006" t="s">
        <v>2703</v>
      </c>
      <c r="G238" s="134" t="s">
        <v>2242</v>
      </c>
      <c r="I238" s="414" t="s">
        <v>2704</v>
      </c>
      <c r="J238" s="134">
        <v>107.62</v>
      </c>
      <c r="K238" s="134">
        <v>107.62</v>
      </c>
      <c r="L238" s="134">
        <v>5696</v>
      </c>
      <c r="M238" s="358">
        <v>613003</v>
      </c>
      <c r="N238" s="359">
        <v>5615.35</v>
      </c>
      <c r="O238" s="145">
        <v>562388.07</v>
      </c>
      <c r="P238" s="415" t="s">
        <v>2705</v>
      </c>
      <c r="Q238" s="448">
        <v>45585</v>
      </c>
      <c r="R238" s="359"/>
      <c r="S238" s="362"/>
      <c r="T238" s="362"/>
      <c r="U238" s="362" t="s">
        <v>2326</v>
      </c>
      <c r="V238" s="359">
        <v>20000</v>
      </c>
      <c r="W238" s="138" t="s">
        <v>964</v>
      </c>
      <c r="X238" s="359">
        <v>73003</v>
      </c>
      <c r="Y238" s="438" t="s">
        <v>2384</v>
      </c>
      <c r="Z238" s="359">
        <v>30000</v>
      </c>
      <c r="AA238" s="134" t="s">
        <v>1126</v>
      </c>
      <c r="AB238" s="359">
        <v>490000</v>
      </c>
      <c r="AC238" s="362" t="s">
        <v>2044</v>
      </c>
      <c r="AH238" s="359">
        <f t="shared" si="32"/>
        <v>613003</v>
      </c>
      <c r="AK238" s="364">
        <f t="shared" si="31"/>
        <v>0</v>
      </c>
      <c r="AL238" s="134">
        <v>17609969189</v>
      </c>
      <c r="AM238" s="429"/>
      <c r="AQ238" s="365">
        <f>0.6%+0.06%+0.14%</f>
        <v>0.008</v>
      </c>
      <c r="AR238" s="419">
        <f t="shared" si="30"/>
        <v>613003</v>
      </c>
      <c r="AS238" s="359"/>
      <c r="AT238" s="359"/>
      <c r="AU238" s="359"/>
      <c r="AV238" s="359"/>
      <c r="AW238" s="359"/>
      <c r="AX238" s="359"/>
      <c r="AY238" s="218"/>
      <c r="AZ238" s="128">
        <v>123003</v>
      </c>
      <c r="BA238" s="359">
        <v>490000</v>
      </c>
      <c r="BB238" s="359"/>
      <c r="BC238" s="359"/>
      <c r="BD238" s="359"/>
      <c r="BE238" s="359"/>
      <c r="BZ238" s="134" t="s">
        <v>376</v>
      </c>
      <c r="CA238" s="134" t="s">
        <v>387</v>
      </c>
      <c r="CB238" s="134" t="s">
        <v>377</v>
      </c>
      <c r="CE238" s="149"/>
    </row>
    <row r="239" s="134" customFormat="1" customHeight="1" spans="1:83">
      <c r="A239" s="134">
        <v>172</v>
      </c>
      <c r="C239" s="138">
        <v>45121</v>
      </c>
      <c r="D239" s="134">
        <v>20230005922</v>
      </c>
      <c r="F239" s="429" t="s">
        <v>2706</v>
      </c>
      <c r="G239" s="134" t="s">
        <v>2707</v>
      </c>
      <c r="H239" s="1006" t="s">
        <v>2708</v>
      </c>
      <c r="I239" s="423" t="s">
        <v>2709</v>
      </c>
      <c r="J239" s="134">
        <v>107.98</v>
      </c>
      <c r="K239" s="134">
        <v>107.98</v>
      </c>
      <c r="L239" s="134">
        <v>5910</v>
      </c>
      <c r="M239" s="358">
        <v>638162</v>
      </c>
      <c r="N239" s="359">
        <v>5903.93</v>
      </c>
      <c r="O239" s="145">
        <v>585469.72</v>
      </c>
      <c r="P239" s="415" t="s">
        <v>2710</v>
      </c>
      <c r="Q239" s="448">
        <v>45585</v>
      </c>
      <c r="R239" s="359"/>
      <c r="S239" s="362"/>
      <c r="T239" s="362"/>
      <c r="U239" s="362" t="s">
        <v>393</v>
      </c>
      <c r="V239" s="359">
        <f>20000+238162</f>
        <v>258162</v>
      </c>
      <c r="W239" s="362" t="s">
        <v>2711</v>
      </c>
      <c r="X239" s="359">
        <v>380000</v>
      </c>
      <c r="Y239" s="362" t="s">
        <v>2712</v>
      </c>
      <c r="Z239" s="359"/>
      <c r="AB239" s="359"/>
      <c r="AH239" s="359">
        <f t="shared" si="32"/>
        <v>638162</v>
      </c>
      <c r="AK239" s="364">
        <f t="shared" si="31"/>
        <v>0</v>
      </c>
      <c r="AL239" s="429" t="s">
        <v>2713</v>
      </c>
      <c r="AM239" s="429"/>
      <c r="AQ239" s="365">
        <f>0.5%+0.05%+0.14%</f>
        <v>0.0069</v>
      </c>
      <c r="AR239" s="419">
        <f t="shared" si="30"/>
        <v>638162</v>
      </c>
      <c r="AS239" s="359"/>
      <c r="AT239" s="359">
        <v>100</v>
      </c>
      <c r="AU239" s="359"/>
      <c r="AV239" s="359"/>
      <c r="AW239" s="359"/>
      <c r="AX239" s="359"/>
      <c r="AY239" s="218"/>
      <c r="BA239" s="359">
        <v>258162</v>
      </c>
      <c r="BB239" s="359">
        <v>380000</v>
      </c>
      <c r="BC239" s="359"/>
      <c r="BD239" s="359"/>
      <c r="BE239" s="359"/>
      <c r="BZ239" s="134" t="s">
        <v>376</v>
      </c>
      <c r="CA239" s="134" t="s">
        <v>387</v>
      </c>
      <c r="CB239" s="134" t="s">
        <v>377</v>
      </c>
      <c r="CE239" s="149"/>
    </row>
    <row r="240" s="134" customFormat="1" customHeight="1" spans="1:83">
      <c r="A240" s="134">
        <v>173</v>
      </c>
      <c r="C240" s="138">
        <v>45206</v>
      </c>
      <c r="D240" s="134">
        <v>20230008557</v>
      </c>
      <c r="F240" s="429" t="s">
        <v>2714</v>
      </c>
      <c r="G240" s="134" t="s">
        <v>2715</v>
      </c>
      <c r="H240" s="1006" t="s">
        <v>2716</v>
      </c>
      <c r="I240" s="414" t="s">
        <v>2717</v>
      </c>
      <c r="J240" s="134">
        <v>107.62</v>
      </c>
      <c r="K240" s="134">
        <v>107.62</v>
      </c>
      <c r="L240" s="134">
        <v>5946.85</v>
      </c>
      <c r="M240" s="358">
        <v>640000</v>
      </c>
      <c r="N240" s="359">
        <v>5936.02</v>
      </c>
      <c r="O240" s="145">
        <v>587155.96</v>
      </c>
      <c r="P240" s="415" t="s">
        <v>2718</v>
      </c>
      <c r="Q240" s="448">
        <v>45585</v>
      </c>
      <c r="R240" s="359"/>
      <c r="S240" s="362"/>
      <c r="T240" s="362"/>
      <c r="U240" s="362" t="s">
        <v>2278</v>
      </c>
      <c r="V240" s="359">
        <v>20000</v>
      </c>
      <c r="W240" s="362" t="s">
        <v>2719</v>
      </c>
      <c r="X240" s="359">
        <f>20000+2000</f>
        <v>22000</v>
      </c>
      <c r="Y240" s="362" t="s">
        <v>430</v>
      </c>
      <c r="Z240" s="359">
        <v>150000</v>
      </c>
      <c r="AA240" s="134" t="s">
        <v>430</v>
      </c>
      <c r="AB240" s="359">
        <v>110000</v>
      </c>
      <c r="AC240" s="134" t="s">
        <v>985</v>
      </c>
      <c r="AD240" s="134">
        <v>138000</v>
      </c>
      <c r="AE240" s="134" t="s">
        <v>1077</v>
      </c>
      <c r="AF240" s="359">
        <v>200000</v>
      </c>
      <c r="AG240" s="362" t="s">
        <v>471</v>
      </c>
      <c r="AH240" s="359">
        <f t="shared" si="32"/>
        <v>640000</v>
      </c>
      <c r="AK240" s="364">
        <f t="shared" si="31"/>
        <v>0</v>
      </c>
      <c r="AL240" s="429"/>
      <c r="AM240" s="429"/>
      <c r="AQ240" s="365">
        <f>0.7%+0.02%+0.12%</f>
        <v>0.0084</v>
      </c>
      <c r="AR240" s="419">
        <f t="shared" si="30"/>
        <v>640000</v>
      </c>
      <c r="AS240" s="359"/>
      <c r="AT240" s="359"/>
      <c r="AU240" s="359"/>
      <c r="AV240" s="359"/>
      <c r="AW240" s="359"/>
      <c r="AX240" s="359"/>
      <c r="AY240" s="218"/>
      <c r="BA240" s="359"/>
      <c r="BB240" s="359"/>
      <c r="BC240" s="359"/>
      <c r="BD240" s="359">
        <v>440000</v>
      </c>
      <c r="BE240" s="359"/>
      <c r="BF240" s="134">
        <v>200000</v>
      </c>
      <c r="BZ240" s="134" t="s">
        <v>376</v>
      </c>
      <c r="CA240" s="134" t="s">
        <v>387</v>
      </c>
      <c r="CB240" s="134" t="s">
        <v>377</v>
      </c>
      <c r="CE240" s="149"/>
    </row>
    <row r="241" s="134" customFormat="1" ht="50" customHeight="1" spans="1:88">
      <c r="A241" s="134">
        <v>174</v>
      </c>
      <c r="C241" s="138">
        <v>45225</v>
      </c>
      <c r="D241" s="134">
        <v>20230009213</v>
      </c>
      <c r="F241" s="429" t="s">
        <v>2720</v>
      </c>
      <c r="G241" s="143" t="s">
        <v>2721</v>
      </c>
      <c r="H241" s="1006" t="s">
        <v>2722</v>
      </c>
      <c r="I241" s="414" t="s">
        <v>2723</v>
      </c>
      <c r="J241" s="134">
        <v>107.98</v>
      </c>
      <c r="K241" s="134">
        <v>107.98</v>
      </c>
      <c r="L241" s="134">
        <v>5980</v>
      </c>
      <c r="M241" s="358">
        <v>645720</v>
      </c>
      <c r="N241" s="359">
        <v>5924.6</v>
      </c>
      <c r="O241" s="145">
        <v>592403.67</v>
      </c>
      <c r="P241" s="415" t="s">
        <v>2724</v>
      </c>
      <c r="Q241" s="448">
        <v>45585</v>
      </c>
      <c r="R241" s="359"/>
      <c r="S241" s="362"/>
      <c r="T241" s="362"/>
      <c r="U241" s="416" t="s">
        <v>2725</v>
      </c>
      <c r="V241" s="359">
        <f>5000-5000</f>
        <v>0</v>
      </c>
      <c r="W241" s="362"/>
      <c r="X241" s="359">
        <v>20000</v>
      </c>
      <c r="Y241" s="362" t="s">
        <v>430</v>
      </c>
      <c r="Z241" s="359">
        <v>89720</v>
      </c>
      <c r="AA241" s="134" t="s">
        <v>985</v>
      </c>
      <c r="AB241" s="359">
        <v>20000</v>
      </c>
      <c r="AC241" s="134" t="s">
        <v>1077</v>
      </c>
      <c r="AD241" s="359">
        <v>516000</v>
      </c>
      <c r="AE241" s="362" t="s">
        <v>740</v>
      </c>
      <c r="AH241" s="359">
        <f t="shared" si="32"/>
        <v>645720</v>
      </c>
      <c r="AK241" s="364">
        <f t="shared" si="31"/>
        <v>0</v>
      </c>
      <c r="AL241" s="429" t="s">
        <v>2726</v>
      </c>
      <c r="AM241" s="429"/>
      <c r="AQ241" s="513">
        <f>0.4%+0.08%</f>
        <v>0.0048</v>
      </c>
      <c r="AR241" s="419">
        <f t="shared" si="30"/>
        <v>645720</v>
      </c>
      <c r="AS241" s="359"/>
      <c r="AT241" s="359"/>
      <c r="AU241" s="359"/>
      <c r="AV241" s="359"/>
      <c r="AW241" s="359"/>
      <c r="AX241" s="359"/>
      <c r="AY241" s="218"/>
      <c r="BA241" s="359"/>
      <c r="BB241" s="359"/>
      <c r="BC241" s="359"/>
      <c r="BD241" s="359">
        <v>129720</v>
      </c>
      <c r="BE241" s="359"/>
      <c r="BG241" s="134">
        <v>516000</v>
      </c>
      <c r="BZ241" s="134" t="s">
        <v>376</v>
      </c>
      <c r="CA241" s="134" t="s">
        <v>387</v>
      </c>
      <c r="CB241" s="134" t="s">
        <v>377</v>
      </c>
      <c r="CE241" s="149"/>
    </row>
    <row r="242" s="134" customFormat="1" customHeight="1" spans="1:88">
      <c r="A242" s="134">
        <v>175</v>
      </c>
      <c r="C242" s="138">
        <v>45312</v>
      </c>
      <c r="D242" s="134">
        <v>20240000479</v>
      </c>
      <c r="F242" s="429" t="s">
        <v>2727</v>
      </c>
      <c r="G242" s="134" t="s">
        <v>2728</v>
      </c>
      <c r="H242" s="1006" t="s">
        <v>2729</v>
      </c>
      <c r="I242" s="414" t="s">
        <v>2730</v>
      </c>
      <c r="J242" s="134">
        <v>107.62</v>
      </c>
      <c r="K242" s="134">
        <v>107.62</v>
      </c>
      <c r="L242" s="134">
        <v>7015.42</v>
      </c>
      <c r="M242" s="358">
        <v>755000</v>
      </c>
      <c r="N242" s="359">
        <v>6952</v>
      </c>
      <c r="O242" s="145">
        <v>692660.55</v>
      </c>
      <c r="P242" s="415" t="s">
        <v>2731</v>
      </c>
      <c r="Q242" s="448">
        <v>45585</v>
      </c>
      <c r="R242" s="359"/>
      <c r="S242" s="362"/>
      <c r="T242" s="362"/>
      <c r="U242" s="362" t="s">
        <v>393</v>
      </c>
      <c r="V242" s="359">
        <v>20000</v>
      </c>
      <c r="W242" s="362" t="s">
        <v>1872</v>
      </c>
      <c r="X242" s="359">
        <v>531000</v>
      </c>
      <c r="Y242" s="438" t="s">
        <v>2732</v>
      </c>
      <c r="Z242" s="359">
        <v>204000</v>
      </c>
      <c r="AA242" s="134" t="s">
        <v>727</v>
      </c>
      <c r="AB242" s="359"/>
      <c r="AH242" s="359">
        <f t="shared" si="32"/>
        <v>755000</v>
      </c>
      <c r="AK242" s="364">
        <f t="shared" si="31"/>
        <v>0</v>
      </c>
      <c r="AL242" s="429" t="s">
        <v>2733</v>
      </c>
      <c r="AM242" s="429"/>
      <c r="AQ242" s="169">
        <f>0.5%+0.04%+0.12%</f>
        <v>0.0066</v>
      </c>
      <c r="AR242" s="419">
        <f t="shared" si="30"/>
        <v>755000</v>
      </c>
      <c r="AS242" s="359"/>
      <c r="AT242" s="359"/>
      <c r="AU242" s="359"/>
      <c r="AV242" s="359"/>
      <c r="AW242" s="359"/>
      <c r="AX242" s="359"/>
      <c r="AY242" s="218"/>
      <c r="BA242" s="359"/>
      <c r="BB242" s="359"/>
      <c r="BC242" s="359"/>
      <c r="BD242" s="359"/>
      <c r="BE242" s="359"/>
      <c r="BG242" s="134">
        <v>755000</v>
      </c>
      <c r="BZ242" s="134" t="s">
        <v>376</v>
      </c>
      <c r="CA242" s="134" t="s">
        <v>387</v>
      </c>
      <c r="CB242" s="134" t="s">
        <v>377</v>
      </c>
      <c r="CE242" s="149"/>
    </row>
    <row r="243" s="134" customFormat="1" customHeight="1" spans="1:88">
      <c r="A243" s="134">
        <v>176</v>
      </c>
      <c r="C243" s="138">
        <v>45154</v>
      </c>
      <c r="D243" s="134">
        <v>20230006969</v>
      </c>
      <c r="F243" s="429" t="s">
        <v>2734</v>
      </c>
      <c r="G243" s="134" t="s">
        <v>2735</v>
      </c>
      <c r="H243" s="1006" t="s">
        <v>2736</v>
      </c>
      <c r="I243" s="414" t="s">
        <v>2737</v>
      </c>
      <c r="J243" s="134">
        <v>107.98</v>
      </c>
      <c r="K243" s="134">
        <v>107.98</v>
      </c>
      <c r="L243" s="134">
        <v>6945.73</v>
      </c>
      <c r="M243" s="358">
        <v>750000</v>
      </c>
      <c r="N243" s="359">
        <v>6932</v>
      </c>
      <c r="O243" s="145">
        <v>688073.39</v>
      </c>
      <c r="P243" s="415" t="s">
        <v>2738</v>
      </c>
      <c r="Q243" s="448">
        <v>45585</v>
      </c>
      <c r="R243" s="359"/>
      <c r="S243" s="362"/>
      <c r="T243" s="362"/>
      <c r="U243" s="362" t="s">
        <v>677</v>
      </c>
      <c r="V243" s="359">
        <v>20000</v>
      </c>
      <c r="W243" s="362" t="s">
        <v>1035</v>
      </c>
      <c r="X243" s="359">
        <f>200000+5000</f>
        <v>205000</v>
      </c>
      <c r="Y243" s="438" t="s">
        <v>1999</v>
      </c>
      <c r="Z243" s="359">
        <f>500000+25000</f>
        <v>525000</v>
      </c>
      <c r="AA243" s="362" t="s">
        <v>2739</v>
      </c>
      <c r="AB243" s="359"/>
      <c r="AH243" s="359">
        <f t="shared" si="32"/>
        <v>750000</v>
      </c>
      <c r="AK243" s="364">
        <f t="shared" si="31"/>
        <v>0</v>
      </c>
      <c r="AL243" s="429" t="s">
        <v>2740</v>
      </c>
      <c r="AM243" s="429"/>
      <c r="AQ243" s="365">
        <f>0.7%+0.05%+0.14%</f>
        <v>0.0089</v>
      </c>
      <c r="AR243" s="419">
        <f t="shared" si="30"/>
        <v>750000</v>
      </c>
      <c r="AS243" s="359"/>
      <c r="AT243" s="359"/>
      <c r="AU243" s="359"/>
      <c r="AV243" s="359"/>
      <c r="AW243" s="359"/>
      <c r="AX243" s="359"/>
      <c r="AY243" s="218"/>
      <c r="BA243" s="359"/>
      <c r="BB243" s="359">
        <v>750000</v>
      </c>
      <c r="BC243" s="359"/>
      <c r="BD243" s="359"/>
      <c r="BE243" s="359"/>
      <c r="BZ243" s="134" t="s">
        <v>376</v>
      </c>
      <c r="CA243" s="134" t="s">
        <v>387</v>
      </c>
      <c r="CB243" s="134" t="s">
        <v>377</v>
      </c>
      <c r="CE243" s="149"/>
    </row>
    <row r="244" s="149" customFormat="1" customHeight="1" spans="1:88">
      <c r="F244" s="451"/>
      <c r="G244" s="149" t="s">
        <v>2741</v>
      </c>
      <c r="I244" s="453" t="s">
        <v>2742</v>
      </c>
      <c r="J244" s="149">
        <v>14.47</v>
      </c>
      <c r="L244" s="149">
        <v>2291.64</v>
      </c>
      <c r="M244" s="402">
        <v>33160</v>
      </c>
      <c r="N244" s="403"/>
      <c r="O244" s="404"/>
      <c r="P244" s="490"/>
      <c r="Q244" s="492"/>
      <c r="R244" s="403"/>
      <c r="S244" s="406"/>
      <c r="T244" s="406"/>
      <c r="U244" s="406"/>
      <c r="V244" s="403">
        <v>2000</v>
      </c>
      <c r="W244" s="406">
        <v>45542</v>
      </c>
      <c r="X244" s="403">
        <v>31160</v>
      </c>
      <c r="Y244" s="406">
        <v>45870</v>
      </c>
      <c r="Z244" s="403"/>
      <c r="AB244" s="403"/>
      <c r="AH244" s="403">
        <f t="shared" si="32"/>
        <v>33160</v>
      </c>
      <c r="AK244" s="409">
        <f t="shared" ref="AK244:AK266" si="33">M244-AH244</f>
        <v>0</v>
      </c>
      <c r="AL244" s="451"/>
      <c r="AM244" s="451"/>
      <c r="AQ244" s="410">
        <v>0.02</v>
      </c>
      <c r="AR244" s="411">
        <f t="shared" si="30"/>
        <v>33160</v>
      </c>
      <c r="AS244" s="403"/>
      <c r="AT244" s="403"/>
      <c r="AU244" s="403"/>
      <c r="AV244" s="403"/>
      <c r="AW244" s="403"/>
      <c r="AX244" s="403"/>
      <c r="AY244" s="202"/>
      <c r="AZ244" s="101"/>
      <c r="BA244" s="403"/>
      <c r="BB244" s="403"/>
      <c r="BC244" s="403"/>
      <c r="BD244" s="403"/>
      <c r="BE244" s="403"/>
      <c r="BS244" s="149">
        <v>33160</v>
      </c>
      <c r="CJ244" s="104"/>
    </row>
    <row r="245" s="149" customFormat="1" customHeight="1" spans="1:88">
      <c r="F245" s="451"/>
      <c r="I245" s="453" t="s">
        <v>2743</v>
      </c>
      <c r="J245" s="149" t="s">
        <v>2744</v>
      </c>
      <c r="M245" s="402"/>
      <c r="N245" s="403"/>
      <c r="O245" s="404"/>
      <c r="P245" s="490"/>
      <c r="Q245" s="492"/>
      <c r="R245" s="403"/>
      <c r="S245" s="406"/>
      <c r="T245" s="406"/>
      <c r="U245" s="406"/>
      <c r="V245" s="403"/>
      <c r="W245" s="456"/>
      <c r="X245" s="403"/>
      <c r="Y245" s="514"/>
      <c r="Z245" s="403"/>
      <c r="AB245" s="403"/>
      <c r="AH245" s="403">
        <f t="shared" si="32"/>
        <v>0</v>
      </c>
      <c r="AK245" s="409">
        <f t="shared" si="33"/>
        <v>0</v>
      </c>
      <c r="AL245" s="451"/>
      <c r="AM245" s="451"/>
      <c r="AQ245" s="461"/>
      <c r="AR245" s="411">
        <f t="shared" si="30"/>
        <v>0</v>
      </c>
      <c r="AS245" s="403"/>
      <c r="AT245" s="403"/>
      <c r="AU245" s="403"/>
      <c r="AV245" s="403"/>
      <c r="AW245" s="403"/>
      <c r="AX245" s="403"/>
      <c r="AY245" s="202"/>
      <c r="AZ245" s="101"/>
      <c r="BA245" s="403"/>
      <c r="BB245" s="403"/>
      <c r="BC245" s="403"/>
      <c r="BD245" s="403"/>
      <c r="BE245" s="403"/>
      <c r="CJ245" s="104"/>
    </row>
    <row r="246" s="149" customFormat="1" customHeight="1" spans="1:88">
      <c r="F246" s="451"/>
      <c r="I246" s="453" t="s">
        <v>2745</v>
      </c>
      <c r="J246" s="149">
        <v>23.24</v>
      </c>
      <c r="L246" s="149">
        <v>2290.88</v>
      </c>
      <c r="M246" s="402"/>
      <c r="N246" s="403">
        <v>53240</v>
      </c>
      <c r="O246" s="404"/>
      <c r="P246" s="490"/>
      <c r="Q246" s="492"/>
      <c r="R246" s="403"/>
      <c r="S246" s="406"/>
      <c r="T246" s="406"/>
      <c r="U246" s="406"/>
      <c r="V246" s="403"/>
      <c r="W246" s="456"/>
      <c r="X246" s="403"/>
      <c r="Y246" s="514"/>
      <c r="Z246" s="403"/>
      <c r="AB246" s="403"/>
      <c r="AH246" s="403">
        <f t="shared" si="32"/>
        <v>0</v>
      </c>
      <c r="AK246" s="409">
        <f t="shared" si="33"/>
        <v>0</v>
      </c>
      <c r="AL246" s="451"/>
      <c r="AM246" s="451"/>
      <c r="AQ246" s="410">
        <v>0.02</v>
      </c>
      <c r="AR246" s="411">
        <f t="shared" si="30"/>
        <v>0</v>
      </c>
      <c r="AS246" s="403"/>
      <c r="AT246" s="403"/>
      <c r="AU246" s="403"/>
      <c r="AV246" s="403"/>
      <c r="AW246" s="403"/>
      <c r="AX246" s="403"/>
      <c r="AY246" s="202"/>
      <c r="AZ246" s="101"/>
      <c r="BA246" s="403"/>
      <c r="BB246" s="403"/>
      <c r="BC246" s="403"/>
      <c r="BD246" s="403"/>
      <c r="BE246" s="403"/>
      <c r="CJ246" s="104"/>
    </row>
    <row r="247" s="149" customFormat="1" customHeight="1" spans="1:88">
      <c r="F247" s="451"/>
      <c r="I247" s="453" t="s">
        <v>2746</v>
      </c>
      <c r="J247" s="149">
        <v>58.35</v>
      </c>
      <c r="M247" s="402"/>
      <c r="N247" s="403"/>
      <c r="O247" s="404"/>
      <c r="P247" s="490"/>
      <c r="Q247" s="492"/>
      <c r="R247" s="403"/>
      <c r="S247" s="406"/>
      <c r="T247" s="406"/>
      <c r="U247" s="406"/>
      <c r="V247" s="403"/>
      <c r="W247" s="456"/>
      <c r="X247" s="403"/>
      <c r="Y247" s="514"/>
      <c r="Z247" s="403"/>
      <c r="AB247" s="403"/>
      <c r="AH247" s="403">
        <f t="shared" si="32"/>
        <v>0</v>
      </c>
      <c r="AK247" s="409">
        <f t="shared" si="33"/>
        <v>0</v>
      </c>
      <c r="AL247" s="451"/>
      <c r="AM247" s="451"/>
      <c r="AQ247" s="410">
        <v>0.02</v>
      </c>
      <c r="AR247" s="411">
        <f t="shared" si="30"/>
        <v>0</v>
      </c>
      <c r="AS247" s="403"/>
      <c r="AT247" s="403"/>
      <c r="AU247" s="403"/>
      <c r="AV247" s="403"/>
      <c r="AW247" s="403"/>
      <c r="AX247" s="403"/>
      <c r="AY247" s="202"/>
      <c r="AZ247" s="101"/>
      <c r="BA247" s="403"/>
      <c r="BB247" s="403"/>
      <c r="BC247" s="403"/>
      <c r="BD247" s="403"/>
      <c r="BE247" s="403"/>
      <c r="CJ247" s="104"/>
    </row>
    <row r="248" s="149" customFormat="1" customHeight="1" spans="1:88">
      <c r="F248" s="451"/>
      <c r="I248" s="453" t="s">
        <v>2747</v>
      </c>
      <c r="J248" s="149">
        <v>56.59</v>
      </c>
      <c r="M248" s="402"/>
      <c r="N248" s="403"/>
      <c r="O248" s="404"/>
      <c r="P248" s="490"/>
      <c r="Q248" s="492"/>
      <c r="R248" s="403"/>
      <c r="S248" s="406"/>
      <c r="T248" s="406"/>
      <c r="U248" s="406"/>
      <c r="V248" s="403"/>
      <c r="W248" s="456"/>
      <c r="X248" s="403"/>
      <c r="Y248" s="514"/>
      <c r="Z248" s="403"/>
      <c r="AB248" s="403"/>
      <c r="AH248" s="403">
        <f t="shared" si="32"/>
        <v>0</v>
      </c>
      <c r="AK248" s="409">
        <f t="shared" si="33"/>
        <v>0</v>
      </c>
      <c r="AL248" s="451"/>
      <c r="AM248" s="451"/>
      <c r="AQ248" s="410">
        <v>0.02</v>
      </c>
      <c r="AR248" s="411">
        <f t="shared" si="30"/>
        <v>0</v>
      </c>
      <c r="AS248" s="403"/>
      <c r="AT248" s="403"/>
      <c r="AU248" s="403"/>
      <c r="AV248" s="403"/>
      <c r="AW248" s="403"/>
      <c r="AX248" s="403"/>
      <c r="AY248" s="202"/>
      <c r="AZ248" s="101"/>
      <c r="BA248" s="403"/>
      <c r="BB248" s="403"/>
      <c r="BC248" s="403"/>
      <c r="BD248" s="403"/>
      <c r="BE248" s="403"/>
      <c r="CJ248" s="104"/>
    </row>
    <row r="249" s="149" customFormat="1" customHeight="1" spans="1:88">
      <c r="F249" s="451"/>
      <c r="G249" s="149" t="s">
        <v>2748</v>
      </c>
      <c r="I249" s="453" t="s">
        <v>2749</v>
      </c>
      <c r="J249" s="149">
        <v>23.24</v>
      </c>
      <c r="L249" s="149">
        <v>2290.88</v>
      </c>
      <c r="M249" s="402">
        <v>53240</v>
      </c>
      <c r="N249" s="403">
        <v>53240</v>
      </c>
      <c r="O249" s="404"/>
      <c r="P249" s="490"/>
      <c r="Q249" s="492"/>
      <c r="R249" s="403"/>
      <c r="S249" s="406"/>
      <c r="T249" s="406"/>
      <c r="U249" s="406"/>
      <c r="V249" s="403">
        <v>53240</v>
      </c>
      <c r="W249" s="406" t="s">
        <v>2750</v>
      </c>
      <c r="X249" s="403"/>
      <c r="Y249" s="514"/>
      <c r="Z249" s="403"/>
      <c r="AB249" s="403"/>
      <c r="AH249" s="403">
        <f t="shared" si="32"/>
        <v>53240</v>
      </c>
      <c r="AK249" s="409">
        <f t="shared" si="33"/>
        <v>0</v>
      </c>
      <c r="AL249" s="451"/>
      <c r="AM249" s="451"/>
      <c r="AQ249" s="410">
        <v>0.02</v>
      </c>
      <c r="AR249" s="411">
        <f t="shared" si="30"/>
        <v>53240</v>
      </c>
      <c r="AS249" s="403"/>
      <c r="AT249" s="403"/>
      <c r="AU249" s="403"/>
      <c r="AV249" s="403"/>
      <c r="AW249" s="403"/>
      <c r="AX249" s="403"/>
      <c r="AY249" s="202"/>
      <c r="AZ249" s="101"/>
      <c r="BA249" s="403"/>
      <c r="BB249" s="403"/>
      <c r="BC249" s="403"/>
      <c r="BD249" s="403"/>
      <c r="BE249" s="403"/>
      <c r="BR249" s="149">
        <v>53240</v>
      </c>
      <c r="CJ249" s="104"/>
    </row>
    <row r="250" s="149" customFormat="1" customHeight="1" spans="1:88">
      <c r="F250" s="451"/>
      <c r="G250" s="149" t="s">
        <v>2751</v>
      </c>
      <c r="I250" s="453" t="s">
        <v>2752</v>
      </c>
      <c r="J250" s="149">
        <v>14.44</v>
      </c>
      <c r="L250" s="149">
        <v>2290.86</v>
      </c>
      <c r="M250" s="402">
        <v>33080</v>
      </c>
      <c r="N250" s="403"/>
      <c r="O250" s="404"/>
      <c r="P250" s="490"/>
      <c r="Q250" s="492"/>
      <c r="R250" s="403"/>
      <c r="S250" s="406"/>
      <c r="T250" s="406"/>
      <c r="U250" s="406"/>
      <c r="V250" s="403">
        <v>33080</v>
      </c>
      <c r="W250" s="406">
        <v>45537</v>
      </c>
      <c r="X250" s="403"/>
      <c r="Y250" s="514"/>
      <c r="Z250" s="403"/>
      <c r="AB250" s="403"/>
      <c r="AH250" s="403">
        <f t="shared" si="32"/>
        <v>33080</v>
      </c>
      <c r="AK250" s="409">
        <f t="shared" si="33"/>
        <v>0</v>
      </c>
      <c r="AL250" s="451"/>
      <c r="AM250" s="451"/>
      <c r="AQ250" s="410">
        <v>0.02</v>
      </c>
      <c r="AR250" s="411">
        <f t="shared" si="30"/>
        <v>33080</v>
      </c>
      <c r="AS250" s="403"/>
      <c r="AT250" s="403"/>
      <c r="AU250" s="403"/>
      <c r="AV250" s="403"/>
      <c r="AW250" s="403"/>
      <c r="AX250" s="403"/>
      <c r="AY250" s="202"/>
      <c r="AZ250" s="101"/>
      <c r="BA250" s="403"/>
      <c r="BB250" s="403"/>
      <c r="BC250" s="403"/>
      <c r="BD250" s="403"/>
      <c r="BE250" s="403"/>
      <c r="BN250" s="149">
        <v>33080</v>
      </c>
      <c r="CJ250" s="104"/>
    </row>
    <row r="251" s="149" customFormat="1" customHeight="1" spans="1:88">
      <c r="F251" s="451"/>
      <c r="G251" s="149" t="s">
        <v>2753</v>
      </c>
      <c r="I251" s="453" t="s">
        <v>2754</v>
      </c>
      <c r="J251" s="149">
        <v>14.47</v>
      </c>
      <c r="L251" s="149">
        <v>2291.64</v>
      </c>
      <c r="M251" s="402">
        <v>33160</v>
      </c>
      <c r="N251" s="403"/>
      <c r="O251" s="404"/>
      <c r="P251" s="490"/>
      <c r="Q251" s="492"/>
      <c r="R251" s="403"/>
      <c r="S251" s="406"/>
      <c r="T251" s="406"/>
      <c r="U251" s="406"/>
      <c r="V251" s="403">
        <v>5000</v>
      </c>
      <c r="W251" s="406">
        <v>45537</v>
      </c>
      <c r="X251" s="403">
        <v>28160</v>
      </c>
      <c r="Y251" s="514">
        <v>45542</v>
      </c>
      <c r="Z251" s="403"/>
      <c r="AB251" s="403"/>
      <c r="AH251" s="403">
        <f t="shared" si="32"/>
        <v>33160</v>
      </c>
      <c r="AK251" s="409">
        <f t="shared" si="33"/>
        <v>0</v>
      </c>
      <c r="AL251" s="451"/>
      <c r="AM251" s="451"/>
      <c r="AQ251" s="410">
        <v>0.02</v>
      </c>
      <c r="AR251" s="411">
        <f t="shared" si="30"/>
        <v>33160</v>
      </c>
      <c r="AS251" s="403"/>
      <c r="AT251" s="403"/>
      <c r="AU251" s="403"/>
      <c r="AV251" s="403"/>
      <c r="AW251" s="403"/>
      <c r="AX251" s="403"/>
      <c r="AY251" s="202"/>
      <c r="AZ251" s="101"/>
      <c r="BA251" s="403"/>
      <c r="BB251" s="403"/>
      <c r="BC251" s="403"/>
      <c r="BD251" s="403"/>
      <c r="BE251" s="403"/>
      <c r="BN251" s="149">
        <v>33160</v>
      </c>
      <c r="CJ251" s="104"/>
    </row>
    <row r="252" s="149" customFormat="1" customHeight="1" spans="1:88">
      <c r="F252" s="451"/>
      <c r="G252" s="401" t="s">
        <v>1850</v>
      </c>
      <c r="I252" s="453" t="s">
        <v>2755</v>
      </c>
      <c r="J252" s="149">
        <v>14.47</v>
      </c>
      <c r="L252" s="149">
        <v>2291.64</v>
      </c>
      <c r="M252" s="402">
        <v>33160</v>
      </c>
      <c r="N252" s="403"/>
      <c r="O252" s="404"/>
      <c r="P252" s="490"/>
      <c r="Q252" s="492"/>
      <c r="R252" s="403"/>
      <c r="S252" s="406"/>
      <c r="T252" s="406"/>
      <c r="U252" s="406"/>
      <c r="V252" s="403">
        <v>2000</v>
      </c>
      <c r="W252" s="514" t="s">
        <v>2756</v>
      </c>
      <c r="X252" s="403">
        <v>31160</v>
      </c>
      <c r="Y252" s="406" t="s">
        <v>2757</v>
      </c>
      <c r="Z252" s="403"/>
      <c r="AA252" s="406"/>
      <c r="AB252" s="403"/>
      <c r="AH252" s="403">
        <f t="shared" si="32"/>
        <v>33160</v>
      </c>
      <c r="AK252" s="409">
        <f t="shared" si="33"/>
        <v>0</v>
      </c>
      <c r="AL252" s="451"/>
      <c r="AM252" s="451"/>
      <c r="AQ252" s="410">
        <v>0.02</v>
      </c>
      <c r="AR252" s="411">
        <f t="shared" si="30"/>
        <v>33160</v>
      </c>
      <c r="AS252" s="403"/>
      <c r="AT252" s="403"/>
      <c r="AU252" s="403"/>
      <c r="AV252" s="403"/>
      <c r="AW252" s="403"/>
      <c r="AX252" s="403"/>
      <c r="AY252" s="202"/>
      <c r="AZ252" s="101"/>
      <c r="BA252" s="403"/>
      <c r="BB252" s="403"/>
      <c r="BC252" s="403"/>
      <c r="BD252" s="403"/>
      <c r="BE252" s="403"/>
      <c r="BQ252" s="149">
        <v>33160</v>
      </c>
      <c r="CJ252" s="104"/>
    </row>
    <row r="253" s="149" customFormat="1" customHeight="1" spans="1:88">
      <c r="F253" s="451"/>
      <c r="H253" s="149" t="s">
        <v>1315</v>
      </c>
      <c r="I253" s="453" t="s">
        <v>2758</v>
      </c>
      <c r="J253" s="149">
        <v>23.24</v>
      </c>
      <c r="M253" s="402"/>
      <c r="N253" s="403"/>
      <c r="O253" s="404"/>
      <c r="P253" s="490"/>
      <c r="Q253" s="492"/>
      <c r="R253" s="403"/>
      <c r="S253" s="406"/>
      <c r="T253" s="406"/>
      <c r="U253" s="406"/>
      <c r="V253" s="403"/>
      <c r="W253" s="456"/>
      <c r="X253" s="403"/>
      <c r="Y253" s="514"/>
      <c r="Z253" s="403"/>
      <c r="AB253" s="403"/>
      <c r="AH253" s="403">
        <f t="shared" si="32"/>
        <v>0</v>
      </c>
      <c r="AK253" s="409">
        <f t="shared" si="33"/>
        <v>0</v>
      </c>
      <c r="AL253" s="451"/>
      <c r="AM253" s="451"/>
      <c r="AQ253" s="410">
        <v>0.02</v>
      </c>
      <c r="AR253" s="411">
        <f t="shared" si="30"/>
        <v>0</v>
      </c>
      <c r="AS253" s="403"/>
      <c r="AT253" s="403"/>
      <c r="AU253" s="403"/>
      <c r="AV253" s="403"/>
      <c r="AW253" s="403"/>
      <c r="AX253" s="403"/>
      <c r="AY253" s="202"/>
      <c r="AZ253" s="101"/>
      <c r="BA253" s="403"/>
      <c r="BB253" s="403"/>
      <c r="BC253" s="403"/>
      <c r="BD253" s="403"/>
      <c r="BE253" s="403"/>
      <c r="CJ253" s="104"/>
    </row>
    <row r="254" s="149" customFormat="1" customHeight="1" spans="1:88">
      <c r="F254" s="451"/>
      <c r="I254" s="453" t="s">
        <v>2759</v>
      </c>
      <c r="J254" s="149">
        <v>56.55</v>
      </c>
      <c r="M254" s="402"/>
      <c r="N254" s="403"/>
      <c r="O254" s="404"/>
      <c r="P254" s="490"/>
      <c r="Q254" s="492"/>
      <c r="R254" s="403"/>
      <c r="S254" s="406"/>
      <c r="T254" s="406"/>
      <c r="U254" s="406"/>
      <c r="V254" s="403"/>
      <c r="W254" s="456"/>
      <c r="X254" s="403"/>
      <c r="Y254" s="514"/>
      <c r="Z254" s="403"/>
      <c r="AB254" s="403"/>
      <c r="AH254" s="403">
        <f t="shared" si="32"/>
        <v>0</v>
      </c>
      <c r="AK254" s="409">
        <f t="shared" si="33"/>
        <v>0</v>
      </c>
      <c r="AL254" s="451"/>
      <c r="AM254" s="451"/>
      <c r="AQ254" s="410">
        <v>0.02</v>
      </c>
      <c r="AR254" s="411">
        <f t="shared" si="30"/>
        <v>0</v>
      </c>
      <c r="AS254" s="403"/>
      <c r="AT254" s="403"/>
      <c r="AU254" s="403"/>
      <c r="AV254" s="403"/>
      <c r="AW254" s="403"/>
      <c r="AX254" s="403"/>
      <c r="AY254" s="202"/>
      <c r="AZ254" s="101"/>
      <c r="BA254" s="403"/>
      <c r="BB254" s="403"/>
      <c r="BC254" s="403"/>
      <c r="BD254" s="403"/>
      <c r="BE254" s="403"/>
      <c r="CJ254" s="104"/>
    </row>
    <row r="255" s="149" customFormat="1" customHeight="1" spans="1:88">
      <c r="F255" s="451"/>
      <c r="I255" s="453" t="s">
        <v>2760</v>
      </c>
      <c r="J255" s="149">
        <v>58.72</v>
      </c>
      <c r="M255" s="402"/>
      <c r="N255" s="403"/>
      <c r="O255" s="404"/>
      <c r="P255" s="490"/>
      <c r="Q255" s="492"/>
      <c r="R255" s="403"/>
      <c r="S255" s="406"/>
      <c r="T255" s="406"/>
      <c r="U255" s="406"/>
      <c r="V255" s="403"/>
      <c r="W255" s="456"/>
      <c r="X255" s="403"/>
      <c r="Y255" s="514"/>
      <c r="Z255" s="403"/>
      <c r="AB255" s="403"/>
      <c r="AH255" s="403">
        <f t="shared" si="32"/>
        <v>0</v>
      </c>
      <c r="AK255" s="409">
        <f t="shared" si="33"/>
        <v>0</v>
      </c>
      <c r="AL255" s="451"/>
      <c r="AM255" s="451"/>
      <c r="AQ255" s="410">
        <v>0.02</v>
      </c>
      <c r="AR255" s="411">
        <f t="shared" si="30"/>
        <v>0</v>
      </c>
      <c r="AS255" s="403"/>
      <c r="AT255" s="403"/>
      <c r="AU255" s="403"/>
      <c r="AV255" s="403"/>
      <c r="AW255" s="403"/>
      <c r="AX255" s="403"/>
      <c r="AY255" s="202"/>
      <c r="AZ255" s="101"/>
      <c r="BA255" s="403"/>
      <c r="BB255" s="403"/>
      <c r="BC255" s="403"/>
      <c r="BD255" s="403"/>
      <c r="BE255" s="403"/>
      <c r="CJ255" s="104"/>
    </row>
    <row r="256" s="149" customFormat="1" customHeight="1" spans="1:88">
      <c r="F256" s="451"/>
      <c r="G256" s="149" t="s">
        <v>2413</v>
      </c>
      <c r="I256" s="453" t="s">
        <v>2761</v>
      </c>
      <c r="J256" s="149">
        <v>23.24</v>
      </c>
      <c r="L256" s="149">
        <v>2290.88</v>
      </c>
      <c r="M256" s="402">
        <v>53240</v>
      </c>
      <c r="N256" s="403"/>
      <c r="O256" s="404"/>
      <c r="P256" s="490"/>
      <c r="Q256" s="492"/>
      <c r="R256" s="403"/>
      <c r="S256" s="406"/>
      <c r="T256" s="406"/>
      <c r="U256" s="406"/>
      <c r="V256" s="403">
        <v>53240</v>
      </c>
      <c r="W256" s="406">
        <v>45541</v>
      </c>
      <c r="X256" s="403"/>
      <c r="Y256" s="514"/>
      <c r="Z256" s="403"/>
      <c r="AB256" s="403"/>
      <c r="AH256" s="403">
        <f t="shared" si="32"/>
        <v>53240</v>
      </c>
      <c r="AK256" s="409">
        <f t="shared" si="33"/>
        <v>0</v>
      </c>
      <c r="AL256" s="451"/>
      <c r="AM256" s="451"/>
      <c r="AQ256" s="410">
        <v>0.02</v>
      </c>
      <c r="AR256" s="411">
        <f t="shared" si="30"/>
        <v>53240</v>
      </c>
      <c r="AS256" s="403"/>
      <c r="AT256" s="403"/>
      <c r="AU256" s="403"/>
      <c r="AV256" s="403"/>
      <c r="AW256" s="403"/>
      <c r="AX256" s="403"/>
      <c r="AY256" s="202"/>
      <c r="AZ256" s="101"/>
      <c r="BA256" s="403"/>
      <c r="BB256" s="403"/>
      <c r="BC256" s="403"/>
      <c r="BD256" s="403"/>
      <c r="BE256" s="403"/>
      <c r="BN256" s="149">
        <v>53240</v>
      </c>
      <c r="CJ256" s="104"/>
    </row>
    <row r="257" s="149" customFormat="1" customHeight="1" spans="1:89">
      <c r="F257" s="451"/>
      <c r="G257" s="149" t="s">
        <v>2762</v>
      </c>
      <c r="I257" s="453" t="s">
        <v>2763</v>
      </c>
      <c r="J257" s="149">
        <v>14.44</v>
      </c>
      <c r="L257" s="149">
        <v>2290.86</v>
      </c>
      <c r="M257" s="402">
        <v>33080</v>
      </c>
      <c r="N257" s="403"/>
      <c r="O257" s="404"/>
      <c r="P257" s="490"/>
      <c r="Q257" s="492"/>
      <c r="R257" s="403"/>
      <c r="S257" s="406"/>
      <c r="T257" s="406"/>
      <c r="U257" s="406"/>
      <c r="V257" s="403">
        <v>2000</v>
      </c>
      <c r="W257" s="406">
        <v>45537</v>
      </c>
      <c r="X257" s="403">
        <v>31080</v>
      </c>
      <c r="Y257" s="514">
        <v>45554</v>
      </c>
      <c r="Z257" s="403"/>
      <c r="AB257" s="403"/>
      <c r="AH257" s="403">
        <f t="shared" ref="AH257:AH311" si="34">V257+X257+Z257+AB257+AD257+AF257</f>
        <v>33080</v>
      </c>
      <c r="AK257" s="409">
        <f t="shared" si="33"/>
        <v>0</v>
      </c>
      <c r="AL257" s="451"/>
      <c r="AM257" s="451"/>
      <c r="AQ257" s="410">
        <v>0.02</v>
      </c>
      <c r="AR257" s="411">
        <f t="shared" si="30"/>
        <v>33080</v>
      </c>
      <c r="AS257" s="403"/>
      <c r="AT257" s="403"/>
      <c r="AU257" s="403"/>
      <c r="AV257" s="403"/>
      <c r="AW257" s="403"/>
      <c r="AX257" s="403"/>
      <c r="AY257" s="202"/>
      <c r="AZ257" s="101"/>
      <c r="BA257" s="403"/>
      <c r="BB257" s="403"/>
      <c r="BC257" s="403"/>
      <c r="BD257" s="403"/>
      <c r="BE257" s="403"/>
      <c r="BN257" s="149">
        <v>33080</v>
      </c>
      <c r="CJ257" s="104"/>
    </row>
    <row r="258" s="149" customFormat="1" customHeight="1" spans="1:89">
      <c r="F258" s="451"/>
      <c r="G258" s="149" t="s">
        <v>2764</v>
      </c>
      <c r="I258" s="453" t="s">
        <v>2765</v>
      </c>
      <c r="J258" s="149">
        <v>14.47</v>
      </c>
      <c r="L258" s="149">
        <v>2291.64</v>
      </c>
      <c r="M258" s="402">
        <v>33160</v>
      </c>
      <c r="N258" s="403"/>
      <c r="O258" s="404"/>
      <c r="P258" s="490"/>
      <c r="Q258" s="492"/>
      <c r="R258" s="403"/>
      <c r="S258" s="406"/>
      <c r="T258" s="406"/>
      <c r="U258" s="406"/>
      <c r="V258" s="403">
        <v>5000</v>
      </c>
      <c r="W258" s="406">
        <v>45537</v>
      </c>
      <c r="X258" s="403">
        <v>28160</v>
      </c>
      <c r="Y258" s="514">
        <v>45544</v>
      </c>
      <c r="Z258" s="403"/>
      <c r="AB258" s="403"/>
      <c r="AH258" s="403">
        <f t="shared" si="34"/>
        <v>33160</v>
      </c>
      <c r="AK258" s="409">
        <f t="shared" si="33"/>
        <v>0</v>
      </c>
      <c r="AL258" s="451"/>
      <c r="AM258" s="451"/>
      <c r="AQ258" s="410">
        <v>0.02</v>
      </c>
      <c r="AR258" s="411">
        <f t="shared" si="30"/>
        <v>33160</v>
      </c>
      <c r="AS258" s="403"/>
      <c r="AT258" s="403"/>
      <c r="AU258" s="403"/>
      <c r="AV258" s="403"/>
      <c r="AW258" s="403"/>
      <c r="AX258" s="403"/>
      <c r="AY258" s="202"/>
      <c r="AZ258" s="101"/>
      <c r="BA258" s="403"/>
      <c r="BB258" s="403"/>
      <c r="BC258" s="403"/>
      <c r="BD258" s="403"/>
      <c r="BE258" s="403"/>
      <c r="BN258" s="149">
        <v>33160</v>
      </c>
      <c r="CJ258" s="104"/>
    </row>
    <row r="259" s="149" customFormat="1" customHeight="1" spans="1:89">
      <c r="F259" s="451"/>
      <c r="G259" s="149" t="s">
        <v>2766</v>
      </c>
      <c r="I259" s="453" t="s">
        <v>2767</v>
      </c>
      <c r="J259" s="149">
        <v>14.47</v>
      </c>
      <c r="L259" s="149">
        <v>2291.64</v>
      </c>
      <c r="M259" s="402">
        <v>33160</v>
      </c>
      <c r="N259" s="403"/>
      <c r="O259" s="404"/>
      <c r="P259" s="490"/>
      <c r="Q259" s="492"/>
      <c r="R259" s="403"/>
      <c r="S259" s="406"/>
      <c r="T259" s="406"/>
      <c r="U259" s="406"/>
      <c r="V259" s="403">
        <v>33160</v>
      </c>
      <c r="W259" s="406">
        <v>45536</v>
      </c>
      <c r="X259" s="403"/>
      <c r="Y259" s="514"/>
      <c r="Z259" s="403"/>
      <c r="AB259" s="403"/>
      <c r="AH259" s="403">
        <f t="shared" si="34"/>
        <v>33160</v>
      </c>
      <c r="AK259" s="409">
        <f t="shared" si="33"/>
        <v>0</v>
      </c>
      <c r="AL259" s="451"/>
      <c r="AM259" s="451"/>
      <c r="AQ259" s="410">
        <v>0.02</v>
      </c>
      <c r="AR259" s="411">
        <f t="shared" si="30"/>
        <v>33160</v>
      </c>
      <c r="AS259" s="403"/>
      <c r="AT259" s="403"/>
      <c r="AU259" s="403"/>
      <c r="AV259" s="403"/>
      <c r="AW259" s="403"/>
      <c r="AX259" s="403"/>
      <c r="AY259" s="202"/>
      <c r="AZ259" s="101"/>
      <c r="BA259" s="403"/>
      <c r="BB259" s="403"/>
      <c r="BC259" s="403"/>
      <c r="BD259" s="403"/>
      <c r="BE259" s="403"/>
      <c r="BN259" s="149">
        <v>33160</v>
      </c>
      <c r="CJ259" s="104"/>
    </row>
    <row r="260" s="149" customFormat="1" customHeight="1" spans="1:89">
      <c r="F260" s="451"/>
      <c r="I260" s="453" t="s">
        <v>2768</v>
      </c>
      <c r="J260" s="149" t="s">
        <v>2744</v>
      </c>
      <c r="M260" s="402"/>
      <c r="N260" s="403"/>
      <c r="O260" s="404"/>
      <c r="P260" s="490"/>
      <c r="Q260" s="492"/>
      <c r="R260" s="403"/>
      <c r="S260" s="406"/>
      <c r="T260" s="406"/>
      <c r="U260" s="406"/>
      <c r="V260" s="403"/>
      <c r="W260" s="456"/>
      <c r="X260" s="403"/>
      <c r="Y260" s="514"/>
      <c r="Z260" s="403"/>
      <c r="AB260" s="403"/>
      <c r="AH260" s="403">
        <f t="shared" si="34"/>
        <v>0</v>
      </c>
      <c r="AK260" s="409">
        <f t="shared" si="33"/>
        <v>0</v>
      </c>
      <c r="AL260" s="451"/>
      <c r="AM260" s="451"/>
      <c r="AQ260" s="461"/>
      <c r="AR260" s="411">
        <f t="shared" si="30"/>
        <v>0</v>
      </c>
      <c r="AS260" s="403"/>
      <c r="AT260" s="403"/>
      <c r="AU260" s="403"/>
      <c r="AV260" s="403"/>
      <c r="AW260" s="403"/>
      <c r="AX260" s="403"/>
      <c r="AY260" s="202"/>
      <c r="AZ260" s="101"/>
      <c r="BA260" s="403"/>
      <c r="BB260" s="403"/>
      <c r="BC260" s="403"/>
      <c r="BD260" s="403"/>
      <c r="BE260" s="403"/>
      <c r="CJ260" s="104"/>
    </row>
    <row r="261" s="149" customFormat="1" customHeight="1" spans="1:89">
      <c r="F261" s="451"/>
      <c r="G261" s="149" t="s">
        <v>2769</v>
      </c>
      <c r="I261" s="453" t="s">
        <v>2770</v>
      </c>
      <c r="J261" s="149">
        <v>23.24</v>
      </c>
      <c r="L261" s="149">
        <v>2290.88</v>
      </c>
      <c r="M261" s="402">
        <v>53240</v>
      </c>
      <c r="N261" s="403"/>
      <c r="O261" s="404"/>
      <c r="P261" s="490"/>
      <c r="Q261" s="492"/>
      <c r="R261" s="403"/>
      <c r="S261" s="406"/>
      <c r="T261" s="406"/>
      <c r="U261" s="406"/>
      <c r="V261" s="403">
        <v>2000</v>
      </c>
      <c r="W261" s="406">
        <v>45540</v>
      </c>
      <c r="X261" s="403">
        <v>51240</v>
      </c>
      <c r="Y261" s="406" t="s">
        <v>2771</v>
      </c>
      <c r="Z261" s="403"/>
      <c r="AB261" s="403"/>
      <c r="AH261" s="403">
        <f t="shared" si="34"/>
        <v>53240</v>
      </c>
      <c r="AK261" s="409">
        <f t="shared" si="33"/>
        <v>0</v>
      </c>
      <c r="AL261" s="451"/>
      <c r="AM261" s="451"/>
      <c r="AQ261" s="410">
        <v>0.02</v>
      </c>
      <c r="AR261" s="411">
        <f t="shared" si="30"/>
        <v>53240</v>
      </c>
      <c r="AS261" s="403"/>
      <c r="AT261" s="403"/>
      <c r="AU261" s="403"/>
      <c r="AV261" s="403"/>
      <c r="AW261" s="403"/>
      <c r="AX261" s="403"/>
      <c r="AY261" s="202"/>
      <c r="AZ261" s="101"/>
      <c r="BA261" s="403"/>
      <c r="BB261" s="403"/>
      <c r="BC261" s="403"/>
      <c r="BD261" s="403"/>
      <c r="BE261" s="403"/>
      <c r="BO261" s="149">
        <v>53240</v>
      </c>
      <c r="CJ261" s="104"/>
    </row>
    <row r="262" s="149" customFormat="1" customHeight="1" spans="1:89">
      <c r="F262" s="451"/>
      <c r="I262" s="453" t="s">
        <v>2772</v>
      </c>
      <c r="J262" s="149">
        <v>58.72</v>
      </c>
      <c r="M262" s="402"/>
      <c r="N262" s="403"/>
      <c r="O262" s="404"/>
      <c r="P262" s="490"/>
      <c r="Q262" s="492"/>
      <c r="R262" s="403"/>
      <c r="S262" s="406"/>
      <c r="T262" s="406"/>
      <c r="U262" s="406"/>
      <c r="V262" s="403"/>
      <c r="W262" s="456"/>
      <c r="X262" s="403"/>
      <c r="Y262" s="514"/>
      <c r="Z262" s="403"/>
      <c r="AB262" s="403"/>
      <c r="AH262" s="403">
        <f t="shared" si="34"/>
        <v>0</v>
      </c>
      <c r="AK262" s="409">
        <f t="shared" si="33"/>
        <v>0</v>
      </c>
      <c r="AL262" s="451"/>
      <c r="AM262" s="451"/>
      <c r="AQ262" s="410">
        <v>0.02</v>
      </c>
      <c r="AR262" s="411">
        <f t="shared" ref="AR262:AR325" si="35">SUM(AU262:BU262)</f>
        <v>0</v>
      </c>
      <c r="AS262" s="403"/>
      <c r="AT262" s="403"/>
      <c r="AU262" s="403"/>
      <c r="AV262" s="403"/>
      <c r="AW262" s="403"/>
      <c r="AX262" s="403"/>
      <c r="AY262" s="202"/>
      <c r="AZ262" s="101"/>
      <c r="BA262" s="403"/>
      <c r="BB262" s="403"/>
      <c r="BC262" s="403"/>
      <c r="BD262" s="403"/>
      <c r="BE262" s="403"/>
      <c r="CJ262" s="104"/>
    </row>
    <row r="263" s="149" customFormat="1" customHeight="1" spans="1:89">
      <c r="F263" s="451"/>
      <c r="I263" s="453" t="s">
        <v>2773</v>
      </c>
      <c r="J263" s="149">
        <v>57.09</v>
      </c>
      <c r="M263" s="402"/>
      <c r="N263" s="403"/>
      <c r="O263" s="404"/>
      <c r="P263" s="490"/>
      <c r="Q263" s="492"/>
      <c r="R263" s="403"/>
      <c r="S263" s="406"/>
      <c r="T263" s="406"/>
      <c r="U263" s="406"/>
      <c r="V263" s="403"/>
      <c r="W263" s="456"/>
      <c r="X263" s="403"/>
      <c r="Y263" s="514"/>
      <c r="Z263" s="403"/>
      <c r="AB263" s="403"/>
      <c r="AH263" s="403">
        <f t="shared" si="34"/>
        <v>0</v>
      </c>
      <c r="AK263" s="409">
        <f t="shared" si="33"/>
        <v>0</v>
      </c>
      <c r="AL263" s="451"/>
      <c r="AM263" s="451"/>
      <c r="AQ263" s="410">
        <v>0.02</v>
      </c>
      <c r="AR263" s="411">
        <f t="shared" si="35"/>
        <v>0</v>
      </c>
      <c r="AS263" s="403"/>
      <c r="AT263" s="403"/>
      <c r="AU263" s="403"/>
      <c r="AV263" s="403"/>
      <c r="AW263" s="403"/>
      <c r="AX263" s="403"/>
      <c r="AY263" s="202"/>
      <c r="AZ263" s="101"/>
      <c r="BA263" s="403"/>
      <c r="BB263" s="403"/>
      <c r="BC263" s="403"/>
      <c r="BD263" s="403"/>
      <c r="BE263" s="403"/>
      <c r="CJ263" s="104"/>
    </row>
    <row r="264" s="149" customFormat="1" customHeight="1" spans="1:89">
      <c r="F264" s="451"/>
      <c r="G264" s="149" t="s">
        <v>2774</v>
      </c>
      <c r="I264" s="453" t="s">
        <v>2775</v>
      </c>
      <c r="J264" s="149">
        <v>23.24</v>
      </c>
      <c r="L264" s="149">
        <v>2290.88</v>
      </c>
      <c r="N264" s="402">
        <v>53240</v>
      </c>
      <c r="O264" s="404"/>
      <c r="P264" s="490"/>
      <c r="Q264" s="492"/>
      <c r="R264" s="403"/>
      <c r="S264" s="406"/>
      <c r="T264" s="406"/>
      <c r="U264" s="406"/>
      <c r="V264" s="403">
        <f>1000-1000</f>
        <v>0</v>
      </c>
      <c r="W264" s="406" t="s">
        <v>1324</v>
      </c>
      <c r="X264" s="403"/>
      <c r="Y264" s="514"/>
      <c r="Z264" s="403"/>
      <c r="AB264" s="403"/>
      <c r="AH264" s="403">
        <f t="shared" si="34"/>
        <v>0</v>
      </c>
      <c r="AK264" s="409">
        <f t="shared" si="33"/>
        <v>0</v>
      </c>
      <c r="AL264" s="451"/>
      <c r="AM264" s="451"/>
      <c r="AQ264" s="410">
        <v>0.02</v>
      </c>
      <c r="AR264" s="411">
        <f t="shared" si="35"/>
        <v>0</v>
      </c>
      <c r="AS264" s="403"/>
      <c r="AT264" s="403"/>
      <c r="AU264" s="403"/>
      <c r="AV264" s="403"/>
      <c r="AW264" s="403"/>
      <c r="AX264" s="403"/>
      <c r="AY264" s="202"/>
      <c r="AZ264" s="101"/>
      <c r="BA264" s="403"/>
      <c r="BB264" s="403"/>
      <c r="BC264" s="403"/>
      <c r="BD264" s="403"/>
      <c r="BE264" s="403"/>
      <c r="CJ264" s="104"/>
    </row>
    <row r="265" s="149" customFormat="1" customHeight="1" spans="1:89">
      <c r="F265" s="451"/>
      <c r="G265" s="149" t="s">
        <v>2776</v>
      </c>
      <c r="I265" s="453" t="s">
        <v>2777</v>
      </c>
      <c r="J265" s="149">
        <v>14.44</v>
      </c>
      <c r="L265" s="149">
        <v>2290.86</v>
      </c>
      <c r="M265" s="402">
        <v>33080</v>
      </c>
      <c r="N265" s="403"/>
      <c r="O265" s="404"/>
      <c r="P265" s="490"/>
      <c r="Q265" s="492"/>
      <c r="R265" s="403"/>
      <c r="S265" s="406"/>
      <c r="T265" s="406"/>
      <c r="U265" s="406"/>
      <c r="V265" s="403">
        <v>3000</v>
      </c>
      <c r="W265" s="406">
        <v>45540</v>
      </c>
      <c r="X265" s="403">
        <f>80+30000</f>
        <v>30080</v>
      </c>
      <c r="Y265" s="514">
        <v>45546</v>
      </c>
      <c r="Z265" s="403"/>
      <c r="AB265" s="403"/>
      <c r="AH265" s="403">
        <f t="shared" si="34"/>
        <v>33080</v>
      </c>
      <c r="AK265" s="409">
        <f t="shared" si="33"/>
        <v>0</v>
      </c>
      <c r="AL265" s="451"/>
      <c r="AM265" s="451"/>
      <c r="AQ265" s="410">
        <v>0.02</v>
      </c>
      <c r="AR265" s="411">
        <f t="shared" si="35"/>
        <v>33080</v>
      </c>
      <c r="AS265" s="403"/>
      <c r="AT265" s="403"/>
      <c r="AU265" s="403"/>
      <c r="AV265" s="403"/>
      <c r="AW265" s="403"/>
      <c r="AX265" s="403"/>
      <c r="AY265" s="202"/>
      <c r="AZ265" s="101"/>
      <c r="BA265" s="403"/>
      <c r="BB265" s="403"/>
      <c r="BC265" s="403"/>
      <c r="BD265" s="403"/>
      <c r="BE265" s="403"/>
      <c r="BN265" s="149">
        <v>33080</v>
      </c>
      <c r="CJ265" s="104"/>
    </row>
    <row r="266" s="149" customFormat="1" customHeight="1" spans="1:89">
      <c r="F266" s="451"/>
      <c r="G266" s="149" t="s">
        <v>2778</v>
      </c>
      <c r="I266" s="453" t="s">
        <v>2779</v>
      </c>
      <c r="J266" s="149">
        <v>14.47</v>
      </c>
      <c r="L266" s="149">
        <v>2291.64</v>
      </c>
      <c r="M266" s="402">
        <v>33160</v>
      </c>
      <c r="N266" s="403"/>
      <c r="O266" s="404"/>
      <c r="P266" s="490"/>
      <c r="Q266" s="492"/>
      <c r="R266" s="403"/>
      <c r="S266" s="406"/>
      <c r="T266" s="406"/>
      <c r="U266" s="406"/>
      <c r="V266" s="403">
        <v>2000</v>
      </c>
      <c r="W266" s="406">
        <v>45541</v>
      </c>
      <c r="X266" s="403">
        <v>31160</v>
      </c>
      <c r="Y266" s="514">
        <v>45546</v>
      </c>
      <c r="Z266" s="403"/>
      <c r="AB266" s="403"/>
      <c r="AH266" s="403">
        <f t="shared" si="34"/>
        <v>33160</v>
      </c>
      <c r="AK266" s="409">
        <f t="shared" si="33"/>
        <v>0</v>
      </c>
      <c r="AL266" s="451"/>
      <c r="AM266" s="451"/>
      <c r="AQ266" s="410">
        <v>0.02</v>
      </c>
      <c r="AR266" s="411">
        <f t="shared" si="35"/>
        <v>33160</v>
      </c>
      <c r="AS266" s="403"/>
      <c r="AT266" s="403"/>
      <c r="AU266" s="403"/>
      <c r="AV266" s="403"/>
      <c r="AW266" s="403"/>
      <c r="AX266" s="403"/>
      <c r="AY266" s="202"/>
      <c r="AZ266" s="101"/>
      <c r="BA266" s="403"/>
      <c r="BB266" s="403"/>
      <c r="BC266" s="403"/>
      <c r="BD266" s="403"/>
      <c r="BE266" s="403"/>
      <c r="BN266" s="149">
        <v>33160</v>
      </c>
      <c r="CJ266" s="104"/>
    </row>
    <row r="267" s="109" customFormat="1" customHeight="1" spans="1:89">
      <c r="A267" s="477">
        <v>177</v>
      </c>
      <c r="B267" s="149"/>
      <c r="C267" s="149"/>
      <c r="D267" s="149"/>
      <c r="E267" s="149" t="s">
        <v>2780</v>
      </c>
      <c r="F267" s="451"/>
      <c r="G267" s="515"/>
      <c r="H267" s="149"/>
      <c r="I267" s="479" t="s">
        <v>2781</v>
      </c>
      <c r="J267" s="149">
        <v>107.96</v>
      </c>
      <c r="K267" s="149"/>
      <c r="L267" s="149"/>
      <c r="M267" s="402"/>
      <c r="N267" s="149">
        <v>8574.47</v>
      </c>
      <c r="O267" s="454"/>
      <c r="P267" s="490"/>
      <c r="Q267" s="492"/>
      <c r="R267" s="403"/>
      <c r="S267" s="406"/>
      <c r="T267" s="406"/>
      <c r="U267" s="406"/>
      <c r="V267" s="482"/>
      <c r="W267" s="185"/>
      <c r="X267" s="482"/>
      <c r="Y267" s="502"/>
      <c r="Z267" s="482"/>
      <c r="AB267" s="482"/>
      <c r="AH267" s="359">
        <f t="shared" si="34"/>
        <v>0</v>
      </c>
      <c r="AI267" s="149"/>
      <c r="AJ267" s="149"/>
      <c r="AK267" s="409">
        <f t="shared" si="31"/>
        <v>0</v>
      </c>
      <c r="AL267" s="451"/>
      <c r="AM267" s="516"/>
      <c r="AN267" s="149"/>
      <c r="AO267" s="149"/>
      <c r="AP267" s="149"/>
      <c r="AQ267" s="481"/>
      <c r="AR267" s="411">
        <f t="shared" si="35"/>
        <v>0</v>
      </c>
      <c r="AS267" s="482"/>
      <c r="AT267" s="482"/>
      <c r="AU267" s="482"/>
      <c r="AV267" s="482"/>
      <c r="AW267" s="482"/>
      <c r="AX267" s="482"/>
      <c r="AY267" s="504"/>
      <c r="BA267" s="482"/>
      <c r="BB267" s="482"/>
      <c r="BC267" s="482"/>
      <c r="BD267" s="482"/>
      <c r="BE267" s="482"/>
      <c r="CE267" s="149"/>
    </row>
    <row r="268" s="134" customFormat="1" customHeight="1" spans="1:89">
      <c r="A268" s="134">
        <v>178</v>
      </c>
      <c r="B268" s="134"/>
      <c r="C268" s="138">
        <v>45652</v>
      </c>
      <c r="D268" s="134">
        <v>20240006225</v>
      </c>
      <c r="E268" s="134" t="s">
        <v>2782</v>
      </c>
      <c r="F268" s="429" t="s">
        <v>2783</v>
      </c>
      <c r="G268" s="134" t="s">
        <v>2784</v>
      </c>
      <c r="H268" s="134"/>
      <c r="I268" s="414" t="s">
        <v>2785</v>
      </c>
      <c r="J268" s="134">
        <v>107.77</v>
      </c>
      <c r="K268" s="134">
        <v>107.77</v>
      </c>
      <c r="L268" s="134"/>
      <c r="M268" s="358">
        <f>1374+923958</f>
        <v>925332</v>
      </c>
      <c r="N268" s="134">
        <v>8586.17</v>
      </c>
      <c r="O268" s="445">
        <v>848928.44</v>
      </c>
      <c r="P268" s="415" t="s">
        <v>2786</v>
      </c>
      <c r="Q268" s="468">
        <v>45736</v>
      </c>
      <c r="R268" s="359"/>
      <c r="S268" s="362"/>
      <c r="T268" s="362"/>
      <c r="U268" s="362"/>
      <c r="V268" s="359">
        <v>923958</v>
      </c>
      <c r="W268" s="362" t="s">
        <v>2787</v>
      </c>
      <c r="X268" s="359">
        <v>1374</v>
      </c>
      <c r="Y268" s="362" t="s">
        <v>904</v>
      </c>
      <c r="Z268" s="359"/>
      <c r="AB268" s="359"/>
      <c r="AH268" s="359">
        <f t="shared" si="34"/>
        <v>925332</v>
      </c>
      <c r="AK268" s="364">
        <f t="shared" si="31"/>
        <v>0</v>
      </c>
      <c r="AL268" s="429"/>
      <c r="AM268" s="429"/>
      <c r="AN268" s="134"/>
      <c r="AO268" s="134"/>
      <c r="AP268" s="134"/>
      <c r="AQ268" s="365"/>
      <c r="AR268" s="419">
        <f t="shared" si="35"/>
        <v>0</v>
      </c>
      <c r="AS268" s="359"/>
      <c r="AT268" s="359"/>
      <c r="AU268" s="359"/>
      <c r="AV268" s="359"/>
      <c r="AW268" s="359"/>
      <c r="AX268" s="359"/>
      <c r="AY268" s="218"/>
      <c r="BA268" s="359"/>
      <c r="BB268" s="359"/>
      <c r="BC268" s="359"/>
      <c r="BD268" s="359"/>
      <c r="BE268" s="359"/>
      <c r="BZ268" s="134" t="s">
        <v>376</v>
      </c>
      <c r="CB268" s="134" t="s">
        <v>377</v>
      </c>
      <c r="CE268" s="149"/>
    </row>
    <row r="269" s="134" customFormat="1" customHeight="1" spans="1:89">
      <c r="A269" s="134">
        <v>179</v>
      </c>
      <c r="B269" s="134"/>
      <c r="C269" s="138">
        <v>45733</v>
      </c>
      <c r="D269" s="134">
        <v>20250001337</v>
      </c>
      <c r="E269" s="134" t="s">
        <v>2788</v>
      </c>
      <c r="F269" s="429" t="s">
        <v>2789</v>
      </c>
      <c r="G269" s="134" t="s">
        <v>2790</v>
      </c>
      <c r="H269" s="134"/>
      <c r="I269" s="423" t="s">
        <v>2791</v>
      </c>
      <c r="J269" s="134">
        <v>108.14</v>
      </c>
      <c r="K269" s="134">
        <v>108.14</v>
      </c>
      <c r="L269" s="134">
        <f>M269/K269</f>
        <v>5400</v>
      </c>
      <c r="M269" s="358">
        <v>583956</v>
      </c>
      <c r="N269" s="134">
        <v>5911.36</v>
      </c>
      <c r="O269" s="445">
        <v>535739.45</v>
      </c>
      <c r="P269" s="415" t="s">
        <v>2792</v>
      </c>
      <c r="Q269" s="468">
        <v>45736</v>
      </c>
      <c r="R269" s="359"/>
      <c r="S269" s="362"/>
      <c r="T269" s="362"/>
      <c r="U269" s="362"/>
      <c r="V269" s="359">
        <v>583956</v>
      </c>
      <c r="W269" s="362" t="s">
        <v>2793</v>
      </c>
      <c r="X269" s="359"/>
      <c r="Y269" s="438"/>
      <c r="Z269" s="359"/>
      <c r="AB269" s="359"/>
      <c r="AH269" s="359">
        <f t="shared" si="34"/>
        <v>583956</v>
      </c>
      <c r="AK269" s="364">
        <f t="shared" si="31"/>
        <v>0</v>
      </c>
      <c r="AL269" s="429" t="s">
        <v>2794</v>
      </c>
      <c r="AM269" s="429"/>
      <c r="AN269" s="134"/>
      <c r="AO269" s="134"/>
      <c r="AP269" s="134"/>
      <c r="AQ269" s="365"/>
      <c r="AR269" s="419">
        <f t="shared" si="35"/>
        <v>0</v>
      </c>
      <c r="AS269" s="359"/>
      <c r="AT269" s="359"/>
      <c r="AU269" s="359"/>
      <c r="AV269" s="359"/>
      <c r="AW269" s="359"/>
      <c r="AX269" s="359"/>
      <c r="AY269" s="218"/>
      <c r="BA269" s="359"/>
      <c r="BB269" s="359"/>
      <c r="BC269" s="359"/>
      <c r="BD269" s="359"/>
      <c r="BE269" s="359"/>
      <c r="BZ269" s="134" t="s">
        <v>376</v>
      </c>
      <c r="CB269" s="134" t="s">
        <v>377</v>
      </c>
      <c r="CE269" s="149"/>
    </row>
    <row r="270" s="134" customFormat="1" customHeight="1" spans="1:89">
      <c r="A270" s="134">
        <v>180</v>
      </c>
      <c r="B270" s="134"/>
      <c r="C270" s="138">
        <v>45652</v>
      </c>
      <c r="D270" s="134">
        <v>20240007463</v>
      </c>
      <c r="E270" s="134" t="s">
        <v>2795</v>
      </c>
      <c r="F270" s="429" t="s">
        <v>2796</v>
      </c>
      <c r="G270" s="134" t="s">
        <v>2797</v>
      </c>
      <c r="H270" s="134"/>
      <c r="I270" s="414" t="s">
        <v>2798</v>
      </c>
      <c r="J270" s="134">
        <v>107.77</v>
      </c>
      <c r="K270" s="134">
        <v>107.77</v>
      </c>
      <c r="L270" s="134">
        <f>M270/K270</f>
        <v>5400</v>
      </c>
      <c r="M270" s="358">
        <v>581958</v>
      </c>
      <c r="N270" s="134">
        <v>5934.81</v>
      </c>
      <c r="O270" s="445">
        <v>533906.42</v>
      </c>
      <c r="P270" s="415" t="s">
        <v>2799</v>
      </c>
      <c r="Q270" s="468">
        <v>45652</v>
      </c>
      <c r="R270" s="359"/>
      <c r="S270" s="362"/>
      <c r="T270" s="362"/>
      <c r="U270" s="362"/>
      <c r="V270" s="359">
        <v>181958</v>
      </c>
      <c r="W270" s="362" t="s">
        <v>2800</v>
      </c>
      <c r="X270" s="359">
        <v>400000</v>
      </c>
      <c r="Y270" s="438" t="s">
        <v>2801</v>
      </c>
      <c r="Z270" s="359"/>
      <c r="AB270" s="359"/>
      <c r="AH270" s="359">
        <f t="shared" si="34"/>
        <v>581958</v>
      </c>
      <c r="AK270" s="364">
        <f t="shared" si="31"/>
        <v>0</v>
      </c>
      <c r="AL270" s="429"/>
      <c r="AM270" s="429"/>
      <c r="AN270" s="134"/>
      <c r="AO270" s="134"/>
      <c r="AP270" s="134"/>
      <c r="AQ270" s="365"/>
      <c r="AR270" s="419">
        <f t="shared" si="35"/>
        <v>0</v>
      </c>
      <c r="AS270" s="359"/>
      <c r="AT270" s="359"/>
      <c r="AU270" s="359"/>
      <c r="AV270" s="359"/>
      <c r="AW270" s="359"/>
      <c r="AX270" s="359"/>
      <c r="AY270" s="218"/>
      <c r="BA270" s="359"/>
      <c r="BB270" s="359"/>
      <c r="BC270" s="359"/>
      <c r="BD270" s="359"/>
      <c r="BE270" s="359"/>
      <c r="BZ270" s="134" t="s">
        <v>376</v>
      </c>
      <c r="CB270" s="134" t="s">
        <v>377</v>
      </c>
      <c r="CE270" s="149"/>
    </row>
    <row r="271" s="109" customFormat="1" customHeight="1" spans="1:89">
      <c r="A271" s="134">
        <v>181</v>
      </c>
      <c r="B271" s="134"/>
      <c r="C271" s="138">
        <v>45778</v>
      </c>
      <c r="D271" s="134">
        <v>20250002252</v>
      </c>
      <c r="E271" s="134" t="s">
        <v>2802</v>
      </c>
      <c r="F271" s="429" t="s">
        <v>2803</v>
      </c>
      <c r="G271" s="134" t="s">
        <v>2804</v>
      </c>
      <c r="H271" s="134"/>
      <c r="I271" s="423" t="s">
        <v>2805</v>
      </c>
      <c r="J271" s="134">
        <v>108.14</v>
      </c>
      <c r="K271" s="134">
        <v>108.14</v>
      </c>
      <c r="L271" s="134">
        <v>5500</v>
      </c>
      <c r="M271" s="358">
        <v>594770</v>
      </c>
      <c r="N271" s="134">
        <v>5500</v>
      </c>
      <c r="O271" s="445">
        <v>545660.55</v>
      </c>
      <c r="P271" s="415" t="s">
        <v>2806</v>
      </c>
      <c r="Q271" s="468">
        <v>45790</v>
      </c>
      <c r="R271" s="359"/>
      <c r="S271" s="362"/>
      <c r="T271" s="362"/>
      <c r="U271" s="362"/>
      <c r="V271" s="359">
        <v>594770</v>
      </c>
      <c r="W271" s="362" t="s">
        <v>2807</v>
      </c>
      <c r="X271" s="359"/>
      <c r="Y271" s="438"/>
      <c r="Z271" s="359"/>
      <c r="AA271" s="134"/>
      <c r="AB271" s="359"/>
      <c r="AC271" s="134"/>
      <c r="AD271" s="134"/>
      <c r="AE271" s="134"/>
      <c r="AF271" s="134"/>
      <c r="AG271" s="134"/>
      <c r="AH271" s="359">
        <f t="shared" si="34"/>
        <v>594770</v>
      </c>
      <c r="AI271" s="134"/>
      <c r="AJ271" s="134"/>
      <c r="AK271" s="364">
        <f t="shared" si="31"/>
        <v>0</v>
      </c>
      <c r="AL271" s="429" t="s">
        <v>2808</v>
      </c>
      <c r="AM271" s="429"/>
      <c r="AN271" s="134"/>
      <c r="AO271" s="134"/>
      <c r="AP271" s="134"/>
      <c r="AQ271" s="365"/>
      <c r="AR271" s="419">
        <f t="shared" si="35"/>
        <v>0</v>
      </c>
      <c r="AS271" s="359"/>
      <c r="AT271" s="359">
        <v>100</v>
      </c>
      <c r="AU271" s="359"/>
      <c r="AV271" s="359"/>
      <c r="AW271" s="359"/>
      <c r="AX271" s="359"/>
      <c r="AY271" s="218"/>
      <c r="AZ271" s="134"/>
      <c r="BA271" s="359"/>
      <c r="BB271" s="359"/>
      <c r="BC271" s="359"/>
      <c r="BD271" s="359"/>
      <c r="BE271" s="359"/>
      <c r="BF271" s="134"/>
      <c r="BG271" s="134"/>
      <c r="BH271" s="134"/>
      <c r="BI271" s="134"/>
      <c r="BJ271" s="134"/>
      <c r="BK271" s="134"/>
      <c r="BL271" s="134"/>
      <c r="BM271" s="134"/>
      <c r="BN271" s="134"/>
      <c r="BO271" s="134"/>
      <c r="BP271" s="134"/>
      <c r="BQ271" s="134"/>
      <c r="BR271" s="134"/>
      <c r="BS271" s="134"/>
      <c r="BT271" s="134"/>
      <c r="BU271" s="134"/>
      <c r="BV271" s="134"/>
      <c r="BW271" s="134"/>
      <c r="BX271" s="134"/>
      <c r="BY271" s="134"/>
      <c r="BZ271" s="134" t="s">
        <v>376</v>
      </c>
      <c r="CA271" s="134"/>
      <c r="CB271" s="134" t="s">
        <v>377</v>
      </c>
      <c r="CC271" s="134"/>
      <c r="CD271" s="134"/>
      <c r="CE271" s="149"/>
      <c r="CF271" s="134"/>
      <c r="CG271" s="134"/>
      <c r="CH271" s="134"/>
      <c r="CI271" s="134"/>
      <c r="CJ271" s="134"/>
      <c r="CK271" s="134"/>
    </row>
    <row r="272" s="134" customFormat="1" customHeight="1" spans="1:89">
      <c r="A272" s="134">
        <v>182</v>
      </c>
      <c r="C272" s="138">
        <v>44966</v>
      </c>
      <c r="D272" s="134">
        <v>20230001167</v>
      </c>
      <c r="F272" s="429" t="s">
        <v>2809</v>
      </c>
      <c r="G272" s="143" t="s">
        <v>2810</v>
      </c>
      <c r="H272" s="1010" t="s">
        <v>2811</v>
      </c>
      <c r="I272" s="414" t="s">
        <v>2812</v>
      </c>
      <c r="J272" s="134">
        <v>107.77</v>
      </c>
      <c r="K272" s="134">
        <v>107.77</v>
      </c>
      <c r="L272" s="134">
        <v>5133.88</v>
      </c>
      <c r="M272" s="358">
        <v>553278</v>
      </c>
      <c r="N272" s="359"/>
      <c r="O272" s="145">
        <v>507594.5</v>
      </c>
      <c r="P272" s="415" t="s">
        <v>2813</v>
      </c>
      <c r="Q272" s="468">
        <v>45564</v>
      </c>
      <c r="R272" s="359"/>
      <c r="S272" s="362"/>
      <c r="T272" s="426" t="s">
        <v>2814</v>
      </c>
      <c r="U272" s="416" t="s">
        <v>2815</v>
      </c>
      <c r="V272" s="359">
        <f>2000</f>
        <v>2000</v>
      </c>
      <c r="W272" s="413" t="s">
        <v>2816</v>
      </c>
      <c r="X272" s="359">
        <v>18000</v>
      </c>
      <c r="Y272" s="438" t="s">
        <v>1398</v>
      </c>
      <c r="Z272" s="359">
        <v>182457</v>
      </c>
      <c r="AA272" s="134" t="s">
        <v>1377</v>
      </c>
      <c r="AB272" s="359">
        <v>100000</v>
      </c>
      <c r="AC272" s="134" t="s">
        <v>2265</v>
      </c>
      <c r="AD272" s="134">
        <f>350000-100000</f>
        <v>250000</v>
      </c>
      <c r="AE272" s="134" t="s">
        <v>1467</v>
      </c>
      <c r="AH272" s="359">
        <f t="shared" si="34"/>
        <v>552457</v>
      </c>
      <c r="AK272" s="364">
        <f t="shared" si="31"/>
        <v>821</v>
      </c>
      <c r="AL272" s="429" t="s">
        <v>2817</v>
      </c>
      <c r="AM272" s="429"/>
      <c r="AN272" s="134"/>
      <c r="AQ272" s="365">
        <f>0.6%+0.1%</f>
        <v>0.007</v>
      </c>
      <c r="AR272" s="419">
        <f t="shared" si="35"/>
        <v>552457</v>
      </c>
      <c r="AS272" s="359"/>
      <c r="AT272" s="359">
        <v>100</v>
      </c>
      <c r="AU272" s="359"/>
      <c r="AV272" s="359">
        <v>202457</v>
      </c>
      <c r="AW272" s="359"/>
      <c r="AX272" s="359"/>
      <c r="AY272" s="218">
        <v>350000</v>
      </c>
      <c r="BA272" s="359"/>
      <c r="BB272" s="359"/>
      <c r="BC272" s="359"/>
      <c r="BD272" s="359"/>
      <c r="BE272" s="359"/>
      <c r="BZ272" s="134" t="s">
        <v>376</v>
      </c>
      <c r="CA272" s="134" t="s">
        <v>387</v>
      </c>
      <c r="CB272" s="134" t="s">
        <v>377</v>
      </c>
      <c r="CE272" s="149"/>
    </row>
    <row r="273" s="134" customFormat="1" customHeight="1" spans="1:83">
      <c r="A273" s="134">
        <v>183</v>
      </c>
      <c r="B273" s="134"/>
      <c r="C273" s="138">
        <v>45840</v>
      </c>
      <c r="D273" s="134">
        <v>20250003540</v>
      </c>
      <c r="E273" s="134" t="s">
        <v>2818</v>
      </c>
      <c r="F273" s="429" t="s">
        <v>2819</v>
      </c>
      <c r="G273" s="134" t="s">
        <v>2820</v>
      </c>
      <c r="H273" s="134"/>
      <c r="I273" s="423" t="s">
        <v>2821</v>
      </c>
      <c r="J273" s="134">
        <v>108.14</v>
      </c>
      <c r="K273" s="134">
        <v>108.14</v>
      </c>
      <c r="L273" s="134">
        <f>M273/K273</f>
        <v>5590.00369890882</v>
      </c>
      <c r="M273" s="358">
        <v>604503</v>
      </c>
      <c r="N273" s="359">
        <v>5589.66</v>
      </c>
      <c r="O273" s="445">
        <v>554589.91</v>
      </c>
      <c r="P273" s="415" t="s">
        <v>2822</v>
      </c>
      <c r="Q273" s="468">
        <v>45846</v>
      </c>
      <c r="R273" s="359"/>
      <c r="S273" s="362"/>
      <c r="T273" s="362"/>
      <c r="U273" s="362"/>
      <c r="V273" s="359">
        <v>604503</v>
      </c>
      <c r="W273" s="362">
        <v>45840</v>
      </c>
      <c r="X273" s="359"/>
      <c r="Y273" s="438"/>
      <c r="Z273" s="359"/>
      <c r="AB273" s="359"/>
      <c r="AH273" s="359">
        <f t="shared" si="34"/>
        <v>604503</v>
      </c>
      <c r="AK273" s="364">
        <f t="shared" si="31"/>
        <v>0</v>
      </c>
      <c r="AL273" s="429" t="s">
        <v>2823</v>
      </c>
      <c r="AM273" s="429" t="s">
        <v>2824</v>
      </c>
      <c r="AN273" s="134"/>
      <c r="AO273" s="134"/>
      <c r="AP273" s="134"/>
      <c r="AQ273" s="365"/>
      <c r="AR273" s="419">
        <f t="shared" si="35"/>
        <v>0</v>
      </c>
      <c r="AS273" s="359"/>
      <c r="AT273" s="359"/>
      <c r="AU273" s="359"/>
      <c r="AV273" s="359"/>
      <c r="AW273" s="359"/>
      <c r="AX273" s="359"/>
      <c r="AY273" s="218"/>
      <c r="BA273" s="359"/>
      <c r="BB273" s="359"/>
      <c r="BC273" s="359"/>
      <c r="BD273" s="359"/>
      <c r="BE273" s="359"/>
      <c r="BZ273" s="134" t="s">
        <v>2825</v>
      </c>
      <c r="CB273" s="134" t="s">
        <v>377</v>
      </c>
    </row>
    <row r="274" s="134" customFormat="1" customHeight="1" spans="1:83">
      <c r="A274" s="134">
        <v>184</v>
      </c>
      <c r="C274" s="138">
        <v>45278</v>
      </c>
      <c r="D274" s="134">
        <v>20230010456</v>
      </c>
      <c r="F274" s="429" t="s">
        <v>2826</v>
      </c>
      <c r="G274" s="134" t="s">
        <v>2827</v>
      </c>
      <c r="I274" s="414" t="s">
        <v>2828</v>
      </c>
      <c r="J274" s="134">
        <v>107.77</v>
      </c>
      <c r="K274" s="134">
        <v>107.77</v>
      </c>
      <c r="L274" s="134">
        <v>5603.568</v>
      </c>
      <c r="M274" s="358">
        <v>603897</v>
      </c>
      <c r="N274" s="359">
        <v>5611.7</v>
      </c>
      <c r="O274" s="145">
        <v>554033.94</v>
      </c>
      <c r="P274" s="415" t="s">
        <v>2829</v>
      </c>
      <c r="Q274" s="468">
        <v>45564</v>
      </c>
      <c r="R274" s="359"/>
      <c r="S274" s="362"/>
      <c r="U274" s="362" t="s">
        <v>772</v>
      </c>
      <c r="V274" s="359">
        <v>20000</v>
      </c>
      <c r="W274" s="362" t="s">
        <v>2830</v>
      </c>
      <c r="X274" s="359">
        <v>183000</v>
      </c>
      <c r="Y274" s="438" t="s">
        <v>2831</v>
      </c>
      <c r="Z274" s="359">
        <v>400000</v>
      </c>
      <c r="AA274" s="362" t="s">
        <v>2832</v>
      </c>
      <c r="AB274" s="359"/>
      <c r="AH274" s="359">
        <f t="shared" si="34"/>
        <v>603000</v>
      </c>
      <c r="AK274" s="364">
        <f t="shared" si="31"/>
        <v>897</v>
      </c>
      <c r="AL274" s="429" t="s">
        <v>2833</v>
      </c>
      <c r="AM274" s="429"/>
      <c r="AQ274" s="365">
        <f>0.4%+0.03%+0.08%</f>
        <v>0.0051</v>
      </c>
      <c r="AR274" s="419">
        <f t="shared" si="35"/>
        <v>603000</v>
      </c>
      <c r="AS274" s="359"/>
      <c r="AT274" s="359"/>
      <c r="AU274" s="359"/>
      <c r="AV274" s="359"/>
      <c r="AW274" s="359"/>
      <c r="AX274" s="359"/>
      <c r="AY274" s="218"/>
      <c r="BA274" s="359"/>
      <c r="BB274" s="359"/>
      <c r="BC274" s="359"/>
      <c r="BD274" s="359"/>
      <c r="BE274" s="359"/>
      <c r="BF274" s="134">
        <v>203000</v>
      </c>
      <c r="BH274" s="134">
        <v>400000</v>
      </c>
      <c r="BZ274" s="134" t="s">
        <v>376</v>
      </c>
      <c r="CA274" s="134" t="s">
        <v>387</v>
      </c>
      <c r="CB274" s="134" t="s">
        <v>377</v>
      </c>
      <c r="CE274" s="149"/>
    </row>
    <row r="275" s="134" customFormat="1" customHeight="1" spans="1:83">
      <c r="A275" s="134">
        <v>185</v>
      </c>
      <c r="C275" s="138">
        <v>44963</v>
      </c>
      <c r="D275" s="134">
        <v>20230000833</v>
      </c>
      <c r="F275" s="429" t="s">
        <v>2834</v>
      </c>
      <c r="G275" s="134" t="s">
        <v>2753</v>
      </c>
      <c r="H275" s="1006" t="s">
        <v>2835</v>
      </c>
      <c r="I275" s="423" t="s">
        <v>2836</v>
      </c>
      <c r="J275" s="134">
        <v>108.14</v>
      </c>
      <c r="K275" s="134">
        <v>108.14</v>
      </c>
      <c r="L275" s="134">
        <v>5202.38</v>
      </c>
      <c r="M275" s="358">
        <v>562585</v>
      </c>
      <c r="N275" s="359"/>
      <c r="O275" s="145">
        <v>516133.03</v>
      </c>
      <c r="P275" s="415" t="s">
        <v>2837</v>
      </c>
      <c r="Q275" s="468">
        <v>45564</v>
      </c>
      <c r="R275" s="359"/>
      <c r="S275" s="362"/>
      <c r="T275" s="426" t="s">
        <v>2838</v>
      </c>
      <c r="U275" s="416" t="s">
        <v>2839</v>
      </c>
      <c r="V275" s="359">
        <f>1000-1000</f>
        <v>0</v>
      </c>
      <c r="W275" s="413"/>
      <c r="X275" s="359">
        <v>242753</v>
      </c>
      <c r="Y275" s="134" t="s">
        <v>1416</v>
      </c>
      <c r="Z275" s="359">
        <v>20000</v>
      </c>
      <c r="AA275" s="134" t="s">
        <v>2265</v>
      </c>
      <c r="AB275" s="359">
        <v>299000</v>
      </c>
      <c r="AC275" s="362" t="s">
        <v>928</v>
      </c>
      <c r="AD275" s="359">
        <v>832</v>
      </c>
      <c r="AE275" s="362" t="s">
        <v>1161</v>
      </c>
      <c r="AH275" s="359">
        <f t="shared" si="34"/>
        <v>562585</v>
      </c>
      <c r="AK275" s="364">
        <f t="shared" si="31"/>
        <v>0</v>
      </c>
      <c r="AL275" s="429" t="s">
        <v>2840</v>
      </c>
      <c r="AM275" s="429"/>
      <c r="AN275" s="134"/>
      <c r="AQ275" s="365">
        <f>0.6%+0.04%+0.1%</f>
        <v>0.0074</v>
      </c>
      <c r="AR275" s="419">
        <f t="shared" si="35"/>
        <v>561753</v>
      </c>
      <c r="AS275" s="359"/>
      <c r="AT275" s="359">
        <v>100</v>
      </c>
      <c r="AU275" s="359"/>
      <c r="AV275" s="359"/>
      <c r="AW275" s="359"/>
      <c r="AX275" s="359">
        <v>262753</v>
      </c>
      <c r="AY275" s="218"/>
      <c r="BA275" s="359">
        <v>299000</v>
      </c>
      <c r="BB275" s="359"/>
      <c r="BC275" s="359"/>
      <c r="BD275" s="359"/>
      <c r="BE275" s="359"/>
      <c r="BZ275" s="134" t="s">
        <v>376</v>
      </c>
      <c r="CA275" s="134" t="s">
        <v>387</v>
      </c>
      <c r="CB275" s="134" t="s">
        <v>377</v>
      </c>
      <c r="CE275" s="149"/>
    </row>
    <row r="276" s="134" customFormat="1" customHeight="1" spans="1:83">
      <c r="A276" s="134">
        <v>186</v>
      </c>
      <c r="C276" s="138">
        <v>45041</v>
      </c>
      <c r="D276" s="134">
        <v>20230003652</v>
      </c>
      <c r="F276" s="429" t="s">
        <v>2841</v>
      </c>
      <c r="G276" s="143" t="s">
        <v>2842</v>
      </c>
      <c r="H276" s="1006" t="s">
        <v>2843</v>
      </c>
      <c r="I276" s="414" t="s">
        <v>2844</v>
      </c>
      <c r="J276" s="134">
        <v>107.77</v>
      </c>
      <c r="K276" s="134">
        <v>107.77</v>
      </c>
      <c r="L276" s="134">
        <v>5440</v>
      </c>
      <c r="M276" s="358">
        <v>586269</v>
      </c>
      <c r="N276" s="359">
        <v>5363.37</v>
      </c>
      <c r="O276" s="145">
        <v>537861.47</v>
      </c>
      <c r="P276" s="415" t="s">
        <v>2845</v>
      </c>
      <c r="Q276" s="468">
        <v>45564</v>
      </c>
      <c r="R276" s="359"/>
      <c r="S276" s="362"/>
      <c r="T276" s="134" t="s">
        <v>2842</v>
      </c>
      <c r="U276" s="362" t="s">
        <v>2400</v>
      </c>
      <c r="V276" s="359">
        <f>20000-20000</f>
        <v>0</v>
      </c>
      <c r="W276" s="138" t="s">
        <v>1740</v>
      </c>
      <c r="X276" s="359">
        <v>10000</v>
      </c>
      <c r="Y276" s="138" t="s">
        <v>1573</v>
      </c>
      <c r="Z276" s="359">
        <v>175398</v>
      </c>
      <c r="AA276" s="134" t="s">
        <v>2121</v>
      </c>
      <c r="AB276" s="359">
        <v>400000</v>
      </c>
      <c r="AC276" s="134" t="s">
        <v>1400</v>
      </c>
      <c r="AH276" s="359">
        <f t="shared" si="34"/>
        <v>585398</v>
      </c>
      <c r="AK276" s="364">
        <f t="shared" si="31"/>
        <v>871</v>
      </c>
      <c r="AL276" s="429" t="s">
        <v>2846</v>
      </c>
      <c r="AM276" s="429"/>
      <c r="AQ276" s="365">
        <f>0.6%+0.06%+0.14%</f>
        <v>0.008</v>
      </c>
      <c r="AR276" s="419">
        <f t="shared" si="35"/>
        <v>585398</v>
      </c>
      <c r="AS276" s="359"/>
      <c r="AT276" s="359"/>
      <c r="AU276" s="359"/>
      <c r="AV276" s="359"/>
      <c r="AW276" s="359"/>
      <c r="AX276" s="359">
        <v>185398</v>
      </c>
      <c r="AY276" s="218">
        <v>400000</v>
      </c>
      <c r="BA276" s="359"/>
      <c r="BB276" s="359"/>
      <c r="BC276" s="359"/>
      <c r="BD276" s="359"/>
      <c r="BE276" s="359"/>
      <c r="BZ276" s="134" t="s">
        <v>376</v>
      </c>
      <c r="CA276" s="134" t="s">
        <v>387</v>
      </c>
      <c r="CB276" s="134" t="s">
        <v>377</v>
      </c>
      <c r="CE276" s="149"/>
    </row>
    <row r="277" s="134" customFormat="1" customHeight="1" spans="1:83">
      <c r="A277" s="134">
        <v>187</v>
      </c>
      <c r="C277" s="138">
        <v>44965</v>
      </c>
      <c r="D277" s="134">
        <v>20230001094</v>
      </c>
      <c r="F277" s="429" t="s">
        <v>2847</v>
      </c>
      <c r="G277" s="134" t="s">
        <v>2848</v>
      </c>
      <c r="H277" s="1006" t="s">
        <v>2849</v>
      </c>
      <c r="I277" s="423" t="s">
        <v>2850</v>
      </c>
      <c r="J277" s="134">
        <v>108.14</v>
      </c>
      <c r="K277" s="134">
        <v>108.14</v>
      </c>
      <c r="L277" s="134">
        <v>5388</v>
      </c>
      <c r="M277" s="358">
        <v>582658</v>
      </c>
      <c r="N277" s="359"/>
      <c r="O277" s="145">
        <v>534548.62</v>
      </c>
      <c r="P277" s="415" t="s">
        <v>2851</v>
      </c>
      <c r="Q277" s="468">
        <v>45564</v>
      </c>
      <c r="R277" s="359"/>
      <c r="S277" s="362"/>
      <c r="T277" s="134" t="s">
        <v>2848</v>
      </c>
      <c r="U277" s="134" t="s">
        <v>2848</v>
      </c>
      <c r="V277" s="359">
        <v>71796</v>
      </c>
      <c r="W277" s="138" t="s">
        <v>1481</v>
      </c>
      <c r="X277" s="359">
        <v>50000</v>
      </c>
      <c r="Y277" s="438" t="s">
        <v>2852</v>
      </c>
      <c r="Z277" s="359">
        <v>460000</v>
      </c>
      <c r="AA277" s="134" t="s">
        <v>2070</v>
      </c>
      <c r="AB277" s="359">
        <v>862</v>
      </c>
      <c r="AC277" s="362" t="s">
        <v>1161</v>
      </c>
      <c r="AH277" s="359">
        <f t="shared" si="34"/>
        <v>582658</v>
      </c>
      <c r="AK277" s="364">
        <f t="shared" si="31"/>
        <v>0</v>
      </c>
      <c r="AL277" s="429" t="s">
        <v>2853</v>
      </c>
      <c r="AM277" s="429"/>
      <c r="AQ277" s="365">
        <f>0.5%+0.05%+0.14%</f>
        <v>0.0069</v>
      </c>
      <c r="AR277" s="419">
        <f t="shared" si="35"/>
        <v>581796</v>
      </c>
      <c r="AS277" s="359"/>
      <c r="AT277" s="359"/>
      <c r="AU277" s="359"/>
      <c r="AV277" s="359"/>
      <c r="AW277" s="359"/>
      <c r="AX277" s="359">
        <v>121796</v>
      </c>
      <c r="AY277" s="218">
        <v>460000</v>
      </c>
      <c r="BA277" s="359"/>
      <c r="BB277" s="359"/>
      <c r="BC277" s="359"/>
      <c r="BD277" s="359"/>
      <c r="BE277" s="359"/>
      <c r="BZ277" s="134" t="s">
        <v>376</v>
      </c>
      <c r="CA277" s="134" t="s">
        <v>387</v>
      </c>
      <c r="CB277" s="134" t="s">
        <v>377</v>
      </c>
      <c r="CE277" s="149"/>
    </row>
    <row r="278" s="134" customFormat="1" customHeight="1" spans="1:83">
      <c r="A278" s="134">
        <v>188</v>
      </c>
      <c r="C278" s="138">
        <v>44967</v>
      </c>
      <c r="D278" s="134">
        <v>20230001270</v>
      </c>
      <c r="F278" s="429" t="s">
        <v>2854</v>
      </c>
      <c r="G278" s="134" t="s">
        <v>2855</v>
      </c>
      <c r="H278" s="1006" t="s">
        <v>2856</v>
      </c>
      <c r="I278" s="414" t="s">
        <v>2857</v>
      </c>
      <c r="J278" s="134">
        <v>107.77</v>
      </c>
      <c r="K278" s="134">
        <v>107.77</v>
      </c>
      <c r="L278" s="134">
        <v>5258.88</v>
      </c>
      <c r="M278" s="358">
        <v>566749</v>
      </c>
      <c r="N278" s="359"/>
      <c r="O278" s="145">
        <v>519953.21</v>
      </c>
      <c r="P278" s="415" t="s">
        <v>2858</v>
      </c>
      <c r="Q278" s="468">
        <v>45564</v>
      </c>
      <c r="R278" s="359"/>
      <c r="S278" s="362"/>
      <c r="T278" s="363" t="s">
        <v>2859</v>
      </c>
      <c r="U278" s="362" t="s">
        <v>2860</v>
      </c>
      <c r="V278" s="359">
        <v>20000</v>
      </c>
      <c r="W278" s="138" t="s">
        <v>1589</v>
      </c>
      <c r="X278" s="359">
        <v>246908</v>
      </c>
      <c r="Y278" s="438" t="s">
        <v>2861</v>
      </c>
      <c r="Z278" s="359">
        <v>299000</v>
      </c>
      <c r="AA278" s="362" t="s">
        <v>562</v>
      </c>
      <c r="AB278" s="359"/>
      <c r="AH278" s="359">
        <f t="shared" si="34"/>
        <v>565908</v>
      </c>
      <c r="AK278" s="364">
        <f t="shared" si="31"/>
        <v>841</v>
      </c>
      <c r="AL278" s="429" t="s">
        <v>2862</v>
      </c>
      <c r="AM278" s="429"/>
      <c r="AN278" s="134"/>
      <c r="AQ278" s="365">
        <f>0.4%+0.04%+0.1%+0.04%</f>
        <v>0.0058</v>
      </c>
      <c r="AR278" s="419">
        <f t="shared" si="35"/>
        <v>565908</v>
      </c>
      <c r="AS278" s="359"/>
      <c r="AT278" s="359"/>
      <c r="AU278" s="359"/>
      <c r="AV278" s="359">
        <v>266908</v>
      </c>
      <c r="AW278" s="359"/>
      <c r="AX278" s="359"/>
      <c r="AY278" s="218"/>
      <c r="BA278" s="359"/>
      <c r="BB278" s="359">
        <v>299000</v>
      </c>
      <c r="BC278" s="359"/>
      <c r="BD278" s="359"/>
      <c r="BE278" s="359"/>
      <c r="BZ278" s="134" t="s">
        <v>376</v>
      </c>
      <c r="CA278" s="134" t="s">
        <v>387</v>
      </c>
      <c r="CB278" s="134" t="s">
        <v>377</v>
      </c>
      <c r="CE278" s="149"/>
    </row>
    <row r="279" s="134" customFormat="1" customHeight="1" spans="1:83">
      <c r="A279" s="134">
        <v>189</v>
      </c>
      <c r="C279" s="138">
        <v>44935</v>
      </c>
      <c r="D279" s="134">
        <v>20230000205</v>
      </c>
      <c r="F279" s="429" t="s">
        <v>2863</v>
      </c>
      <c r="G279" s="134" t="s">
        <v>2751</v>
      </c>
      <c r="I279" s="414" t="s">
        <v>2864</v>
      </c>
      <c r="J279" s="134">
        <v>108.14</v>
      </c>
      <c r="K279" s="134">
        <v>108.14</v>
      </c>
      <c r="L279" s="134">
        <v>5292.38</v>
      </c>
      <c r="M279" s="358">
        <v>572318</v>
      </c>
      <c r="N279" s="359"/>
      <c r="O279" s="145">
        <v>525062.39</v>
      </c>
      <c r="P279" s="415" t="s">
        <v>2865</v>
      </c>
      <c r="Q279" s="468">
        <v>45564</v>
      </c>
      <c r="R279" s="359"/>
      <c r="S279" s="362"/>
      <c r="T279" s="363" t="s">
        <v>2866</v>
      </c>
      <c r="U279" s="362" t="s">
        <v>2867</v>
      </c>
      <c r="V279" s="359">
        <v>2000</v>
      </c>
      <c r="W279" s="138">
        <v>44760</v>
      </c>
      <c r="X279" s="359">
        <v>18000</v>
      </c>
      <c r="Y279" s="438" t="s">
        <v>1398</v>
      </c>
      <c r="Z279" s="359">
        <v>151471</v>
      </c>
      <c r="AA279" s="134" t="s">
        <v>2868</v>
      </c>
      <c r="AB279" s="359">
        <v>400000</v>
      </c>
      <c r="AC279" s="134" t="s">
        <v>1432</v>
      </c>
      <c r="AD279" s="359">
        <v>847</v>
      </c>
      <c r="AE279" s="362" t="s">
        <v>657</v>
      </c>
      <c r="AH279" s="359">
        <f t="shared" si="34"/>
        <v>572318</v>
      </c>
      <c r="AK279" s="364">
        <f t="shared" si="31"/>
        <v>0</v>
      </c>
      <c r="AL279" s="429" t="s">
        <v>2869</v>
      </c>
      <c r="AM279" s="429"/>
      <c r="AN279" s="134"/>
      <c r="AQ279" s="365">
        <f>0.4%+0.04%+0.1%</f>
        <v>0.0054</v>
      </c>
      <c r="AR279" s="419">
        <f t="shared" si="35"/>
        <v>571471</v>
      </c>
      <c r="AS279" s="359"/>
      <c r="AT279" s="359"/>
      <c r="AU279" s="359">
        <v>171471</v>
      </c>
      <c r="AV279" s="359"/>
      <c r="AW279" s="359">
        <v>400000</v>
      </c>
      <c r="AX279" s="359"/>
      <c r="AY279" s="218"/>
      <c r="BA279" s="359"/>
      <c r="BB279" s="359"/>
      <c r="BC279" s="359"/>
      <c r="BD279" s="359"/>
      <c r="BE279" s="359"/>
      <c r="BZ279" s="134" t="s">
        <v>376</v>
      </c>
      <c r="CA279" s="134" t="s">
        <v>387</v>
      </c>
      <c r="CB279" s="134" t="s">
        <v>377</v>
      </c>
      <c r="CE279" s="149"/>
    </row>
    <row r="280" s="134" customFormat="1" customHeight="1" spans="1:83">
      <c r="A280" s="134">
        <v>190</v>
      </c>
      <c r="C280" s="138">
        <v>45064</v>
      </c>
      <c r="D280" s="134">
        <v>20230004214</v>
      </c>
      <c r="F280" s="429" t="s">
        <v>2870</v>
      </c>
      <c r="G280" s="134" t="s">
        <v>2871</v>
      </c>
      <c r="H280" s="1006" t="s">
        <v>2872</v>
      </c>
      <c r="I280" s="414" t="s">
        <v>2873</v>
      </c>
      <c r="J280" s="134">
        <v>107.77</v>
      </c>
      <c r="K280" s="134">
        <v>107.77</v>
      </c>
      <c r="L280" s="134">
        <v>5600</v>
      </c>
      <c r="M280" s="358">
        <v>603512</v>
      </c>
      <c r="N280" s="359">
        <v>5537.2</v>
      </c>
      <c r="O280" s="145">
        <v>553680.73</v>
      </c>
      <c r="P280" s="415" t="s">
        <v>2874</v>
      </c>
      <c r="Q280" s="468">
        <v>45564</v>
      </c>
      <c r="R280" s="359"/>
      <c r="S280" s="362"/>
      <c r="T280" s="362" t="s">
        <v>2871</v>
      </c>
      <c r="U280" s="362" t="s">
        <v>2875</v>
      </c>
      <c r="V280" s="359">
        <v>20000</v>
      </c>
      <c r="W280" s="138" t="s">
        <v>2876</v>
      </c>
      <c r="X280" s="359">
        <v>162616</v>
      </c>
      <c r="Y280" s="438" t="s">
        <v>1467</v>
      </c>
      <c r="Z280" s="359">
        <v>420000</v>
      </c>
      <c r="AA280" s="134" t="s">
        <v>1771</v>
      </c>
      <c r="AB280" s="359"/>
      <c r="AH280" s="359">
        <f t="shared" si="34"/>
        <v>602616</v>
      </c>
      <c r="AK280" s="364">
        <f t="shared" si="31"/>
        <v>896</v>
      </c>
      <c r="AL280" s="429" t="s">
        <v>2877</v>
      </c>
      <c r="AM280" s="429"/>
      <c r="AQ280" s="365">
        <f t="shared" ref="AQ280:AQ282" si="36">0.6%+0.06%+0.14%</f>
        <v>0.008</v>
      </c>
      <c r="AR280" s="419">
        <f t="shared" si="35"/>
        <v>602616</v>
      </c>
      <c r="AS280" s="359">
        <f>100</f>
        <v>100</v>
      </c>
      <c r="AT280" s="359"/>
      <c r="AU280" s="359"/>
      <c r="AV280" s="359"/>
      <c r="AW280" s="359"/>
      <c r="AX280" s="359"/>
      <c r="AY280" s="218">
        <v>182616</v>
      </c>
      <c r="AZ280" s="128">
        <v>420000</v>
      </c>
      <c r="BA280" s="359"/>
      <c r="BB280" s="359"/>
      <c r="BC280" s="359"/>
      <c r="BD280" s="359"/>
      <c r="BE280" s="359"/>
      <c r="BZ280" s="134" t="s">
        <v>376</v>
      </c>
      <c r="CA280" s="134" t="s">
        <v>387</v>
      </c>
      <c r="CB280" s="134" t="s">
        <v>377</v>
      </c>
      <c r="CE280" s="149"/>
    </row>
    <row r="281" s="134" customFormat="1" customHeight="1" spans="1:83">
      <c r="A281" s="134">
        <v>191</v>
      </c>
      <c r="C281" s="138">
        <v>45027</v>
      </c>
      <c r="D281" s="134">
        <v>20230003251</v>
      </c>
      <c r="F281" s="429" t="s">
        <v>2878</v>
      </c>
      <c r="G281" s="134" t="s">
        <v>2879</v>
      </c>
      <c r="H281" s="1006" t="s">
        <v>2880</v>
      </c>
      <c r="I281" s="423" t="s">
        <v>2881</v>
      </c>
      <c r="J281" s="134">
        <v>108.14</v>
      </c>
      <c r="K281" s="134">
        <v>108.14</v>
      </c>
      <c r="L281" s="134">
        <v>5600</v>
      </c>
      <c r="M281" s="358">
        <v>605584</v>
      </c>
      <c r="N281" s="359">
        <v>5551.1</v>
      </c>
      <c r="O281" s="145">
        <v>555581.65</v>
      </c>
      <c r="P281" s="415" t="s">
        <v>2882</v>
      </c>
      <c r="Q281" s="468">
        <v>45564</v>
      </c>
      <c r="R281" s="359"/>
      <c r="S281" s="362"/>
      <c r="T281" s="134" t="s">
        <v>2879</v>
      </c>
      <c r="U281" s="362" t="s">
        <v>383</v>
      </c>
      <c r="V281" s="359">
        <v>20000</v>
      </c>
      <c r="W281" s="138" t="s">
        <v>1573</v>
      </c>
      <c r="X281" s="359">
        <v>101688</v>
      </c>
      <c r="Y281" s="438" t="s">
        <v>2043</v>
      </c>
      <c r="Z281" s="359">
        <v>483000</v>
      </c>
      <c r="AA281" s="134" t="s">
        <v>1527</v>
      </c>
      <c r="AB281" s="359">
        <v>896</v>
      </c>
      <c r="AC281" s="362">
        <v>45886</v>
      </c>
      <c r="AH281" s="359">
        <f t="shared" si="34"/>
        <v>605584</v>
      </c>
      <c r="AK281" s="364">
        <f t="shared" ref="AK281:AK332" si="37">M281-AH281</f>
        <v>0</v>
      </c>
      <c r="AL281" s="429" t="s">
        <v>2883</v>
      </c>
      <c r="AM281" s="429"/>
      <c r="AQ281" s="365">
        <f>0.6%+0.14%</f>
        <v>0.0074</v>
      </c>
      <c r="AR281" s="419">
        <f t="shared" si="35"/>
        <v>604688</v>
      </c>
      <c r="AS281" s="359"/>
      <c r="AT281" s="359"/>
      <c r="AU281" s="359"/>
      <c r="AV281" s="359"/>
      <c r="AW281" s="359"/>
      <c r="AX281" s="359">
        <v>604688</v>
      </c>
      <c r="AY281" s="218"/>
      <c r="BA281" s="359"/>
      <c r="BB281" s="359"/>
      <c r="BC281" s="359"/>
      <c r="BD281" s="359"/>
      <c r="BE281" s="359"/>
      <c r="BZ281" s="134" t="s">
        <v>376</v>
      </c>
      <c r="CA281" s="134" t="s">
        <v>387</v>
      </c>
      <c r="CB281" s="134" t="s">
        <v>377</v>
      </c>
      <c r="CE281" s="149"/>
    </row>
    <row r="282" s="134" customFormat="1" customHeight="1" spans="1:83">
      <c r="A282" s="134">
        <v>192</v>
      </c>
      <c r="C282" s="138">
        <v>45127</v>
      </c>
      <c r="D282" s="134">
        <v>20230006106</v>
      </c>
      <c r="F282" s="1007" t="s">
        <v>2884</v>
      </c>
      <c r="G282" s="134" t="s">
        <v>2885</v>
      </c>
      <c r="I282" s="414" t="s">
        <v>2886</v>
      </c>
      <c r="J282" s="134">
        <v>107.77</v>
      </c>
      <c r="K282" s="134">
        <v>107.77</v>
      </c>
      <c r="L282" s="134">
        <v>5643.04</v>
      </c>
      <c r="M282" s="358">
        <v>608150</v>
      </c>
      <c r="N282" s="359">
        <v>5563.04</v>
      </c>
      <c r="O282" s="145"/>
      <c r="P282" s="415"/>
      <c r="Q282" s="468"/>
      <c r="R282" s="359"/>
      <c r="S282" s="362"/>
      <c r="T282" s="362"/>
      <c r="U282" s="362"/>
      <c r="V282" s="359">
        <v>10000</v>
      </c>
      <c r="W282" s="138" t="s">
        <v>2887</v>
      </c>
      <c r="X282" s="359">
        <f>248+112000</f>
        <v>112248</v>
      </c>
      <c r="Y282" s="362" t="s">
        <v>1112</v>
      </c>
      <c r="Z282" s="359">
        <v>485000</v>
      </c>
      <c r="AA282" s="362" t="s">
        <v>2888</v>
      </c>
      <c r="AB282" s="359"/>
      <c r="AH282" s="359">
        <f t="shared" si="34"/>
        <v>607248</v>
      </c>
      <c r="AK282" s="364">
        <f t="shared" si="37"/>
        <v>902</v>
      </c>
      <c r="AL282" s="429"/>
      <c r="AM282" s="429"/>
      <c r="AQ282" s="365">
        <f t="shared" si="36"/>
        <v>0.008</v>
      </c>
      <c r="AR282" s="419">
        <f t="shared" si="35"/>
        <v>607248</v>
      </c>
      <c r="AS282" s="359"/>
      <c r="AT282" s="359"/>
      <c r="AU282" s="359"/>
      <c r="AV282" s="359"/>
      <c r="AW282" s="359"/>
      <c r="AX282" s="359"/>
      <c r="AY282" s="218"/>
      <c r="BA282" s="359">
        <v>122248</v>
      </c>
      <c r="BB282" s="359"/>
      <c r="BC282" s="359"/>
      <c r="BD282" s="359"/>
      <c r="BE282" s="359"/>
      <c r="BG282" s="134">
        <v>485000</v>
      </c>
      <c r="BZ282" s="134" t="s">
        <v>376</v>
      </c>
      <c r="CA282" s="134" t="s">
        <v>387</v>
      </c>
      <c r="CB282" s="134" t="s">
        <v>377</v>
      </c>
      <c r="CE282" s="149"/>
    </row>
    <row r="283" s="134" customFormat="1" customHeight="1" spans="1:83">
      <c r="A283" s="134">
        <v>193</v>
      </c>
      <c r="C283" s="138">
        <v>45112</v>
      </c>
      <c r="D283" s="134">
        <v>20230005577</v>
      </c>
      <c r="F283" s="429" t="s">
        <v>2889</v>
      </c>
      <c r="G283" s="134" t="s">
        <v>2890</v>
      </c>
      <c r="H283" s="1006" t="s">
        <v>2891</v>
      </c>
      <c r="I283" s="423" t="s">
        <v>2892</v>
      </c>
      <c r="J283" s="134">
        <v>108.14</v>
      </c>
      <c r="K283" s="134">
        <v>108.14</v>
      </c>
      <c r="L283" s="134">
        <v>5907.45</v>
      </c>
      <c r="M283" s="358">
        <v>638832</v>
      </c>
      <c r="N283" s="359">
        <v>5897.6</v>
      </c>
      <c r="O283" s="145">
        <v>586084.4</v>
      </c>
      <c r="P283" s="415" t="s">
        <v>2893</v>
      </c>
      <c r="Q283" s="468">
        <v>45564</v>
      </c>
      <c r="R283" s="359"/>
      <c r="S283" s="362"/>
      <c r="T283" s="362"/>
      <c r="U283" s="362"/>
      <c r="V283" s="359">
        <v>40000</v>
      </c>
      <c r="W283" s="362" t="s">
        <v>1208</v>
      </c>
      <c r="X283" s="359">
        <f>157887+440000</f>
        <v>597887</v>
      </c>
      <c r="Y283" s="362" t="s">
        <v>2894</v>
      </c>
      <c r="Z283" s="359">
        <v>945</v>
      </c>
      <c r="AA283" s="134" t="s">
        <v>2895</v>
      </c>
      <c r="AB283" s="359"/>
      <c r="AH283" s="359">
        <f t="shared" si="34"/>
        <v>638832</v>
      </c>
      <c r="AK283" s="364">
        <f t="shared" si="37"/>
        <v>0</v>
      </c>
      <c r="AL283" s="429" t="s">
        <v>2896</v>
      </c>
      <c r="AM283" s="429"/>
      <c r="AQ283" s="365">
        <f>0.4%+0.02%+0.08%</f>
        <v>0.005</v>
      </c>
      <c r="AR283" s="419">
        <f t="shared" si="35"/>
        <v>637887</v>
      </c>
      <c r="AS283" s="359"/>
      <c r="AT283" s="359"/>
      <c r="AU283" s="359"/>
      <c r="AV283" s="359"/>
      <c r="AW283" s="359"/>
      <c r="AX283" s="359"/>
      <c r="AY283" s="218"/>
      <c r="AZ283" s="128"/>
      <c r="BA283" s="359">
        <v>637887</v>
      </c>
      <c r="BB283" s="359"/>
      <c r="BC283" s="359"/>
      <c r="BD283" s="359"/>
      <c r="BE283" s="359"/>
      <c r="BZ283" s="134" t="s">
        <v>376</v>
      </c>
      <c r="CA283" s="134" t="s">
        <v>387</v>
      </c>
      <c r="CB283" s="134" t="s">
        <v>377</v>
      </c>
      <c r="CE283" s="149"/>
    </row>
    <row r="284" s="134" customFormat="1" customHeight="1" spans="1:83">
      <c r="A284" s="134">
        <v>194</v>
      </c>
      <c r="C284" s="138">
        <v>45074</v>
      </c>
      <c r="D284" s="134">
        <v>20230004483</v>
      </c>
      <c r="F284" s="429" t="s">
        <v>2897</v>
      </c>
      <c r="G284" s="134" t="s">
        <v>2741</v>
      </c>
      <c r="H284" s="1006" t="s">
        <v>2898</v>
      </c>
      <c r="I284" s="414" t="s">
        <v>2899</v>
      </c>
      <c r="J284" s="134">
        <v>107.77</v>
      </c>
      <c r="K284" s="134">
        <v>107.77</v>
      </c>
      <c r="L284" s="134">
        <v>5659.54</v>
      </c>
      <c r="M284" s="358">
        <v>609929</v>
      </c>
      <c r="N284" s="359">
        <v>5609.54</v>
      </c>
      <c r="O284" s="145">
        <v>559567.89</v>
      </c>
      <c r="P284" s="415" t="s">
        <v>2900</v>
      </c>
      <c r="Q284" s="468">
        <v>45564</v>
      </c>
      <c r="R284" s="359"/>
      <c r="S284" s="362"/>
      <c r="T284" s="362"/>
      <c r="U284" s="362" t="s">
        <v>662</v>
      </c>
      <c r="V284" s="359">
        <v>20000</v>
      </c>
      <c r="W284" s="362" t="s">
        <v>2901</v>
      </c>
      <c r="X284" s="359">
        <v>102023</v>
      </c>
      <c r="Y284" s="438" t="s">
        <v>1667</v>
      </c>
      <c r="Z284" s="359">
        <v>487000</v>
      </c>
      <c r="AA284" s="362" t="s">
        <v>1056</v>
      </c>
      <c r="AB284" s="359">
        <v>906</v>
      </c>
      <c r="AC284" s="362" t="s">
        <v>2902</v>
      </c>
      <c r="AH284" s="359">
        <f t="shared" si="34"/>
        <v>609929</v>
      </c>
      <c r="AK284" s="364">
        <f t="shared" si="37"/>
        <v>0</v>
      </c>
      <c r="AL284" s="429" t="s">
        <v>2903</v>
      </c>
      <c r="AM284" s="429"/>
      <c r="AQ284" s="365">
        <f>0.6%+0.14%</f>
        <v>0.0074</v>
      </c>
      <c r="AR284" s="419">
        <f t="shared" si="35"/>
        <v>609023</v>
      </c>
      <c r="AS284" s="359"/>
      <c r="AT284" s="359"/>
      <c r="AU284" s="359"/>
      <c r="AV284" s="359"/>
      <c r="AW284" s="359"/>
      <c r="AX284" s="359"/>
      <c r="AY284" s="218">
        <v>122023</v>
      </c>
      <c r="BA284" s="359">
        <v>487000</v>
      </c>
      <c r="BB284" s="359"/>
      <c r="BC284" s="359"/>
      <c r="BD284" s="359"/>
      <c r="BE284" s="359"/>
      <c r="BZ284" s="134" t="s">
        <v>376</v>
      </c>
      <c r="CA284" s="134" t="s">
        <v>387</v>
      </c>
      <c r="CB284" s="134" t="s">
        <v>377</v>
      </c>
      <c r="CE284" s="149"/>
    </row>
    <row r="285" s="134" customFormat="1" ht="66" customHeight="1" spans="1:83">
      <c r="A285" s="134">
        <v>195</v>
      </c>
      <c r="C285" s="138">
        <v>45199</v>
      </c>
      <c r="D285" s="134">
        <v>20230008382</v>
      </c>
      <c r="F285" s="474" t="s">
        <v>2904</v>
      </c>
      <c r="G285" s="143" t="s">
        <v>2905</v>
      </c>
      <c r="H285" s="1010" t="s">
        <v>2906</v>
      </c>
      <c r="I285" s="423" t="s">
        <v>2907</v>
      </c>
      <c r="J285" s="134">
        <v>108.14</v>
      </c>
      <c r="K285" s="134">
        <v>108.14</v>
      </c>
      <c r="L285" s="134">
        <v>5918.27</v>
      </c>
      <c r="M285" s="358">
        <v>640003</v>
      </c>
      <c r="N285" s="359">
        <v>5918.27</v>
      </c>
      <c r="O285" s="145">
        <v>587158.72</v>
      </c>
      <c r="P285" s="415" t="s">
        <v>2908</v>
      </c>
      <c r="Q285" s="468">
        <v>45564</v>
      </c>
      <c r="R285" s="359"/>
      <c r="S285" s="362"/>
      <c r="T285" s="362"/>
      <c r="U285" s="416" t="s">
        <v>486</v>
      </c>
      <c r="V285" s="359">
        <v>20000</v>
      </c>
      <c r="W285" s="438" t="s">
        <v>571</v>
      </c>
      <c r="X285" s="359">
        <v>29056</v>
      </c>
      <c r="Y285" s="134" t="s">
        <v>629</v>
      </c>
      <c r="Z285" s="359">
        <v>210000</v>
      </c>
      <c r="AA285" s="362" t="s">
        <v>430</v>
      </c>
      <c r="AB285" s="359">
        <v>380000</v>
      </c>
      <c r="AC285" s="134" t="s">
        <v>1618</v>
      </c>
      <c r="AD285" s="359">
        <v>947</v>
      </c>
      <c r="AE285" s="362" t="s">
        <v>2909</v>
      </c>
      <c r="AH285" s="359">
        <f t="shared" si="34"/>
        <v>640003</v>
      </c>
      <c r="AK285" s="364">
        <f t="shared" si="37"/>
        <v>0</v>
      </c>
      <c r="AL285" s="474" t="s">
        <v>2910</v>
      </c>
      <c r="AM285" s="429"/>
      <c r="AQ285" s="365">
        <f>0.7%+0.05%+0.12%</f>
        <v>0.0087</v>
      </c>
      <c r="AR285" s="419">
        <f t="shared" si="35"/>
        <v>639056</v>
      </c>
      <c r="AS285" s="359"/>
      <c r="AT285" s="359"/>
      <c r="AU285" s="359"/>
      <c r="AV285" s="359"/>
      <c r="AW285" s="359"/>
      <c r="AX285" s="359"/>
      <c r="AY285" s="218"/>
      <c r="BA285" s="359"/>
      <c r="BB285" s="359"/>
      <c r="BC285" s="359"/>
      <c r="BD285" s="359"/>
      <c r="BE285" s="359">
        <v>639056</v>
      </c>
      <c r="BZ285" s="134" t="s">
        <v>376</v>
      </c>
      <c r="CA285" s="134" t="s">
        <v>387</v>
      </c>
      <c r="CB285" s="134" t="s">
        <v>377</v>
      </c>
      <c r="CE285" s="149"/>
    </row>
    <row r="286" s="134" customFormat="1" customHeight="1" spans="1:83">
      <c r="A286" s="134">
        <v>196</v>
      </c>
      <c r="C286" s="138">
        <v>45203</v>
      </c>
      <c r="D286" s="134">
        <v>20230008584</v>
      </c>
      <c r="F286" s="429" t="s">
        <v>2911</v>
      </c>
      <c r="G286" s="134" t="s">
        <v>2912</v>
      </c>
      <c r="H286" s="1006" t="s">
        <v>2913</v>
      </c>
      <c r="I286" s="414" t="s">
        <v>2914</v>
      </c>
      <c r="J286" s="134">
        <v>107.77</v>
      </c>
      <c r="K286" s="134">
        <v>107.77</v>
      </c>
      <c r="L286" s="134">
        <v>5993.8</v>
      </c>
      <c r="M286" s="358">
        <v>645959</v>
      </c>
      <c r="N286" s="359">
        <v>5930.21</v>
      </c>
      <c r="O286" s="145">
        <v>592622.94</v>
      </c>
      <c r="P286" s="415" t="s">
        <v>2915</v>
      </c>
      <c r="Q286" s="468">
        <v>45564</v>
      </c>
      <c r="R286" s="359"/>
      <c r="S286" s="362"/>
      <c r="T286" s="362"/>
      <c r="U286" s="362" t="s">
        <v>677</v>
      </c>
      <c r="V286" s="359">
        <v>20000</v>
      </c>
      <c r="W286" s="362" t="s">
        <v>2279</v>
      </c>
      <c r="X286" s="359">
        <f>59000+50000</f>
        <v>109000</v>
      </c>
      <c r="Y286" s="362" t="s">
        <v>2916</v>
      </c>
      <c r="Z286" s="359">
        <v>516000</v>
      </c>
      <c r="AA286" s="362" t="s">
        <v>1668</v>
      </c>
      <c r="AB286" s="359">
        <v>959</v>
      </c>
      <c r="AC286" s="362" t="s">
        <v>1161</v>
      </c>
      <c r="AH286" s="359">
        <f t="shared" si="34"/>
        <v>645959</v>
      </c>
      <c r="AK286" s="364">
        <f t="shared" si="37"/>
        <v>0</v>
      </c>
      <c r="AL286" s="429" t="s">
        <v>2917</v>
      </c>
      <c r="AM286" s="429"/>
      <c r="AQ286" s="365">
        <f>0.7%+0.04%+0.12%</f>
        <v>0.0086</v>
      </c>
      <c r="AR286" s="419">
        <f t="shared" si="35"/>
        <v>645000</v>
      </c>
      <c r="AS286" s="359"/>
      <c r="AT286" s="359"/>
      <c r="AU286" s="359"/>
      <c r="AV286" s="359"/>
      <c r="AW286" s="359"/>
      <c r="AX286" s="359"/>
      <c r="AY286" s="218"/>
      <c r="BA286" s="359"/>
      <c r="BB286" s="359"/>
      <c r="BC286" s="359"/>
      <c r="BD286" s="359">
        <v>129000</v>
      </c>
      <c r="BE286" s="359">
        <v>516000</v>
      </c>
      <c r="BZ286" s="134" t="s">
        <v>376</v>
      </c>
      <c r="CA286" s="134" t="s">
        <v>387</v>
      </c>
      <c r="CB286" s="134" t="s">
        <v>377</v>
      </c>
      <c r="CE286" s="149"/>
    </row>
    <row r="287" s="134" customFormat="1" ht="50" customHeight="1" spans="1:83">
      <c r="A287" s="134">
        <v>197</v>
      </c>
      <c r="C287" s="138">
        <v>45317</v>
      </c>
      <c r="D287" s="517" t="s">
        <v>2918</v>
      </c>
      <c r="F287" s="429" t="s">
        <v>2919</v>
      </c>
      <c r="G287" s="440" t="s">
        <v>2920</v>
      </c>
      <c r="H287" s="1009" t="s">
        <v>2921</v>
      </c>
      <c r="I287" s="423" t="s">
        <v>2922</v>
      </c>
      <c r="J287" s="134">
        <v>108.14</v>
      </c>
      <c r="K287" s="134">
        <v>108.14</v>
      </c>
      <c r="L287" s="134">
        <v>7000</v>
      </c>
      <c r="M287" s="358">
        <v>756980</v>
      </c>
      <c r="N287" s="437">
        <v>6942</v>
      </c>
      <c r="O287" s="445">
        <v>694477.06</v>
      </c>
      <c r="P287" s="446" t="s">
        <v>2923</v>
      </c>
      <c r="Q287" s="468">
        <v>45564</v>
      </c>
      <c r="R287" s="359"/>
      <c r="S287" s="362"/>
      <c r="T287" s="362"/>
      <c r="U287" s="362" t="s">
        <v>410</v>
      </c>
      <c r="V287" s="359">
        <v>20000</v>
      </c>
      <c r="W287" s="362" t="s">
        <v>450</v>
      </c>
      <c r="X287" s="359">
        <f>66860+10000</f>
        <v>76860</v>
      </c>
      <c r="Y287" s="134" t="s">
        <v>727</v>
      </c>
      <c r="Z287" s="359">
        <v>59000</v>
      </c>
      <c r="AA287" s="362" t="s">
        <v>2924</v>
      </c>
      <c r="AB287" s="359">
        <v>400000</v>
      </c>
      <c r="AC287" s="362" t="s">
        <v>741</v>
      </c>
      <c r="AD287" s="359">
        <v>200000</v>
      </c>
      <c r="AE287" s="362" t="s">
        <v>2925</v>
      </c>
      <c r="AF287" s="359">
        <v>1120</v>
      </c>
      <c r="AG287" s="362" t="s">
        <v>2926</v>
      </c>
      <c r="AH287" s="359">
        <f t="shared" si="34"/>
        <v>756980</v>
      </c>
      <c r="AK287" s="364">
        <f t="shared" si="37"/>
        <v>0</v>
      </c>
      <c r="AL287" s="429" t="s">
        <v>2927</v>
      </c>
      <c r="AM287" s="429"/>
      <c r="AN287" s="447"/>
      <c r="AO287" s="447"/>
      <c r="AP287" s="447"/>
      <c r="AQ287" s="173">
        <f>0.7%+0.12%</f>
        <v>0.0082</v>
      </c>
      <c r="AR287" s="419">
        <f t="shared" si="35"/>
        <v>755860</v>
      </c>
      <c r="AS287" s="359"/>
      <c r="AT287" s="359"/>
      <c r="AU287" s="359"/>
      <c r="AV287" s="359"/>
      <c r="AW287" s="359"/>
      <c r="AX287" s="359"/>
      <c r="AY287" s="218"/>
      <c r="BA287" s="359"/>
      <c r="BB287" s="359"/>
      <c r="BC287" s="359"/>
      <c r="BD287" s="359"/>
      <c r="BE287" s="359"/>
      <c r="BI287" s="134">
        <v>155860</v>
      </c>
      <c r="BL287" s="134">
        <v>600000</v>
      </c>
      <c r="BZ287" s="134" t="s">
        <v>376</v>
      </c>
      <c r="CA287" s="134" t="s">
        <v>387</v>
      </c>
      <c r="CB287" s="134" t="s">
        <v>377</v>
      </c>
      <c r="CE287" s="149"/>
    </row>
    <row r="288" s="134" customFormat="1" customHeight="1" spans="1:83">
      <c r="A288" s="134">
        <v>198</v>
      </c>
      <c r="C288" s="138">
        <v>45587</v>
      </c>
      <c r="D288" s="496" t="s">
        <v>2928</v>
      </c>
      <c r="E288" s="134" t="s">
        <v>2929</v>
      </c>
      <c r="F288" s="429" t="s">
        <v>2930</v>
      </c>
      <c r="G288" s="420" t="s">
        <v>2931</v>
      </c>
      <c r="H288" s="420"/>
      <c r="I288" s="414" t="s">
        <v>2932</v>
      </c>
      <c r="J288" s="149">
        <v>107.77</v>
      </c>
      <c r="K288" s="149">
        <v>107.77</v>
      </c>
      <c r="L288" s="134">
        <v>6900</v>
      </c>
      <c r="M288" s="358">
        <f>L288*K288</f>
        <v>743613</v>
      </c>
      <c r="N288" s="134" t="s">
        <v>2933</v>
      </c>
      <c r="O288" s="445">
        <v>682213.76</v>
      </c>
      <c r="P288" s="446" t="s">
        <v>2934</v>
      </c>
      <c r="Q288" s="499">
        <v>46080</v>
      </c>
      <c r="R288" s="359"/>
      <c r="S288" s="362"/>
      <c r="T288" s="362"/>
      <c r="U288" s="362"/>
      <c r="V288" s="359">
        <v>742509</v>
      </c>
      <c r="W288" s="362" t="s">
        <v>832</v>
      </c>
      <c r="X288" s="359">
        <v>1104</v>
      </c>
      <c r="Y288" s="362">
        <v>45715</v>
      </c>
      <c r="Z288" s="359"/>
      <c r="AB288" s="359"/>
      <c r="AH288" s="359">
        <f t="shared" si="34"/>
        <v>743613</v>
      </c>
      <c r="AK288" s="364">
        <f t="shared" si="37"/>
        <v>0</v>
      </c>
      <c r="AL288" s="429"/>
      <c r="AM288" s="429"/>
      <c r="AN288" s="447"/>
      <c r="AO288" s="447"/>
      <c r="AP288" s="447"/>
      <c r="AQ288" s="365"/>
      <c r="AR288" s="419">
        <f t="shared" si="35"/>
        <v>0</v>
      </c>
      <c r="AS288" s="359"/>
      <c r="AT288" s="359"/>
      <c r="AU288" s="359"/>
      <c r="AV288" s="359"/>
      <c r="AW288" s="359"/>
      <c r="AX288" s="359"/>
      <c r="AY288" s="218"/>
      <c r="BA288" s="359"/>
      <c r="BB288" s="359"/>
      <c r="BC288" s="359"/>
      <c r="BD288" s="359"/>
      <c r="BE288" s="359"/>
      <c r="BZ288" s="134" t="s">
        <v>376</v>
      </c>
      <c r="CB288" s="134" t="s">
        <v>377</v>
      </c>
      <c r="CE288" s="149"/>
    </row>
    <row r="289" s="134" customFormat="1" customHeight="1" spans="1:83">
      <c r="A289" s="134">
        <v>199</v>
      </c>
      <c r="B289" s="134"/>
      <c r="C289" s="138">
        <v>45455</v>
      </c>
      <c r="D289" s="517" t="s">
        <v>2935</v>
      </c>
      <c r="F289" s="429" t="s">
        <v>2936</v>
      </c>
      <c r="G289" s="420" t="s">
        <v>2937</v>
      </c>
      <c r="H289" s="1009" t="s">
        <v>2938</v>
      </c>
      <c r="I289" s="423" t="s">
        <v>2939</v>
      </c>
      <c r="J289" s="134">
        <v>107.77</v>
      </c>
      <c r="K289" s="134">
        <v>107.77</v>
      </c>
      <c r="L289" s="134">
        <f>M289/K289</f>
        <v>8107.07061334323</v>
      </c>
      <c r="M289" s="358">
        <v>873699</v>
      </c>
      <c r="N289" s="134">
        <v>8107.07</v>
      </c>
      <c r="O289" s="445">
        <v>801558.72</v>
      </c>
      <c r="P289" s="446" t="s">
        <v>2940</v>
      </c>
      <c r="Q289" s="468">
        <v>45564</v>
      </c>
      <c r="R289" s="359"/>
      <c r="S289" s="362"/>
      <c r="T289" s="362" t="s">
        <v>2941</v>
      </c>
      <c r="U289" s="416" t="s">
        <v>2942</v>
      </c>
      <c r="V289" s="359">
        <v>10000</v>
      </c>
      <c r="W289" s="362" t="s">
        <v>2087</v>
      </c>
      <c r="X289" s="359">
        <v>10000</v>
      </c>
      <c r="Y289" s="362" t="s">
        <v>2471</v>
      </c>
      <c r="Z289" s="359">
        <v>93402</v>
      </c>
      <c r="AA289" s="134" t="s">
        <v>1077</v>
      </c>
      <c r="AB289" s="134">
        <v>30000</v>
      </c>
      <c r="AC289" s="134" t="s">
        <v>2943</v>
      </c>
      <c r="AD289" s="359">
        <f>230000+169000+30000</f>
        <v>429000</v>
      </c>
      <c r="AE289" s="416" t="s">
        <v>2944</v>
      </c>
      <c r="AF289" s="359">
        <f>300000+1297</f>
        <v>301297</v>
      </c>
      <c r="AG289" s="416" t="s">
        <v>2945</v>
      </c>
      <c r="AH289" s="359">
        <f t="shared" si="34"/>
        <v>873699</v>
      </c>
      <c r="AK289" s="364">
        <f t="shared" si="37"/>
        <v>0</v>
      </c>
      <c r="AL289" s="429" t="s">
        <v>2946</v>
      </c>
      <c r="AM289" s="429"/>
      <c r="AN289" s="447"/>
      <c r="AO289" s="447"/>
      <c r="AP289" s="447"/>
      <c r="AQ289" s="365">
        <f>0.7%+0.05%+0.14%</f>
        <v>0.0089</v>
      </c>
      <c r="AR289" s="419">
        <f t="shared" si="35"/>
        <v>872402</v>
      </c>
      <c r="AS289" s="359"/>
      <c r="AT289" s="359"/>
      <c r="AU289" s="359"/>
      <c r="AV289" s="359"/>
      <c r="AW289" s="359"/>
      <c r="AX289" s="359"/>
      <c r="AY289" s="218"/>
      <c r="BA289" s="359"/>
      <c r="BB289" s="359"/>
      <c r="BC289" s="359"/>
      <c r="BD289" s="359"/>
      <c r="BE289" s="359"/>
      <c r="BL289" s="134">
        <v>572402</v>
      </c>
      <c r="BM289" s="134">
        <v>300000</v>
      </c>
      <c r="BZ289" s="134" t="s">
        <v>376</v>
      </c>
      <c r="CA289" s="134" t="s">
        <v>387</v>
      </c>
      <c r="CB289" s="134" t="s">
        <v>377</v>
      </c>
      <c r="CE289" s="149"/>
    </row>
    <row r="290" s="134" customFormat="1" customHeight="1" spans="1:83">
      <c r="A290" s="134">
        <v>200</v>
      </c>
      <c r="B290" s="134"/>
      <c r="C290" s="138">
        <v>45650</v>
      </c>
      <c r="D290" s="134">
        <v>20240007418</v>
      </c>
      <c r="E290" s="134" t="s">
        <v>2947</v>
      </c>
      <c r="F290" s="429" t="s">
        <v>2948</v>
      </c>
      <c r="G290" s="420" t="s">
        <v>2949</v>
      </c>
      <c r="H290" s="420"/>
      <c r="I290" s="414" t="s">
        <v>2950</v>
      </c>
      <c r="J290" s="134">
        <v>107.58</v>
      </c>
      <c r="K290" s="134">
        <v>107.58</v>
      </c>
      <c r="L290" s="134">
        <v>8606.6</v>
      </c>
      <c r="M290" s="358">
        <v>925898</v>
      </c>
      <c r="N290" s="134"/>
      <c r="O290" s="445">
        <v>849447.71</v>
      </c>
      <c r="P290" s="415" t="s">
        <v>2951</v>
      </c>
      <c r="Q290" s="468">
        <v>45755</v>
      </c>
      <c r="R290" s="359"/>
      <c r="S290" s="362"/>
      <c r="T290" s="362"/>
      <c r="U290" s="362"/>
      <c r="V290" s="359">
        <v>925898</v>
      </c>
      <c r="W290" s="362" t="s">
        <v>2952</v>
      </c>
      <c r="X290" s="359"/>
      <c r="Y290" s="443"/>
      <c r="Z290" s="359"/>
      <c r="AA290" s="138"/>
      <c r="AB290" s="359"/>
      <c r="AC290" s="134"/>
      <c r="AD290" s="134"/>
      <c r="AE290" s="134"/>
      <c r="AF290" s="134"/>
      <c r="AG290" s="134"/>
      <c r="AH290" s="359">
        <f t="shared" si="34"/>
        <v>925898</v>
      </c>
      <c r="AK290" s="364">
        <f t="shared" si="37"/>
        <v>0</v>
      </c>
      <c r="AL290" s="474" t="s">
        <v>2953</v>
      </c>
      <c r="AM290" s="474"/>
      <c r="AN290" s="441"/>
      <c r="AO290" s="441"/>
      <c r="AP290" s="441"/>
      <c r="AQ290" s="365"/>
      <c r="AR290" s="419">
        <f t="shared" si="35"/>
        <v>0</v>
      </c>
      <c r="AS290" s="359"/>
      <c r="AT290" s="359"/>
      <c r="AU290" s="359"/>
      <c r="AV290" s="359"/>
      <c r="AW290" s="359"/>
      <c r="AX290" s="359"/>
      <c r="AY290" s="218"/>
      <c r="BA290" s="359"/>
      <c r="BB290" s="359"/>
      <c r="BC290" s="359"/>
      <c r="BD290" s="359"/>
      <c r="BE290" s="359"/>
      <c r="BZ290" s="134" t="s">
        <v>376</v>
      </c>
      <c r="CB290" s="134" t="s">
        <v>377</v>
      </c>
      <c r="CE290" s="149"/>
    </row>
    <row r="291" s="134" customFormat="1" customHeight="1" spans="1:83">
      <c r="A291" s="134">
        <v>201</v>
      </c>
      <c r="B291" s="134"/>
      <c r="C291" s="138">
        <v>45668</v>
      </c>
      <c r="D291" s="134">
        <v>20250000181</v>
      </c>
      <c r="E291" s="134" t="s">
        <v>2954</v>
      </c>
      <c r="F291" s="429" t="s">
        <v>2955</v>
      </c>
      <c r="G291" s="429" t="s">
        <v>2956</v>
      </c>
      <c r="H291" s="420"/>
      <c r="I291" s="423" t="s">
        <v>2957</v>
      </c>
      <c r="J291" s="134">
        <v>107.77</v>
      </c>
      <c r="K291" s="134">
        <v>107.77</v>
      </c>
      <c r="L291" s="134">
        <v>5474.62</v>
      </c>
      <c r="M291" s="358">
        <v>590000</v>
      </c>
      <c r="N291" s="134">
        <v>5947.67</v>
      </c>
      <c r="O291" s="445">
        <v>541284.4</v>
      </c>
      <c r="P291" s="1014" t="s">
        <v>2958</v>
      </c>
      <c r="Q291" s="468">
        <v>45715</v>
      </c>
      <c r="R291" s="359"/>
      <c r="S291" s="138"/>
      <c r="T291" s="362"/>
      <c r="U291" s="362"/>
      <c r="V291" s="359">
        <v>100000</v>
      </c>
      <c r="W291" s="138" t="s">
        <v>2959</v>
      </c>
      <c r="X291" s="359">
        <v>18000</v>
      </c>
      <c r="Y291" s="138" t="s">
        <v>2960</v>
      </c>
      <c r="Z291" s="359">
        <v>472000</v>
      </c>
      <c r="AA291" s="138" t="s">
        <v>1209</v>
      </c>
      <c r="AB291" s="359"/>
      <c r="AC291" s="134"/>
      <c r="AD291" s="134"/>
      <c r="AE291" s="134"/>
      <c r="AF291" s="134"/>
      <c r="AG291" s="134"/>
      <c r="AH291" s="359">
        <f t="shared" si="34"/>
        <v>590000</v>
      </c>
      <c r="AK291" s="364">
        <f t="shared" si="37"/>
        <v>0</v>
      </c>
      <c r="AL291" s="429" t="s">
        <v>2961</v>
      </c>
      <c r="AM291" s="429"/>
      <c r="AN291" s="441"/>
      <c r="AO291" s="441"/>
      <c r="AP291" s="441"/>
      <c r="AQ291" s="365"/>
      <c r="AR291" s="419">
        <f t="shared" si="35"/>
        <v>0</v>
      </c>
      <c r="AS291" s="359"/>
      <c r="AT291" s="359"/>
      <c r="AU291" s="359"/>
      <c r="AV291" s="359"/>
      <c r="AW291" s="359"/>
      <c r="AX291" s="359"/>
      <c r="AY291" s="218"/>
      <c r="BA291" s="359"/>
      <c r="BB291" s="359"/>
      <c r="BC291" s="359"/>
      <c r="BD291" s="359"/>
      <c r="BE291" s="359"/>
      <c r="BZ291" s="134" t="s">
        <v>376</v>
      </c>
      <c r="CB291" s="134" t="s">
        <v>377</v>
      </c>
      <c r="CE291" s="149"/>
    </row>
    <row r="292" s="134" customFormat="1" customHeight="1" spans="1:83">
      <c r="A292" s="134">
        <v>202</v>
      </c>
      <c r="B292" s="134"/>
      <c r="C292" s="138">
        <v>46155</v>
      </c>
      <c r="D292" s="134">
        <v>20260002355</v>
      </c>
      <c r="E292" s="134" t="s">
        <v>128</v>
      </c>
      <c r="F292" s="429" t="s">
        <v>129</v>
      </c>
      <c r="G292" s="420" t="s">
        <v>130</v>
      </c>
      <c r="H292" s="420"/>
      <c r="I292" s="414" t="s">
        <v>131</v>
      </c>
      <c r="J292" s="134">
        <v>107.77</v>
      </c>
      <c r="K292" s="134">
        <v>107.77</v>
      </c>
      <c r="L292" s="134"/>
      <c r="M292" s="358">
        <v>510000</v>
      </c>
      <c r="N292" s="134">
        <v>8617.55</v>
      </c>
      <c r="O292" s="445">
        <v>467889.91</v>
      </c>
      <c r="P292" s="470" t="s">
        <v>2962</v>
      </c>
      <c r="Q292" s="518">
        <v>46157</v>
      </c>
      <c r="R292" s="359"/>
      <c r="S292" s="362"/>
      <c r="T292" s="362"/>
      <c r="U292" s="362"/>
      <c r="V292" s="359">
        <v>77000</v>
      </c>
      <c r="W292" s="362" t="s">
        <v>2963</v>
      </c>
      <c r="X292" s="359"/>
      <c r="Y292" s="138"/>
      <c r="Z292" s="359"/>
      <c r="AA292" s="138"/>
      <c r="AB292" s="359"/>
      <c r="AC292" s="134"/>
      <c r="AD292" s="134"/>
      <c r="AE292" s="134"/>
      <c r="AF292" s="134"/>
      <c r="AG292" s="134"/>
      <c r="AH292" s="359">
        <f t="shared" si="34"/>
        <v>77000</v>
      </c>
      <c r="AK292" s="364">
        <f t="shared" si="37"/>
        <v>433000</v>
      </c>
      <c r="AL292" s="429"/>
      <c r="AM292" s="429"/>
      <c r="AN292" s="441"/>
      <c r="AO292" s="441"/>
      <c r="AP292" s="441"/>
      <c r="AQ292" s="365"/>
      <c r="AR292" s="419">
        <f t="shared" si="35"/>
        <v>0</v>
      </c>
      <c r="AS292" s="359"/>
      <c r="AT292" s="359"/>
      <c r="AU292" s="359"/>
      <c r="AV292" s="359"/>
      <c r="AW292" s="359"/>
      <c r="AX292" s="359"/>
      <c r="AY292" s="218"/>
      <c r="BA292" s="359"/>
      <c r="BB292" s="359"/>
      <c r="BC292" s="359"/>
      <c r="BD292" s="359"/>
      <c r="BE292" s="359"/>
      <c r="BZ292" s="134" t="s">
        <v>376</v>
      </c>
    </row>
    <row r="293" s="134" customFormat="1" ht="38" customHeight="1" spans="1:83">
      <c r="A293" s="134">
        <v>203</v>
      </c>
      <c r="C293" s="138">
        <v>44977</v>
      </c>
      <c r="D293" s="134">
        <v>20230001739</v>
      </c>
      <c r="F293" s="1006" t="s">
        <v>2964</v>
      </c>
      <c r="G293" s="143" t="s">
        <v>2764</v>
      </c>
      <c r="H293" s="143"/>
      <c r="I293" s="423" t="s">
        <v>2965</v>
      </c>
      <c r="J293" s="134">
        <v>107.77</v>
      </c>
      <c r="K293" s="134">
        <v>107.77</v>
      </c>
      <c r="L293" s="134">
        <v>5261.13</v>
      </c>
      <c r="M293" s="358">
        <v>566992</v>
      </c>
      <c r="N293" s="134">
        <v>8618.09</v>
      </c>
      <c r="O293" s="145">
        <v>520176.15</v>
      </c>
      <c r="P293" s="1014" t="s">
        <v>2966</v>
      </c>
      <c r="Q293" s="468">
        <v>45564</v>
      </c>
      <c r="R293" s="359"/>
      <c r="S293" s="416"/>
      <c r="T293" s="416" t="s">
        <v>2764</v>
      </c>
      <c r="U293" s="416" t="s">
        <v>2764</v>
      </c>
      <c r="V293" s="359">
        <f>2000-2000</f>
        <v>0</v>
      </c>
      <c r="W293" s="413">
        <v>44776</v>
      </c>
      <c r="X293" s="359">
        <v>566150</v>
      </c>
      <c r="Y293" s="138" t="s">
        <v>1365</v>
      </c>
      <c r="Z293" s="359">
        <v>842</v>
      </c>
      <c r="AA293" s="416" t="s">
        <v>2967</v>
      </c>
      <c r="AB293" s="359"/>
      <c r="AH293" s="359">
        <f t="shared" si="34"/>
        <v>566992</v>
      </c>
      <c r="AK293" s="364">
        <f t="shared" si="37"/>
        <v>0</v>
      </c>
      <c r="AL293" s="429" t="s">
        <v>2968</v>
      </c>
      <c r="AM293" s="429"/>
      <c r="AN293" s="441"/>
      <c r="AO293" s="441"/>
      <c r="AP293" s="441"/>
      <c r="AQ293" s="365">
        <f>0.5%+0.06%+0.14%</f>
        <v>0.007</v>
      </c>
      <c r="AR293" s="419">
        <f t="shared" si="35"/>
        <v>566150</v>
      </c>
      <c r="AS293" s="359"/>
      <c r="AT293" s="359">
        <f>100+100</f>
        <v>200</v>
      </c>
      <c r="AU293" s="359"/>
      <c r="AV293" s="359">
        <v>566150</v>
      </c>
      <c r="AW293" s="359"/>
      <c r="AX293" s="359"/>
      <c r="AY293" s="218"/>
      <c r="BA293" s="359"/>
      <c r="BB293" s="359"/>
      <c r="BC293" s="359"/>
      <c r="BD293" s="359"/>
      <c r="BE293" s="359"/>
      <c r="BZ293" s="134" t="s">
        <v>376</v>
      </c>
      <c r="CA293" s="134" t="s">
        <v>387</v>
      </c>
      <c r="CB293" s="134" t="s">
        <v>377</v>
      </c>
      <c r="CE293" s="149"/>
    </row>
    <row r="294" s="134" customFormat="1" customHeight="1" spans="1:83">
      <c r="A294" s="134">
        <v>204</v>
      </c>
      <c r="C294" s="138">
        <v>44998</v>
      </c>
      <c r="D294" s="496" t="s">
        <v>2969</v>
      </c>
      <c r="F294" s="429" t="s">
        <v>2970</v>
      </c>
      <c r="G294" s="440" t="s">
        <v>2971</v>
      </c>
      <c r="H294" s="1008" t="s">
        <v>2972</v>
      </c>
      <c r="I294" s="414" t="s">
        <v>2973</v>
      </c>
      <c r="J294" s="134">
        <v>107.77</v>
      </c>
      <c r="K294" s="134">
        <v>107.77</v>
      </c>
      <c r="L294" s="134">
        <v>5296.9</v>
      </c>
      <c r="M294" s="358">
        <v>570848</v>
      </c>
      <c r="N294" s="134">
        <v>5954.61</v>
      </c>
      <c r="O294" s="445">
        <v>523713.76</v>
      </c>
      <c r="P294" s="446" t="s">
        <v>2974</v>
      </c>
      <c r="Q294" s="468">
        <v>45564</v>
      </c>
      <c r="R294" s="359"/>
      <c r="S294" s="362"/>
      <c r="T294" s="416" t="s">
        <v>2975</v>
      </c>
      <c r="U294" s="416" t="s">
        <v>2976</v>
      </c>
      <c r="V294" s="359">
        <f>20000</f>
        <v>20000</v>
      </c>
      <c r="W294" s="413" t="s">
        <v>1839</v>
      </c>
      <c r="X294" s="359">
        <f>40000+310000</f>
        <v>350000</v>
      </c>
      <c r="Y294" s="138" t="s">
        <v>2876</v>
      </c>
      <c r="Z294" s="359">
        <v>200000</v>
      </c>
      <c r="AA294" s="138" t="s">
        <v>1645</v>
      </c>
      <c r="AB294" s="359">
        <v>848</v>
      </c>
      <c r="AC294" s="362" t="s">
        <v>2977</v>
      </c>
      <c r="AD294" s="488"/>
      <c r="AE294" s="488"/>
      <c r="AF294" s="488"/>
      <c r="AG294" s="488"/>
      <c r="AH294" s="359">
        <f t="shared" si="34"/>
        <v>570848</v>
      </c>
      <c r="AK294" s="364">
        <f t="shared" si="37"/>
        <v>0</v>
      </c>
      <c r="AL294" s="429" t="s">
        <v>2978</v>
      </c>
      <c r="AM294" s="429"/>
      <c r="AN294" s="447"/>
      <c r="AO294" s="447"/>
      <c r="AP294" s="447"/>
      <c r="AQ294" s="365">
        <f>0.4%+0.06%+0.14%</f>
        <v>0.006</v>
      </c>
      <c r="AR294" s="419">
        <f t="shared" si="35"/>
        <v>570000</v>
      </c>
      <c r="AS294" s="359">
        <f t="shared" ref="AS294:AS300" si="38">100</f>
        <v>100</v>
      </c>
      <c r="AT294" s="359"/>
      <c r="AU294" s="359"/>
      <c r="AV294" s="359"/>
      <c r="AW294" s="359">
        <v>570000</v>
      </c>
      <c r="AX294" s="359"/>
      <c r="AY294" s="218"/>
      <c r="BA294" s="359"/>
      <c r="BB294" s="359"/>
      <c r="BC294" s="359"/>
      <c r="BD294" s="359"/>
      <c r="BE294" s="359"/>
      <c r="BZ294" s="134" t="s">
        <v>376</v>
      </c>
      <c r="CA294" s="134" t="s">
        <v>387</v>
      </c>
      <c r="CB294" s="134" t="s">
        <v>377</v>
      </c>
      <c r="CE294" s="149"/>
    </row>
    <row r="295" s="134" customFormat="1" customHeight="1" spans="1:83">
      <c r="A295" s="134">
        <v>205</v>
      </c>
      <c r="C295" s="138">
        <v>45006</v>
      </c>
      <c r="D295" s="496" t="s">
        <v>2979</v>
      </c>
      <c r="F295" s="429" t="s">
        <v>2980</v>
      </c>
      <c r="G295" s="420" t="s">
        <v>2981</v>
      </c>
      <c r="H295" s="1009" t="s">
        <v>2982</v>
      </c>
      <c r="I295" s="414" t="s">
        <v>2983</v>
      </c>
      <c r="J295" s="134">
        <v>107.77</v>
      </c>
      <c r="K295" s="134">
        <v>107.77</v>
      </c>
      <c r="L295" s="134">
        <v>5350</v>
      </c>
      <c r="M295" s="358">
        <v>576569</v>
      </c>
      <c r="N295" s="134">
        <v>5952.89</v>
      </c>
      <c r="O295" s="445">
        <v>528962.39</v>
      </c>
      <c r="P295" s="446" t="s">
        <v>2984</v>
      </c>
      <c r="Q295" s="468">
        <v>45564</v>
      </c>
      <c r="R295" s="359"/>
      <c r="S295" s="362"/>
      <c r="T295" s="420" t="s">
        <v>2985</v>
      </c>
      <c r="U295" s="420" t="s">
        <v>2986</v>
      </c>
      <c r="V295" s="359">
        <v>20000</v>
      </c>
      <c r="W295" s="138" t="s">
        <v>926</v>
      </c>
      <c r="X295" s="359">
        <v>5713</v>
      </c>
      <c r="Y295" s="443" t="s">
        <v>1677</v>
      </c>
      <c r="Z295" s="359">
        <v>260000</v>
      </c>
      <c r="AA295" s="134" t="s">
        <v>1871</v>
      </c>
      <c r="AB295" s="359">
        <v>290000</v>
      </c>
      <c r="AC295" s="362" t="s">
        <v>2987</v>
      </c>
      <c r="AD295" s="359">
        <v>856</v>
      </c>
      <c r="AE295" s="362" t="s">
        <v>2988</v>
      </c>
      <c r="AH295" s="359">
        <f t="shared" si="34"/>
        <v>576569</v>
      </c>
      <c r="AK295" s="364">
        <f t="shared" si="37"/>
        <v>0</v>
      </c>
      <c r="AL295" s="429" t="s">
        <v>2989</v>
      </c>
      <c r="AM295" s="429"/>
      <c r="AN295" s="447"/>
      <c r="AO295" s="447"/>
      <c r="AP295" s="447"/>
      <c r="AQ295" s="365">
        <f>0.6%+0.14%+0.06%</f>
        <v>0.008</v>
      </c>
      <c r="AR295" s="419">
        <f t="shared" si="35"/>
        <v>575713</v>
      </c>
      <c r="AS295" s="359"/>
      <c r="AT295" s="359"/>
      <c r="AU295" s="359"/>
      <c r="AV295" s="359"/>
      <c r="AW295" s="359">
        <v>285713</v>
      </c>
      <c r="AX295" s="359"/>
      <c r="AY295" s="218"/>
      <c r="BA295" s="359"/>
      <c r="BB295" s="359"/>
      <c r="BC295" s="359">
        <v>290000</v>
      </c>
      <c r="BD295" s="359"/>
      <c r="BE295" s="359"/>
      <c r="BZ295" s="134" t="s">
        <v>376</v>
      </c>
      <c r="CA295" s="134" t="s">
        <v>387</v>
      </c>
      <c r="CB295" s="134" t="s">
        <v>377</v>
      </c>
      <c r="CE295" s="149"/>
    </row>
    <row r="296" s="134" customFormat="1" customHeight="1" spans="1:83">
      <c r="A296" s="134">
        <v>206</v>
      </c>
      <c r="C296" s="138">
        <v>44967</v>
      </c>
      <c r="D296" s="134">
        <v>20230001355</v>
      </c>
      <c r="F296" s="429" t="s">
        <v>2990</v>
      </c>
      <c r="G296" s="420" t="s">
        <v>2991</v>
      </c>
      <c r="H296" s="1009" t="s">
        <v>2992</v>
      </c>
      <c r="I296" s="414" t="s">
        <v>2993</v>
      </c>
      <c r="J296" s="134">
        <v>107.77</v>
      </c>
      <c r="K296" s="134">
        <v>107.77</v>
      </c>
      <c r="L296" s="134">
        <v>5175.58</v>
      </c>
      <c r="M296" s="358">
        <v>557772</v>
      </c>
      <c r="N296" s="359"/>
      <c r="O296" s="508">
        <v>511717.43</v>
      </c>
      <c r="P296" s="470" t="s">
        <v>2994</v>
      </c>
      <c r="Q296" s="468">
        <v>45564</v>
      </c>
      <c r="R296" s="359"/>
      <c r="S296" s="362"/>
      <c r="T296" s="363" t="s">
        <v>2995</v>
      </c>
      <c r="U296" s="362" t="s">
        <v>2996</v>
      </c>
      <c r="V296" s="359">
        <v>20000</v>
      </c>
      <c r="W296" s="469" t="s">
        <v>1398</v>
      </c>
      <c r="X296" s="359">
        <v>147944</v>
      </c>
      <c r="Y296" s="443" t="s">
        <v>2997</v>
      </c>
      <c r="Z296" s="359">
        <v>389000</v>
      </c>
      <c r="AA296" s="138" t="s">
        <v>1856</v>
      </c>
      <c r="AB296" s="359"/>
      <c r="AH296" s="359">
        <f t="shared" si="34"/>
        <v>556944</v>
      </c>
      <c r="AK296" s="364">
        <f t="shared" si="37"/>
        <v>828</v>
      </c>
      <c r="AL296" s="429" t="s">
        <v>2998</v>
      </c>
      <c r="AM296" s="429"/>
      <c r="AN296" s="441"/>
      <c r="AO296" s="441"/>
      <c r="AP296" s="441"/>
      <c r="AQ296" s="365">
        <f>0.4%+0.04%+0.1%</f>
        <v>0.0054</v>
      </c>
      <c r="AR296" s="419">
        <f t="shared" si="35"/>
        <v>556944</v>
      </c>
      <c r="AS296" s="359"/>
      <c r="AT296" s="359"/>
      <c r="AU296" s="359"/>
      <c r="AV296" s="359">
        <v>167944</v>
      </c>
      <c r="AW296" s="359">
        <v>389000</v>
      </c>
      <c r="AX296" s="359"/>
      <c r="AY296" s="218"/>
      <c r="BA296" s="359"/>
      <c r="BB296" s="359"/>
      <c r="BC296" s="359"/>
      <c r="BD296" s="359"/>
      <c r="BE296" s="359"/>
      <c r="BZ296" s="134" t="s">
        <v>376</v>
      </c>
      <c r="CA296" s="134" t="s">
        <v>387</v>
      </c>
      <c r="CB296" s="134" t="s">
        <v>377</v>
      </c>
      <c r="CE296" s="149"/>
    </row>
    <row r="297" s="134" customFormat="1" customHeight="1" spans="1:83">
      <c r="A297" s="134">
        <v>207</v>
      </c>
      <c r="C297" s="138">
        <v>44967</v>
      </c>
      <c r="D297" s="496" t="s">
        <v>2999</v>
      </c>
      <c r="F297" s="429" t="s">
        <v>3000</v>
      </c>
      <c r="G297" s="420" t="s">
        <v>3001</v>
      </c>
      <c r="H297" s="420"/>
      <c r="I297" s="423" t="s">
        <v>3002</v>
      </c>
      <c r="J297" s="134">
        <v>107.77</v>
      </c>
      <c r="K297" s="134">
        <v>107.77</v>
      </c>
      <c r="L297" s="134">
        <v>5350</v>
      </c>
      <c r="M297" s="358">
        <v>576570</v>
      </c>
      <c r="N297" s="437"/>
      <c r="O297" s="445">
        <v>528963.3</v>
      </c>
      <c r="P297" s="446" t="s">
        <v>3003</v>
      </c>
      <c r="Q297" s="468">
        <v>45564</v>
      </c>
      <c r="R297" s="359"/>
      <c r="S297" s="362"/>
      <c r="T297" s="420" t="s">
        <v>3004</v>
      </c>
      <c r="U297" s="420" t="s">
        <v>3004</v>
      </c>
      <c r="V297" s="359">
        <v>35714</v>
      </c>
      <c r="W297" s="138" t="s">
        <v>1346</v>
      </c>
      <c r="X297" s="359">
        <v>15000</v>
      </c>
      <c r="Y297" s="138" t="s">
        <v>2120</v>
      </c>
      <c r="Z297" s="359">
        <v>15000</v>
      </c>
      <c r="AA297" s="138" t="s">
        <v>1964</v>
      </c>
      <c r="AB297" s="359">
        <v>460000</v>
      </c>
      <c r="AC297" s="134" t="s">
        <v>1400</v>
      </c>
      <c r="AD297" s="134">
        <v>30000</v>
      </c>
      <c r="AE297" s="134" t="s">
        <v>1627</v>
      </c>
      <c r="AF297" s="134">
        <v>20000</v>
      </c>
      <c r="AG297" s="134" t="s">
        <v>2319</v>
      </c>
      <c r="AH297" s="359">
        <f t="shared" si="34"/>
        <v>575714</v>
      </c>
      <c r="AK297" s="364">
        <f t="shared" si="37"/>
        <v>856</v>
      </c>
      <c r="AL297" s="429" t="s">
        <v>3005</v>
      </c>
      <c r="AM297" s="429"/>
      <c r="AN297" s="447"/>
      <c r="AO297" s="447"/>
      <c r="AP297" s="447"/>
      <c r="AQ297" s="365">
        <f>0.5%+0.14%</f>
        <v>0.0064</v>
      </c>
      <c r="AR297" s="419">
        <f t="shared" si="35"/>
        <v>575714</v>
      </c>
      <c r="AS297" s="359">
        <f t="shared" si="38"/>
        <v>100</v>
      </c>
      <c r="AT297" s="359"/>
      <c r="AU297" s="359"/>
      <c r="AV297" s="359"/>
      <c r="AW297" s="359"/>
      <c r="AX297" s="359"/>
      <c r="AY297" s="218"/>
      <c r="AZ297" s="128">
        <v>575714</v>
      </c>
      <c r="BA297" s="359"/>
      <c r="BB297" s="359"/>
      <c r="BC297" s="359"/>
      <c r="BD297" s="359"/>
      <c r="BE297" s="359"/>
      <c r="BZ297" s="134" t="s">
        <v>376</v>
      </c>
      <c r="CA297" s="134" t="s">
        <v>387</v>
      </c>
      <c r="CB297" s="134" t="s">
        <v>377</v>
      </c>
      <c r="CE297" s="149"/>
    </row>
    <row r="298" s="134" customFormat="1" customHeight="1" spans="1:83">
      <c r="A298" s="134">
        <v>208</v>
      </c>
      <c r="C298" s="138">
        <v>44937</v>
      </c>
      <c r="D298" s="496" t="s">
        <v>3006</v>
      </c>
      <c r="F298" s="429" t="s">
        <v>3007</v>
      </c>
      <c r="G298" s="440" t="s">
        <v>3008</v>
      </c>
      <c r="H298" s="1008" t="s">
        <v>3009</v>
      </c>
      <c r="I298" s="414" t="s">
        <v>3010</v>
      </c>
      <c r="J298" s="134">
        <v>107.77</v>
      </c>
      <c r="K298" s="134">
        <v>107.77</v>
      </c>
      <c r="L298" s="134">
        <v>5225.58</v>
      </c>
      <c r="M298" s="358">
        <v>563161</v>
      </c>
      <c r="N298" s="437"/>
      <c r="O298" s="445">
        <v>516661.47</v>
      </c>
      <c r="P298" s="446" t="s">
        <v>3011</v>
      </c>
      <c r="Q298" s="468">
        <v>45564</v>
      </c>
      <c r="R298" s="359"/>
      <c r="S298" s="362"/>
      <c r="T298" s="426" t="s">
        <v>3012</v>
      </c>
      <c r="U298" s="416" t="s">
        <v>3013</v>
      </c>
      <c r="V298" s="359">
        <f>20000</f>
        <v>20000</v>
      </c>
      <c r="W298" s="413" t="s">
        <v>3014</v>
      </c>
      <c r="X298" s="359">
        <f>50000+52325</f>
        <v>102325</v>
      </c>
      <c r="Y298" s="469" t="s">
        <v>1887</v>
      </c>
      <c r="Z298" s="359">
        <v>47000</v>
      </c>
      <c r="AA298" s="138" t="s">
        <v>1839</v>
      </c>
      <c r="AB298" s="359">
        <v>393000</v>
      </c>
      <c r="AC298" s="138" t="s">
        <v>1609</v>
      </c>
      <c r="AD298" s="359">
        <v>837</v>
      </c>
      <c r="AE298" s="362" t="s">
        <v>3015</v>
      </c>
      <c r="AF298" s="420">
        <v>-1</v>
      </c>
      <c r="AG298" s="468"/>
      <c r="AH298" s="359">
        <f t="shared" si="34"/>
        <v>563161</v>
      </c>
      <c r="AK298" s="364">
        <f t="shared" si="37"/>
        <v>0</v>
      </c>
      <c r="AL298" s="429" t="s">
        <v>3016</v>
      </c>
      <c r="AM298" s="429"/>
      <c r="AN298" s="447"/>
      <c r="AO298" s="447"/>
      <c r="AP298" s="447"/>
      <c r="AQ298" s="365">
        <f>0.6%+0.04%+0.1%</f>
        <v>0.0074</v>
      </c>
      <c r="AR298" s="419">
        <f t="shared" si="35"/>
        <v>562325</v>
      </c>
      <c r="AS298" s="359"/>
      <c r="AT298" s="359">
        <v>100</v>
      </c>
      <c r="AU298" s="359">
        <v>122325</v>
      </c>
      <c r="AV298" s="359"/>
      <c r="AW298" s="359">
        <v>440000</v>
      </c>
      <c r="AX298" s="359"/>
      <c r="AY298" s="218"/>
      <c r="BA298" s="359"/>
      <c r="BB298" s="359"/>
      <c r="BC298" s="359"/>
      <c r="BD298" s="359"/>
      <c r="BE298" s="359"/>
      <c r="BZ298" s="134" t="s">
        <v>376</v>
      </c>
      <c r="CA298" s="134" t="s">
        <v>387</v>
      </c>
      <c r="CB298" s="134" t="s">
        <v>377</v>
      </c>
      <c r="CE298" s="149"/>
    </row>
    <row r="299" s="134" customFormat="1" customHeight="1" spans="1:83">
      <c r="A299" s="134">
        <v>209</v>
      </c>
      <c r="C299" s="138">
        <v>44966</v>
      </c>
      <c r="D299" s="496" t="s">
        <v>3017</v>
      </c>
      <c r="F299" s="474" t="s">
        <v>3018</v>
      </c>
      <c r="G299" s="420" t="s">
        <v>3019</v>
      </c>
      <c r="H299" s="1009" t="s">
        <v>3020</v>
      </c>
      <c r="I299" s="423" t="s">
        <v>3021</v>
      </c>
      <c r="J299" s="134">
        <v>107.77</v>
      </c>
      <c r="K299" s="134">
        <v>107.77</v>
      </c>
      <c r="L299" s="134">
        <v>5264.88</v>
      </c>
      <c r="M299" s="358">
        <v>567396</v>
      </c>
      <c r="N299" s="437"/>
      <c r="O299" s="445">
        <v>520546.79</v>
      </c>
      <c r="P299" s="446" t="s">
        <v>3022</v>
      </c>
      <c r="Q299" s="468">
        <v>45564</v>
      </c>
      <c r="R299" s="359"/>
      <c r="S299" s="362"/>
      <c r="T299" s="363" t="s">
        <v>3023</v>
      </c>
      <c r="U299" s="362" t="s">
        <v>3024</v>
      </c>
      <c r="V299" s="359">
        <v>16554</v>
      </c>
      <c r="W299" s="134" t="s">
        <v>1377</v>
      </c>
      <c r="X299" s="359">
        <v>100000</v>
      </c>
      <c r="Y299" s="138" t="s">
        <v>1349</v>
      </c>
      <c r="Z299" s="359">
        <v>450000</v>
      </c>
      <c r="AA299" s="362" t="s">
        <v>1175</v>
      </c>
      <c r="AB299" s="359">
        <v>842</v>
      </c>
      <c r="AC299" s="362" t="s">
        <v>1161</v>
      </c>
      <c r="AD299" s="138"/>
      <c r="AE299" s="138"/>
      <c r="AF299" s="138"/>
      <c r="AG299" s="138"/>
      <c r="AH299" s="359">
        <f t="shared" si="34"/>
        <v>567396</v>
      </c>
      <c r="AK299" s="364">
        <f t="shared" si="37"/>
        <v>0</v>
      </c>
      <c r="AL299" s="429" t="s">
        <v>3025</v>
      </c>
      <c r="AM299" s="429"/>
      <c r="AN299" s="447"/>
      <c r="AO299" s="447"/>
      <c r="AP299" s="447"/>
      <c r="AQ299" s="365">
        <f>0.6%+0.1%</f>
        <v>0.007</v>
      </c>
      <c r="AR299" s="419">
        <f t="shared" si="35"/>
        <v>566554</v>
      </c>
      <c r="AS299" s="359">
        <f t="shared" si="38"/>
        <v>100</v>
      </c>
      <c r="AT299" s="359"/>
      <c r="AU299" s="359"/>
      <c r="AV299" s="359"/>
      <c r="AW299" s="359">
        <v>116554</v>
      </c>
      <c r="AX299" s="359"/>
      <c r="AY299" s="218"/>
      <c r="BA299" s="359">
        <v>450000</v>
      </c>
      <c r="BB299" s="359"/>
      <c r="BC299" s="359"/>
      <c r="BD299" s="359"/>
      <c r="BE299" s="359"/>
      <c r="BZ299" s="134" t="s">
        <v>376</v>
      </c>
      <c r="CA299" s="134" t="s">
        <v>387</v>
      </c>
      <c r="CB299" s="134" t="s">
        <v>377</v>
      </c>
      <c r="CE299" s="149"/>
    </row>
    <row r="300" s="134" customFormat="1" customHeight="1" spans="1:83">
      <c r="A300" s="134">
        <v>210</v>
      </c>
      <c r="C300" s="138">
        <v>45093</v>
      </c>
      <c r="D300" s="496" t="s">
        <v>3026</v>
      </c>
      <c r="F300" s="429" t="s">
        <v>3027</v>
      </c>
      <c r="G300" s="440" t="s">
        <v>3028</v>
      </c>
      <c r="H300" s="1008" t="s">
        <v>3029</v>
      </c>
      <c r="I300" s="414" t="s">
        <v>3030</v>
      </c>
      <c r="J300" s="134">
        <v>107.77</v>
      </c>
      <c r="K300" s="134">
        <v>107.77</v>
      </c>
      <c r="L300" s="134">
        <v>5270.58</v>
      </c>
      <c r="M300" s="358">
        <v>568010</v>
      </c>
      <c r="N300" s="437"/>
      <c r="O300" s="445">
        <v>521110.09</v>
      </c>
      <c r="P300" s="446" t="s">
        <v>3031</v>
      </c>
      <c r="Q300" s="468">
        <v>45564</v>
      </c>
      <c r="R300" s="359"/>
      <c r="S300" s="362"/>
      <c r="T300" s="363" t="s">
        <v>3032</v>
      </c>
      <c r="U300" s="362" t="s">
        <v>3033</v>
      </c>
      <c r="V300" s="359">
        <v>2000</v>
      </c>
      <c r="W300" s="138">
        <v>44759</v>
      </c>
      <c r="X300" s="359">
        <v>18000</v>
      </c>
      <c r="Y300" s="138" t="s">
        <v>1398</v>
      </c>
      <c r="Z300" s="359">
        <v>277167</v>
      </c>
      <c r="AA300" s="138" t="s">
        <v>2696</v>
      </c>
      <c r="AB300" s="359">
        <v>270000</v>
      </c>
      <c r="AC300" s="362" t="s">
        <v>2017</v>
      </c>
      <c r="AD300" s="359">
        <v>844</v>
      </c>
      <c r="AE300" s="362" t="s">
        <v>3034</v>
      </c>
      <c r="AF300" s="420">
        <v>-1</v>
      </c>
      <c r="AG300" s="468"/>
      <c r="AH300" s="359">
        <f t="shared" si="34"/>
        <v>568010</v>
      </c>
      <c r="AK300" s="364">
        <f t="shared" si="37"/>
        <v>0</v>
      </c>
      <c r="AL300" s="429" t="s">
        <v>3035</v>
      </c>
      <c r="AM300" s="429"/>
      <c r="AN300" s="447"/>
      <c r="AO300" s="447"/>
      <c r="AP300" s="447"/>
      <c r="AQ300" s="365">
        <f>0.6%+0.1%</f>
        <v>0.007</v>
      </c>
      <c r="AR300" s="419">
        <f t="shared" si="35"/>
        <v>567167</v>
      </c>
      <c r="AS300" s="359">
        <f t="shared" si="38"/>
        <v>100</v>
      </c>
      <c r="AT300" s="359"/>
      <c r="AU300" s="359"/>
      <c r="AV300" s="359"/>
      <c r="AW300" s="359"/>
      <c r="AX300" s="359"/>
      <c r="AY300" s="218"/>
      <c r="AZ300" s="128"/>
      <c r="BA300" s="359">
        <v>567167</v>
      </c>
      <c r="BB300" s="359"/>
      <c r="BC300" s="359"/>
      <c r="BD300" s="359"/>
      <c r="BE300" s="359"/>
      <c r="BZ300" s="134" t="s">
        <v>376</v>
      </c>
      <c r="CA300" s="134" t="s">
        <v>387</v>
      </c>
      <c r="CB300" s="134" t="s">
        <v>377</v>
      </c>
      <c r="CE300" s="149"/>
    </row>
    <row r="301" s="134" customFormat="1" customHeight="1" spans="1:83">
      <c r="A301" s="134">
        <v>211</v>
      </c>
      <c r="C301" s="138">
        <v>45003</v>
      </c>
      <c r="D301" s="134">
        <v>20230002570</v>
      </c>
      <c r="F301" s="485" t="s">
        <v>3036</v>
      </c>
      <c r="G301" s="420" t="s">
        <v>3037</v>
      </c>
      <c r="H301" s="1009" t="s">
        <v>3038</v>
      </c>
      <c r="I301" s="423" t="s">
        <v>3039</v>
      </c>
      <c r="J301" s="134">
        <v>107.77</v>
      </c>
      <c r="K301" s="134">
        <v>107.77</v>
      </c>
      <c r="L301" s="134">
        <v>5625</v>
      </c>
      <c r="M301" s="358">
        <v>606206</v>
      </c>
      <c r="N301" s="507">
        <v>5543.4</v>
      </c>
      <c r="O301" s="508">
        <v>556152.29</v>
      </c>
      <c r="P301" s="446" t="s">
        <v>3040</v>
      </c>
      <c r="Q301" s="468">
        <v>45564</v>
      </c>
      <c r="R301" s="359"/>
      <c r="S301" s="362"/>
      <c r="T301" s="362" t="s">
        <v>3037</v>
      </c>
      <c r="U301" s="362" t="s">
        <v>3041</v>
      </c>
      <c r="V301" s="359">
        <v>20000</v>
      </c>
      <c r="W301" s="138" t="s">
        <v>2194</v>
      </c>
      <c r="X301" s="359">
        <f>80000+25306</f>
        <v>105306</v>
      </c>
      <c r="Y301" s="443" t="s">
        <v>3042</v>
      </c>
      <c r="Z301" s="359">
        <v>480000</v>
      </c>
      <c r="AA301" s="362" t="s">
        <v>1905</v>
      </c>
      <c r="AB301" s="359">
        <v>900</v>
      </c>
      <c r="AC301" s="362" t="s">
        <v>621</v>
      </c>
      <c r="AH301" s="359">
        <f t="shared" si="34"/>
        <v>606206</v>
      </c>
      <c r="AK301" s="364">
        <f t="shared" si="37"/>
        <v>0</v>
      </c>
      <c r="AL301" s="429" t="s">
        <v>3043</v>
      </c>
      <c r="AM301" s="429"/>
      <c r="AN301" s="509"/>
      <c r="AO301" s="509"/>
      <c r="AP301" s="509"/>
      <c r="AQ301" s="365">
        <f>0.6%+0.06%+0.14%+0.06%</f>
        <v>0.0086</v>
      </c>
      <c r="AR301" s="419">
        <f t="shared" si="35"/>
        <v>605306</v>
      </c>
      <c r="AS301" s="359"/>
      <c r="AT301" s="359"/>
      <c r="AU301" s="359"/>
      <c r="AV301" s="359"/>
      <c r="AW301" s="359">
        <v>125306</v>
      </c>
      <c r="AX301" s="359"/>
      <c r="AY301" s="218"/>
      <c r="BA301" s="359"/>
      <c r="BB301" s="359">
        <v>480000</v>
      </c>
      <c r="BC301" s="359"/>
      <c r="BD301" s="359"/>
      <c r="BE301" s="359"/>
      <c r="BZ301" s="134" t="s">
        <v>376</v>
      </c>
      <c r="CA301" s="134" t="s">
        <v>387</v>
      </c>
      <c r="CB301" s="134" t="s">
        <v>377</v>
      </c>
      <c r="CE301" s="149"/>
    </row>
    <row r="302" s="134" customFormat="1" customHeight="1" spans="1:83">
      <c r="A302" s="134">
        <v>212</v>
      </c>
      <c r="C302" s="138">
        <v>44964</v>
      </c>
      <c r="D302" s="134">
        <v>20230000856</v>
      </c>
      <c r="F302" s="474" t="s">
        <v>3044</v>
      </c>
      <c r="G302" s="143" t="s">
        <v>3045</v>
      </c>
      <c r="H302" s="1010" t="s">
        <v>3046</v>
      </c>
      <c r="I302" s="414" t="s">
        <v>3047</v>
      </c>
      <c r="J302" s="134">
        <v>107.77</v>
      </c>
      <c r="K302" s="134">
        <v>107.77</v>
      </c>
      <c r="L302" s="134">
        <v>5315.58</v>
      </c>
      <c r="M302" s="358">
        <v>572860</v>
      </c>
      <c r="N302" s="437"/>
      <c r="O302" s="445">
        <v>525559.63</v>
      </c>
      <c r="P302" s="446" t="s">
        <v>3048</v>
      </c>
      <c r="Q302" s="468">
        <v>45564</v>
      </c>
      <c r="R302" s="359"/>
      <c r="S302" s="362"/>
      <c r="T302" s="426" t="s">
        <v>3049</v>
      </c>
      <c r="U302" s="416" t="s">
        <v>3050</v>
      </c>
      <c r="V302" s="359">
        <v>115010</v>
      </c>
      <c r="W302" s="134" t="s">
        <v>1442</v>
      </c>
      <c r="X302" s="134">
        <v>257000</v>
      </c>
      <c r="Y302" s="134" t="s">
        <v>1451</v>
      </c>
      <c r="Z302" s="359">
        <v>200000</v>
      </c>
      <c r="AA302" s="134" t="s">
        <v>1590</v>
      </c>
      <c r="AB302" s="359">
        <v>851</v>
      </c>
      <c r="AC302" s="362" t="s">
        <v>657</v>
      </c>
      <c r="AF302" s="420">
        <v>-1</v>
      </c>
      <c r="AG302" s="468"/>
      <c r="AH302" s="359">
        <f t="shared" si="34"/>
        <v>572860</v>
      </c>
      <c r="AK302" s="364">
        <f t="shared" si="37"/>
        <v>0</v>
      </c>
      <c r="AL302" s="429" t="s">
        <v>3051</v>
      </c>
      <c r="AM302" s="429"/>
      <c r="AN302" s="447"/>
      <c r="AO302" s="447"/>
      <c r="AP302" s="447"/>
      <c r="AQ302" s="365">
        <f>0.4%+0.04%+0.1%</f>
        <v>0.0054</v>
      </c>
      <c r="AR302" s="419">
        <f t="shared" si="35"/>
        <v>572010</v>
      </c>
      <c r="AS302" s="359">
        <f>100</f>
        <v>100</v>
      </c>
      <c r="AT302" s="359"/>
      <c r="AU302" s="359"/>
      <c r="AV302" s="359">
        <v>115010</v>
      </c>
      <c r="AW302" s="359"/>
      <c r="AX302" s="359">
        <v>457000</v>
      </c>
      <c r="AY302" s="218"/>
      <c r="BA302" s="359"/>
      <c r="BB302" s="359"/>
      <c r="BC302" s="359"/>
      <c r="BD302" s="359"/>
      <c r="BE302" s="359"/>
      <c r="BZ302" s="134" t="s">
        <v>376</v>
      </c>
      <c r="CA302" s="134" t="s">
        <v>387</v>
      </c>
      <c r="CB302" s="134" t="s">
        <v>377</v>
      </c>
      <c r="CE302" s="149"/>
    </row>
    <row r="303" s="134" customFormat="1" customHeight="1" spans="1:83">
      <c r="A303" s="134">
        <v>213</v>
      </c>
      <c r="C303" s="138">
        <v>44967</v>
      </c>
      <c r="D303" s="496" t="s">
        <v>3052</v>
      </c>
      <c r="F303" s="429" t="s">
        <v>3053</v>
      </c>
      <c r="G303" s="420" t="s">
        <v>3054</v>
      </c>
      <c r="H303" s="420"/>
      <c r="I303" s="423" t="s">
        <v>3055</v>
      </c>
      <c r="J303" s="134">
        <v>107.77</v>
      </c>
      <c r="K303" s="134">
        <v>107.77</v>
      </c>
      <c r="L303" s="134">
        <v>5390.51</v>
      </c>
      <c r="M303" s="358">
        <v>580935</v>
      </c>
      <c r="N303" s="437"/>
      <c r="O303" s="445">
        <v>532967.89</v>
      </c>
      <c r="P303" s="446" t="s">
        <v>3056</v>
      </c>
      <c r="Q303" s="468">
        <v>45564</v>
      </c>
      <c r="R303" s="359"/>
      <c r="S303" s="362"/>
      <c r="T303" s="420" t="s">
        <v>3057</v>
      </c>
      <c r="U303" s="420" t="s">
        <v>3057</v>
      </c>
      <c r="V303" s="359">
        <v>300073</v>
      </c>
      <c r="W303" s="138" t="s">
        <v>1346</v>
      </c>
      <c r="X303" s="359">
        <v>280000</v>
      </c>
      <c r="Y303" s="362" t="s">
        <v>976</v>
      </c>
      <c r="Z303" s="359">
        <v>863</v>
      </c>
      <c r="AA303" s="362" t="s">
        <v>3058</v>
      </c>
      <c r="AB303" s="359"/>
      <c r="AF303" s="420">
        <v>-1</v>
      </c>
      <c r="AG303" s="468"/>
      <c r="AH303" s="359">
        <f t="shared" si="34"/>
        <v>580935</v>
      </c>
      <c r="AK303" s="364">
        <f t="shared" si="37"/>
        <v>0</v>
      </c>
      <c r="AL303" s="429" t="s">
        <v>3059</v>
      </c>
      <c r="AM303" s="429"/>
      <c r="AN303" s="447"/>
      <c r="AO303" s="447"/>
      <c r="AP303" s="447"/>
      <c r="AQ303" s="365">
        <f>0.6%+0.06%+0.14%</f>
        <v>0.008</v>
      </c>
      <c r="AR303" s="419">
        <f t="shared" si="35"/>
        <v>580073</v>
      </c>
      <c r="AS303" s="359"/>
      <c r="AT303" s="359">
        <v>100</v>
      </c>
      <c r="AU303" s="359"/>
      <c r="AV303" s="359">
        <v>300073</v>
      </c>
      <c r="AW303" s="359"/>
      <c r="AX303" s="359"/>
      <c r="AY303" s="218"/>
      <c r="BA303" s="359">
        <v>280000</v>
      </c>
      <c r="BB303" s="359"/>
      <c r="BC303" s="359"/>
      <c r="BD303" s="359"/>
      <c r="BE303" s="359"/>
      <c r="BZ303" s="134" t="s">
        <v>376</v>
      </c>
      <c r="CA303" s="134" t="s">
        <v>387</v>
      </c>
      <c r="CB303" s="134" t="s">
        <v>377</v>
      </c>
      <c r="CE303" s="149"/>
    </row>
    <row r="304" s="134" customFormat="1" customHeight="1" spans="1:83">
      <c r="A304" s="134">
        <v>214</v>
      </c>
      <c r="C304" s="138">
        <v>44967</v>
      </c>
      <c r="D304" s="496" t="s">
        <v>3060</v>
      </c>
      <c r="F304" s="1006" t="s">
        <v>3061</v>
      </c>
      <c r="G304" s="420" t="s">
        <v>3062</v>
      </c>
      <c r="H304" s="420"/>
      <c r="I304" s="414" t="s">
        <v>3063</v>
      </c>
      <c r="J304" s="134">
        <v>107.77</v>
      </c>
      <c r="K304" s="134">
        <v>107.77</v>
      </c>
      <c r="L304" s="134">
        <v>5421.87</v>
      </c>
      <c r="M304" s="358">
        <v>584315</v>
      </c>
      <c r="N304" s="437"/>
      <c r="O304" s="445">
        <v>536068.81</v>
      </c>
      <c r="P304" s="446" t="s">
        <v>3064</v>
      </c>
      <c r="Q304" s="468">
        <v>45564</v>
      </c>
      <c r="R304" s="359"/>
      <c r="S304" s="471"/>
      <c r="T304" s="420" t="s">
        <v>3065</v>
      </c>
      <c r="U304" s="420" t="s">
        <v>3066</v>
      </c>
      <c r="V304" s="359">
        <v>3447</v>
      </c>
      <c r="W304" s="519" t="s">
        <v>1346</v>
      </c>
      <c r="X304" s="359">
        <v>240000</v>
      </c>
      <c r="Y304" s="519" t="s">
        <v>1467</v>
      </c>
      <c r="Z304" s="359">
        <v>340000</v>
      </c>
      <c r="AA304" s="471" t="s">
        <v>2739</v>
      </c>
      <c r="AB304" s="359">
        <v>868</v>
      </c>
      <c r="AC304" s="471" t="s">
        <v>3058</v>
      </c>
      <c r="AH304" s="359">
        <f t="shared" si="34"/>
        <v>584315</v>
      </c>
      <c r="AK304" s="364">
        <f t="shared" si="37"/>
        <v>0</v>
      </c>
      <c r="AL304" s="429" t="s">
        <v>3067</v>
      </c>
      <c r="AM304" s="429"/>
      <c r="AN304" s="447"/>
      <c r="AO304" s="447"/>
      <c r="AP304" s="447"/>
      <c r="AQ304" s="365">
        <f>0.6%+0.06%+0.14%+0.06%</f>
        <v>0.0086</v>
      </c>
      <c r="AR304" s="419">
        <f t="shared" si="35"/>
        <v>583447</v>
      </c>
      <c r="AS304" s="359"/>
      <c r="AT304" s="359"/>
      <c r="AU304" s="359"/>
      <c r="AV304" s="359"/>
      <c r="AW304" s="359"/>
      <c r="AX304" s="359"/>
      <c r="AY304" s="218">
        <v>243447</v>
      </c>
      <c r="BA304" s="359"/>
      <c r="BB304" s="359">
        <v>340000</v>
      </c>
      <c r="BC304" s="359"/>
      <c r="BD304" s="359"/>
      <c r="BE304" s="359"/>
      <c r="BZ304" s="134" t="s">
        <v>376</v>
      </c>
      <c r="CA304" s="134" t="s">
        <v>387</v>
      </c>
      <c r="CB304" s="134" t="s">
        <v>377</v>
      </c>
      <c r="CE304" s="149"/>
    </row>
    <row r="305" s="134" customFormat="1" customHeight="1" spans="1:83">
      <c r="A305" s="134">
        <v>215</v>
      </c>
      <c r="C305" s="138">
        <v>45253</v>
      </c>
      <c r="D305" s="496" t="s">
        <v>3068</v>
      </c>
      <c r="F305" s="429" t="s">
        <v>3069</v>
      </c>
      <c r="G305" s="420" t="s">
        <v>2762</v>
      </c>
      <c r="H305" s="1009" t="s">
        <v>3070</v>
      </c>
      <c r="I305" s="423" t="s">
        <v>3071</v>
      </c>
      <c r="J305" s="134">
        <v>107.77</v>
      </c>
      <c r="K305" s="134">
        <v>107.77</v>
      </c>
      <c r="L305" s="134">
        <v>5688.23</v>
      </c>
      <c r="M305" s="358">
        <v>613020</v>
      </c>
      <c r="N305" s="437">
        <v>5615.74</v>
      </c>
      <c r="O305" s="445">
        <v>562403.67</v>
      </c>
      <c r="P305" s="446" t="s">
        <v>3072</v>
      </c>
      <c r="Q305" s="448">
        <v>45617</v>
      </c>
      <c r="R305" s="359"/>
      <c r="S305" s="362"/>
      <c r="T305" s="362" t="s">
        <v>2762</v>
      </c>
      <c r="U305" s="362" t="s">
        <v>3073</v>
      </c>
      <c r="V305" s="359">
        <v>20000</v>
      </c>
      <c r="W305" s="138" t="s">
        <v>2901</v>
      </c>
      <c r="X305" s="359">
        <v>103110</v>
      </c>
      <c r="Y305" s="362" t="s">
        <v>3074</v>
      </c>
      <c r="Z305" s="359">
        <v>489000</v>
      </c>
      <c r="AA305" s="362" t="s">
        <v>740</v>
      </c>
      <c r="AB305" s="359">
        <v>910</v>
      </c>
      <c r="AC305" s="362" t="s">
        <v>3075</v>
      </c>
      <c r="AH305" s="359">
        <f t="shared" si="34"/>
        <v>613020</v>
      </c>
      <c r="AK305" s="364">
        <f t="shared" si="37"/>
        <v>0</v>
      </c>
      <c r="AL305" s="429" t="s">
        <v>3076</v>
      </c>
      <c r="AM305" s="429"/>
      <c r="AN305" s="447"/>
      <c r="AO305" s="447"/>
      <c r="AP305" s="447"/>
      <c r="AQ305" s="365">
        <f>0.6%+0.06%+0.14%+0.06%</f>
        <v>0.0086</v>
      </c>
      <c r="AR305" s="419">
        <f t="shared" si="35"/>
        <v>612110</v>
      </c>
      <c r="AS305" s="359"/>
      <c r="AT305" s="359"/>
      <c r="AU305" s="359"/>
      <c r="AV305" s="359"/>
      <c r="AW305" s="359"/>
      <c r="AX305" s="359"/>
      <c r="AY305" s="218"/>
      <c r="BA305" s="359"/>
      <c r="BB305" s="359"/>
      <c r="BC305" s="359"/>
      <c r="BD305" s="359"/>
      <c r="BE305" s="359">
        <v>123110</v>
      </c>
      <c r="BG305" s="134">
        <v>489000</v>
      </c>
      <c r="BZ305" s="134" t="s">
        <v>376</v>
      </c>
      <c r="CA305" s="134" t="s">
        <v>387</v>
      </c>
      <c r="CB305" s="134" t="s">
        <v>377</v>
      </c>
      <c r="CE305" s="149"/>
    </row>
    <row r="306" s="134" customFormat="1" customHeight="1" spans="1:83">
      <c r="A306" s="134">
        <v>216</v>
      </c>
      <c r="C306" s="138">
        <v>45004</v>
      </c>
      <c r="D306" s="134">
        <v>20230002599</v>
      </c>
      <c r="F306" s="476" t="s">
        <v>3077</v>
      </c>
      <c r="G306" s="420" t="s">
        <v>3078</v>
      </c>
      <c r="H306" s="1009" t="s">
        <v>3079</v>
      </c>
      <c r="I306" s="414" t="s">
        <v>3080</v>
      </c>
      <c r="J306" s="134">
        <v>107.77</v>
      </c>
      <c r="K306" s="134">
        <v>107.77</v>
      </c>
      <c r="L306" s="134">
        <v>5694.3</v>
      </c>
      <c r="M306" s="358">
        <v>613675</v>
      </c>
      <c r="N306" s="359">
        <v>5621.63</v>
      </c>
      <c r="O306" s="145">
        <v>563004.59</v>
      </c>
      <c r="P306" s="1014" t="s">
        <v>3081</v>
      </c>
      <c r="Q306" s="468">
        <v>45564</v>
      </c>
      <c r="R306" s="359"/>
      <c r="S306" s="362"/>
      <c r="T306" s="362" t="s">
        <v>3082</v>
      </c>
      <c r="U306" s="362" t="s">
        <v>3083</v>
      </c>
      <c r="V306" s="359">
        <v>764</v>
      </c>
      <c r="W306" s="138" t="s">
        <v>2194</v>
      </c>
      <c r="X306" s="359">
        <v>122000</v>
      </c>
      <c r="Y306" s="138" t="s">
        <v>1400</v>
      </c>
      <c r="Z306" s="359">
        <v>490000</v>
      </c>
      <c r="AA306" s="362" t="s">
        <v>2053</v>
      </c>
      <c r="AB306" s="359">
        <v>912</v>
      </c>
      <c r="AC306" s="362" t="s">
        <v>2800</v>
      </c>
      <c r="AF306" s="420">
        <v>-1</v>
      </c>
      <c r="AG306" s="468"/>
      <c r="AH306" s="359">
        <f t="shared" si="34"/>
        <v>613675</v>
      </c>
      <c r="AK306" s="364">
        <f t="shared" si="37"/>
        <v>0</v>
      </c>
      <c r="AL306" s="429" t="s">
        <v>3084</v>
      </c>
      <c r="AM306" s="429"/>
      <c r="AN306" s="441"/>
      <c r="AO306" s="441"/>
      <c r="AP306" s="441"/>
      <c r="AQ306" s="365">
        <f>0.6%+0.06%+0.14%+0.06%</f>
        <v>0.0086</v>
      </c>
      <c r="AR306" s="419">
        <f t="shared" si="35"/>
        <v>612764</v>
      </c>
      <c r="AS306" s="359"/>
      <c r="AT306" s="359"/>
      <c r="AU306" s="359"/>
      <c r="AV306" s="359"/>
      <c r="AW306" s="359"/>
      <c r="AX306" s="359"/>
      <c r="AY306" s="218">
        <v>122764</v>
      </c>
      <c r="BA306" s="359"/>
      <c r="BB306" s="359">
        <v>490000</v>
      </c>
      <c r="BC306" s="359"/>
      <c r="BD306" s="359"/>
      <c r="BE306" s="359"/>
      <c r="BZ306" s="134" t="s">
        <v>376</v>
      </c>
      <c r="CA306" s="134" t="s">
        <v>387</v>
      </c>
      <c r="CB306" s="134" t="s">
        <v>377</v>
      </c>
      <c r="CE306" s="149"/>
    </row>
    <row r="307" s="134" customFormat="1" customHeight="1" spans="1:83">
      <c r="A307" s="134">
        <v>217</v>
      </c>
      <c r="C307" s="138">
        <v>44937</v>
      </c>
      <c r="D307" s="134">
        <v>20230000302</v>
      </c>
      <c r="F307" s="429" t="s">
        <v>3085</v>
      </c>
      <c r="G307" s="420" t="s">
        <v>3086</v>
      </c>
      <c r="H307" s="1009" t="s">
        <v>3087</v>
      </c>
      <c r="I307" s="414" t="s">
        <v>3088</v>
      </c>
      <c r="J307" s="134">
        <v>107.77</v>
      </c>
      <c r="K307" s="134">
        <v>107.77</v>
      </c>
      <c r="L307" s="134">
        <v>5399.88</v>
      </c>
      <c r="M307" s="358">
        <v>581945</v>
      </c>
      <c r="N307" s="507"/>
      <c r="O307" s="508">
        <v>533894.5</v>
      </c>
      <c r="P307" s="446" t="s">
        <v>3089</v>
      </c>
      <c r="Q307" s="468">
        <v>45564</v>
      </c>
      <c r="R307" s="359"/>
      <c r="S307" s="362"/>
      <c r="T307" s="363" t="s">
        <v>3090</v>
      </c>
      <c r="U307" s="362" t="s">
        <v>3091</v>
      </c>
      <c r="V307" s="359">
        <v>1000</v>
      </c>
      <c r="W307" s="138" t="s">
        <v>3092</v>
      </c>
      <c r="X307" s="359">
        <v>19000</v>
      </c>
      <c r="Y307" s="138" t="s">
        <v>1398</v>
      </c>
      <c r="Z307" s="359">
        <v>155081</v>
      </c>
      <c r="AA307" s="138" t="s">
        <v>1887</v>
      </c>
      <c r="AB307" s="359">
        <v>406000</v>
      </c>
      <c r="AC307" s="138" t="s">
        <v>1715</v>
      </c>
      <c r="AD307" s="359">
        <v>864</v>
      </c>
      <c r="AE307" s="362" t="s">
        <v>2800</v>
      </c>
      <c r="AF307" s="138"/>
      <c r="AG307" s="138"/>
      <c r="AH307" s="359">
        <f t="shared" si="34"/>
        <v>581945</v>
      </c>
      <c r="AK307" s="364">
        <f t="shared" si="37"/>
        <v>0</v>
      </c>
      <c r="AL307" s="429" t="s">
        <v>3093</v>
      </c>
      <c r="AM307" s="429"/>
      <c r="AN307" s="509"/>
      <c r="AO307" s="509"/>
      <c r="AP307" s="509"/>
      <c r="AQ307" s="365">
        <f>0.4%+0.04%+0.1%</f>
        <v>0.0054</v>
      </c>
      <c r="AR307" s="419">
        <f t="shared" si="35"/>
        <v>581081</v>
      </c>
      <c r="AS307" s="359"/>
      <c r="AT307" s="359"/>
      <c r="AU307" s="359">
        <v>175081</v>
      </c>
      <c r="AV307" s="359"/>
      <c r="AW307" s="359"/>
      <c r="AX307" s="359">
        <v>406000</v>
      </c>
      <c r="AY307" s="218"/>
      <c r="BA307" s="359"/>
      <c r="BB307" s="359"/>
      <c r="BC307" s="359"/>
      <c r="BD307" s="359"/>
      <c r="BE307" s="359"/>
      <c r="BZ307" s="134" t="s">
        <v>376</v>
      </c>
      <c r="CA307" s="134" t="s">
        <v>387</v>
      </c>
      <c r="CB307" s="134" t="s">
        <v>377</v>
      </c>
      <c r="CE307" s="149"/>
    </row>
    <row r="308" s="134" customFormat="1" customHeight="1" spans="1:83">
      <c r="A308" s="134">
        <v>218</v>
      </c>
      <c r="C308" s="138">
        <v>45164</v>
      </c>
      <c r="D308" s="496" t="s">
        <v>3094</v>
      </c>
      <c r="F308" s="429" t="s">
        <v>3095</v>
      </c>
      <c r="G308" s="134" t="s">
        <v>3096</v>
      </c>
      <c r="H308" s="1006" t="s">
        <v>3097</v>
      </c>
      <c r="I308" s="414" t="s">
        <v>3098</v>
      </c>
      <c r="J308" s="134">
        <v>107.77</v>
      </c>
      <c r="K308" s="134">
        <v>107.77</v>
      </c>
      <c r="L308" s="134">
        <v>5975.28</v>
      </c>
      <c r="M308" s="358">
        <v>643956</v>
      </c>
      <c r="N308" s="437">
        <v>5942.3</v>
      </c>
      <c r="O308" s="445">
        <v>590785.32</v>
      </c>
      <c r="P308" s="446" t="s">
        <v>3099</v>
      </c>
      <c r="Q308" s="468">
        <v>45564</v>
      </c>
      <c r="R308" s="359"/>
      <c r="S308" s="362"/>
      <c r="U308" s="362" t="s">
        <v>677</v>
      </c>
      <c r="V308" s="359">
        <v>20000</v>
      </c>
      <c r="W308" s="362" t="s">
        <v>1900</v>
      </c>
      <c r="X308" s="359">
        <f>3000+170000</f>
        <v>173000</v>
      </c>
      <c r="Y308" s="438" t="s">
        <v>2573</v>
      </c>
      <c r="Z308" s="359">
        <v>450000</v>
      </c>
      <c r="AA308" s="362" t="s">
        <v>3100</v>
      </c>
      <c r="AB308" s="359">
        <v>956</v>
      </c>
      <c r="AC308" s="362" t="s">
        <v>1161</v>
      </c>
      <c r="AD308" s="138"/>
      <c r="AE308" s="138"/>
      <c r="AF308" s="138"/>
      <c r="AG308" s="138"/>
      <c r="AH308" s="359">
        <f t="shared" si="34"/>
        <v>643956</v>
      </c>
      <c r="AK308" s="364">
        <f t="shared" si="37"/>
        <v>0</v>
      </c>
      <c r="AL308" s="429" t="s">
        <v>3101</v>
      </c>
      <c r="AM308" s="429"/>
      <c r="AN308" s="447"/>
      <c r="AO308" s="447"/>
      <c r="AP308" s="447"/>
      <c r="AQ308" s="140">
        <f>0.7%+0.05%+0.12%</f>
        <v>0.0087</v>
      </c>
      <c r="AR308" s="419">
        <f t="shared" si="35"/>
        <v>643000</v>
      </c>
      <c r="AS308" s="359"/>
      <c r="AT308" s="359"/>
      <c r="AU308" s="359"/>
      <c r="AV308" s="359"/>
      <c r="AW308" s="359"/>
      <c r="AX308" s="359"/>
      <c r="AY308" s="218"/>
      <c r="BA308" s="359"/>
      <c r="BB308" s="359">
        <v>193000</v>
      </c>
      <c r="BC308" s="359"/>
      <c r="BD308" s="359">
        <v>450000</v>
      </c>
      <c r="BE308" s="359"/>
      <c r="BZ308" s="134" t="s">
        <v>376</v>
      </c>
      <c r="CA308" s="134" t="s">
        <v>387</v>
      </c>
      <c r="CB308" s="134" t="s">
        <v>377</v>
      </c>
      <c r="CE308" s="149"/>
    </row>
    <row r="309" s="134" customFormat="1" customHeight="1" spans="1:83">
      <c r="A309" s="134">
        <v>219</v>
      </c>
      <c r="C309" s="138">
        <v>45397</v>
      </c>
      <c r="D309" s="496" t="s">
        <v>3102</v>
      </c>
      <c r="F309" s="429" t="s">
        <v>3103</v>
      </c>
      <c r="G309" s="420" t="s">
        <v>3104</v>
      </c>
      <c r="H309" s="1009" t="s">
        <v>3105</v>
      </c>
      <c r="I309" s="414" t="s">
        <v>3106</v>
      </c>
      <c r="J309" s="134">
        <v>107.77</v>
      </c>
      <c r="K309" s="134">
        <v>107.77</v>
      </c>
      <c r="L309" s="134">
        <v>7025</v>
      </c>
      <c r="M309" s="436">
        <v>757124</v>
      </c>
      <c r="N309" s="437">
        <v>6968.5</v>
      </c>
      <c r="O309" s="445">
        <v>694609.17</v>
      </c>
      <c r="P309" s="446" t="s">
        <v>3107</v>
      </c>
      <c r="Q309" s="468">
        <v>45564</v>
      </c>
      <c r="R309" s="359"/>
      <c r="S309" s="362"/>
      <c r="T309" s="362"/>
      <c r="U309" s="362" t="s">
        <v>662</v>
      </c>
      <c r="V309" s="359">
        <v>20000</v>
      </c>
      <c r="W309" s="362" t="s">
        <v>3108</v>
      </c>
      <c r="X309" s="359">
        <v>76000</v>
      </c>
      <c r="Y309" s="443" t="s">
        <v>554</v>
      </c>
      <c r="Z309" s="359">
        <v>60000</v>
      </c>
      <c r="AA309" s="362" t="s">
        <v>1084</v>
      </c>
      <c r="AB309" s="359">
        <v>600000</v>
      </c>
      <c r="AD309" s="359">
        <v>1124</v>
      </c>
      <c r="AE309" s="362">
        <v>46104</v>
      </c>
      <c r="AH309" s="359">
        <f t="shared" si="34"/>
        <v>757124</v>
      </c>
      <c r="AK309" s="364">
        <f t="shared" si="37"/>
        <v>0</v>
      </c>
      <c r="AL309" s="429" t="s">
        <v>3109</v>
      </c>
      <c r="AM309" s="429"/>
      <c r="AN309" s="447"/>
      <c r="AO309" s="447"/>
      <c r="AP309" s="447"/>
      <c r="AQ309" s="173">
        <f>0.7%+0.12%</f>
        <v>0.0082</v>
      </c>
      <c r="AR309" s="419">
        <f t="shared" si="35"/>
        <v>756000</v>
      </c>
      <c r="AS309" s="359"/>
      <c r="AT309" s="359">
        <v>100</v>
      </c>
      <c r="AU309" s="359"/>
      <c r="AV309" s="359"/>
      <c r="AW309" s="359"/>
      <c r="AX309" s="359"/>
      <c r="AY309" s="218"/>
      <c r="BA309" s="359"/>
      <c r="BB309" s="359"/>
      <c r="BC309" s="359"/>
      <c r="BD309" s="359"/>
      <c r="BE309" s="359"/>
      <c r="BK309" s="134">
        <v>756000</v>
      </c>
      <c r="BZ309" s="134" t="s">
        <v>376</v>
      </c>
      <c r="CA309" s="134" t="s">
        <v>387</v>
      </c>
      <c r="CB309" s="134" t="s">
        <v>377</v>
      </c>
      <c r="CE309" s="149"/>
    </row>
    <row r="310" s="134" customFormat="1" customHeight="1" spans="1:83">
      <c r="A310" s="134">
        <v>220</v>
      </c>
      <c r="C310" s="138">
        <v>45670</v>
      </c>
      <c r="D310" s="496" t="s">
        <v>3110</v>
      </c>
      <c r="E310" s="134" t="s">
        <v>3111</v>
      </c>
      <c r="F310" s="429" t="s">
        <v>3112</v>
      </c>
      <c r="G310" s="420" t="s">
        <v>3113</v>
      </c>
      <c r="H310" s="420"/>
      <c r="I310" s="414" t="s">
        <v>3114</v>
      </c>
      <c r="J310" s="134">
        <v>107.77</v>
      </c>
      <c r="K310" s="134">
        <v>107.77</v>
      </c>
      <c r="L310" s="134">
        <f>M310/K310</f>
        <v>7410.47601373295</v>
      </c>
      <c r="M310" s="436">
        <v>798627</v>
      </c>
      <c r="N310" s="437">
        <v>6976.2</v>
      </c>
      <c r="O310" s="445">
        <v>732685.32</v>
      </c>
      <c r="P310" s="446" t="s">
        <v>3115</v>
      </c>
      <c r="Q310" s="448">
        <v>45673</v>
      </c>
      <c r="R310" s="359"/>
      <c r="S310" s="362"/>
      <c r="T310" s="362"/>
      <c r="U310" s="362"/>
      <c r="V310" s="359">
        <v>798627</v>
      </c>
      <c r="W310" s="362" t="s">
        <v>3116</v>
      </c>
      <c r="X310" s="359"/>
      <c r="Y310" s="443"/>
      <c r="Z310" s="359"/>
      <c r="AB310" s="359"/>
      <c r="AH310" s="359">
        <f t="shared" si="34"/>
        <v>798627</v>
      </c>
      <c r="AK310" s="364">
        <f t="shared" si="37"/>
        <v>0</v>
      </c>
      <c r="AL310" s="429" t="s">
        <v>3117</v>
      </c>
      <c r="AM310" s="429"/>
      <c r="AN310" s="447"/>
      <c r="AO310" s="447"/>
      <c r="AP310" s="447"/>
      <c r="AQ310" s="365"/>
      <c r="AR310" s="419">
        <f t="shared" si="35"/>
        <v>0</v>
      </c>
      <c r="AS310" s="359">
        <f>100</f>
        <v>100</v>
      </c>
      <c r="AT310" s="359"/>
      <c r="AU310" s="359"/>
      <c r="AV310" s="359"/>
      <c r="AW310" s="359"/>
      <c r="AX310" s="359"/>
      <c r="AY310" s="218"/>
      <c r="BA310" s="359"/>
      <c r="BB310" s="359"/>
      <c r="BC310" s="359"/>
      <c r="BD310" s="359"/>
      <c r="BE310" s="359"/>
      <c r="BV310" s="109"/>
      <c r="BZ310" s="134" t="s">
        <v>376</v>
      </c>
      <c r="CB310" s="134" t="s">
        <v>377</v>
      </c>
      <c r="CE310" s="149"/>
    </row>
    <row r="311" s="134" customFormat="1" customHeight="1" spans="1:83">
      <c r="A311" s="134">
        <v>221</v>
      </c>
      <c r="C311" s="138">
        <v>45539</v>
      </c>
      <c r="D311" s="485" t="s">
        <v>3118</v>
      </c>
      <c r="E311" s="134" t="s">
        <v>3119</v>
      </c>
      <c r="F311" s="485" t="s">
        <v>3120</v>
      </c>
      <c r="G311" s="420" t="s">
        <v>3121</v>
      </c>
      <c r="H311" s="420"/>
      <c r="I311" s="423" t="s">
        <v>3122</v>
      </c>
      <c r="J311" s="134">
        <v>107.58</v>
      </c>
      <c r="K311" s="134">
        <v>107.58</v>
      </c>
      <c r="L311" s="134">
        <v>8617.56</v>
      </c>
      <c r="M311" s="506">
        <v>927077</v>
      </c>
      <c r="N311" s="134">
        <v>8617.55</v>
      </c>
      <c r="O311" s="508">
        <v>850529.36</v>
      </c>
      <c r="P311" s="470" t="s">
        <v>3123</v>
      </c>
      <c r="Q311" s="520">
        <v>45597</v>
      </c>
      <c r="R311" s="359"/>
      <c r="S311" s="362"/>
      <c r="T311" s="362"/>
      <c r="U311" s="362"/>
      <c r="V311" s="359">
        <f>698+260000</f>
        <v>260698</v>
      </c>
      <c r="W311" s="362">
        <v>45536</v>
      </c>
      <c r="X311" s="359">
        <v>95000</v>
      </c>
      <c r="Y311" s="138">
        <v>45547</v>
      </c>
      <c r="Z311" s="359">
        <v>570000</v>
      </c>
      <c r="AA311" s="138">
        <v>45562</v>
      </c>
      <c r="AB311" s="359">
        <v>1379</v>
      </c>
      <c r="AC311" s="362" t="s">
        <v>3124</v>
      </c>
      <c r="AH311" s="359">
        <f t="shared" si="34"/>
        <v>927077</v>
      </c>
      <c r="AK311" s="364">
        <f t="shared" si="37"/>
        <v>0</v>
      </c>
      <c r="AN311" s="509"/>
      <c r="AO311" s="509"/>
      <c r="AP311" s="509"/>
      <c r="AQ311" s="365"/>
      <c r="AR311" s="419">
        <f t="shared" si="35"/>
        <v>0</v>
      </c>
      <c r="AS311" s="359">
        <v>100</v>
      </c>
      <c r="AT311" s="359"/>
      <c r="AU311" s="359"/>
      <c r="AV311" s="359"/>
      <c r="AW311" s="359"/>
      <c r="AX311" s="359"/>
      <c r="AY311" s="218"/>
      <c r="BA311" s="359"/>
      <c r="BB311" s="359"/>
      <c r="BC311" s="359"/>
      <c r="BD311" s="359"/>
      <c r="BE311" s="359"/>
      <c r="BZ311" s="134" t="s">
        <v>376</v>
      </c>
      <c r="CB311" s="134" t="s">
        <v>377</v>
      </c>
      <c r="CE311" s="149"/>
    </row>
    <row r="312" s="109" customFormat="1" customHeight="1" spans="1:83">
      <c r="A312" s="477">
        <v>222</v>
      </c>
      <c r="B312" s="149"/>
      <c r="C312" s="149"/>
      <c r="D312" s="149"/>
      <c r="E312" s="149" t="s">
        <v>3125</v>
      </c>
      <c r="F312" s="451"/>
      <c r="G312" s="521"/>
      <c r="H312" s="462"/>
      <c r="I312" s="501" t="s">
        <v>3126</v>
      </c>
      <c r="J312" s="149">
        <v>108.14</v>
      </c>
      <c r="K312" s="149"/>
      <c r="L312" s="149"/>
      <c r="M312" s="402"/>
      <c r="N312" s="149">
        <v>8618.09</v>
      </c>
      <c r="O312" s="454"/>
      <c r="P312" s="492"/>
      <c r="Q312" s="492"/>
      <c r="R312" s="403"/>
      <c r="S312" s="466"/>
      <c r="T312" s="466" t="s">
        <v>931</v>
      </c>
      <c r="U312" s="466" t="s">
        <v>931</v>
      </c>
      <c r="V312" s="403"/>
      <c r="W312" s="522"/>
      <c r="X312" s="403"/>
      <c r="Y312" s="407"/>
      <c r="Z312" s="403"/>
      <c r="AA312" s="456"/>
      <c r="AB312" s="403"/>
      <c r="AC312" s="456"/>
      <c r="AD312" s="456"/>
      <c r="AE312" s="456"/>
      <c r="AF312" s="456"/>
      <c r="AG312" s="456"/>
      <c r="AH312" s="403">
        <f t="shared" ref="AH312:AH332" si="39">V312+X312+Z312+AB312+AD312+AF312</f>
        <v>0</v>
      </c>
      <c r="AI312" s="149"/>
      <c r="AJ312" s="149"/>
      <c r="AK312" s="409">
        <f t="shared" si="37"/>
        <v>0</v>
      </c>
      <c r="AL312" s="451"/>
      <c r="AM312" s="451"/>
      <c r="AN312" s="491"/>
      <c r="AO312" s="491"/>
      <c r="AP312" s="491"/>
      <c r="AQ312" s="481"/>
      <c r="AR312" s="411">
        <f t="shared" si="35"/>
        <v>0</v>
      </c>
      <c r="AS312" s="482">
        <f>100</f>
        <v>100</v>
      </c>
      <c r="AT312" s="482">
        <v>100</v>
      </c>
      <c r="AU312" s="482"/>
      <c r="AV312" s="482"/>
      <c r="AW312" s="482"/>
      <c r="AX312" s="482"/>
      <c r="AY312" s="504"/>
      <c r="BA312" s="482"/>
      <c r="BB312" s="482"/>
      <c r="BC312" s="482"/>
      <c r="BD312" s="482"/>
      <c r="BE312" s="482"/>
      <c r="CE312" s="149"/>
    </row>
    <row r="313" s="134" customFormat="1" customHeight="1" spans="1:83">
      <c r="A313" s="134">
        <v>223</v>
      </c>
      <c r="B313" s="134"/>
      <c r="C313" s="138">
        <v>45758</v>
      </c>
      <c r="D313" s="134">
        <v>20250001951</v>
      </c>
      <c r="E313" s="134" t="s">
        <v>3127</v>
      </c>
      <c r="F313" s="429" t="s">
        <v>3128</v>
      </c>
      <c r="G313" s="420" t="s">
        <v>3129</v>
      </c>
      <c r="H313" s="420"/>
      <c r="I313" s="423" t="s">
        <v>3130</v>
      </c>
      <c r="J313" s="134">
        <v>107.77</v>
      </c>
      <c r="K313" s="134">
        <v>107.77</v>
      </c>
      <c r="L313" s="134">
        <v>5567.41</v>
      </c>
      <c r="M313" s="358">
        <v>600000</v>
      </c>
      <c r="N313" s="134">
        <v>5567.41</v>
      </c>
      <c r="O313" s="445">
        <v>550458.72</v>
      </c>
      <c r="P313" s="1014" t="s">
        <v>3131</v>
      </c>
      <c r="Q313" s="468">
        <v>45758</v>
      </c>
      <c r="R313" s="359"/>
      <c r="S313" s="362"/>
      <c r="T313" s="362"/>
      <c r="U313" s="362"/>
      <c r="V313" s="359">
        <v>160000</v>
      </c>
      <c r="W313" s="362" t="s">
        <v>3132</v>
      </c>
      <c r="X313" s="359">
        <v>440000</v>
      </c>
      <c r="Y313" s="362" t="s">
        <v>3133</v>
      </c>
      <c r="Z313" s="359"/>
      <c r="AA313" s="134"/>
      <c r="AB313" s="359"/>
      <c r="AC313" s="134"/>
      <c r="AD313" s="134"/>
      <c r="AE313" s="134"/>
      <c r="AF313" s="134"/>
      <c r="AG313" s="134"/>
      <c r="AH313" s="359">
        <f t="shared" si="39"/>
        <v>600000</v>
      </c>
      <c r="AK313" s="364">
        <f t="shared" si="37"/>
        <v>0</v>
      </c>
      <c r="AL313" s="429" t="s">
        <v>3134</v>
      </c>
      <c r="AM313" s="429"/>
      <c r="AN313" s="441"/>
      <c r="AO313" s="441"/>
      <c r="AP313" s="441"/>
      <c r="AQ313" s="365"/>
      <c r="AR313" s="419">
        <f t="shared" si="35"/>
        <v>0</v>
      </c>
      <c r="AS313" s="359"/>
      <c r="AT313" s="359"/>
      <c r="AU313" s="359"/>
      <c r="AV313" s="359"/>
      <c r="AW313" s="359"/>
      <c r="AX313" s="359"/>
      <c r="AY313" s="218"/>
      <c r="BA313" s="359"/>
      <c r="BB313" s="359"/>
      <c r="BC313" s="359"/>
      <c r="BD313" s="359"/>
      <c r="BE313" s="359"/>
      <c r="BZ313" s="134" t="s">
        <v>376</v>
      </c>
      <c r="CB313" s="134" t="s">
        <v>377</v>
      </c>
      <c r="CE313" s="149"/>
    </row>
    <row r="314" s="149" customFormat="1" customHeight="1" spans="1:83">
      <c r="A314" s="149">
        <v>224</v>
      </c>
      <c r="D314" s="450"/>
      <c r="E314" s="149" t="s">
        <v>3135</v>
      </c>
      <c r="F314" s="451"/>
      <c r="G314" s="452"/>
      <c r="H314" s="452"/>
      <c r="I314" s="453" t="s">
        <v>3136</v>
      </c>
      <c r="J314" s="149">
        <v>108.14</v>
      </c>
      <c r="M314" s="464"/>
      <c r="N314" s="149">
        <v>5952.89</v>
      </c>
      <c r="O314" s="454"/>
      <c r="P314" s="455"/>
      <c r="Q314" s="455"/>
      <c r="R314" s="403"/>
      <c r="S314" s="406"/>
      <c r="T314" s="406"/>
      <c r="U314" s="406"/>
      <c r="V314" s="403"/>
      <c r="W314" s="456"/>
      <c r="X314" s="403"/>
      <c r="Y314" s="407"/>
      <c r="Z314" s="403"/>
      <c r="AB314" s="403"/>
      <c r="AH314" s="403">
        <f t="shared" si="39"/>
        <v>0</v>
      </c>
      <c r="AK314" s="409">
        <f t="shared" si="37"/>
        <v>0</v>
      </c>
      <c r="AL314" s="451"/>
      <c r="AM314" s="451"/>
      <c r="AN314" s="457"/>
      <c r="AO314" s="457"/>
      <c r="AP314" s="457"/>
      <c r="AQ314" s="461"/>
      <c r="AR314" s="411">
        <f t="shared" si="35"/>
        <v>0</v>
      </c>
      <c r="AS314" s="403"/>
      <c r="AT314" s="403"/>
      <c r="AU314" s="403"/>
      <c r="AV314" s="403"/>
      <c r="AW314" s="403"/>
      <c r="AX314" s="403"/>
      <c r="AY314" s="202"/>
      <c r="BA314" s="403"/>
      <c r="BB314" s="403"/>
      <c r="BC314" s="403"/>
      <c r="BD314" s="403"/>
      <c r="BE314" s="403"/>
      <c r="BV314" s="109"/>
    </row>
    <row r="315" s="134" customFormat="1" customHeight="1" spans="1:83">
      <c r="A315" s="134">
        <v>225</v>
      </c>
      <c r="C315" s="138">
        <v>45024</v>
      </c>
      <c r="D315" s="496" t="s">
        <v>3137</v>
      </c>
      <c r="F315" s="429" t="s">
        <v>3138</v>
      </c>
      <c r="G315" s="134" t="s">
        <v>3139</v>
      </c>
      <c r="H315" s="1006" t="s">
        <v>3140</v>
      </c>
      <c r="I315" s="423" t="s">
        <v>3141</v>
      </c>
      <c r="J315" s="134">
        <v>107.77</v>
      </c>
      <c r="K315" s="134">
        <v>107.77</v>
      </c>
      <c r="L315" s="134">
        <v>5349.29</v>
      </c>
      <c r="M315" s="436">
        <v>576493</v>
      </c>
      <c r="N315" s="437">
        <v>5299.29</v>
      </c>
      <c r="O315" s="445">
        <v>528892.66</v>
      </c>
      <c r="P315" s="446" t="s">
        <v>3142</v>
      </c>
      <c r="Q315" s="448">
        <v>45562</v>
      </c>
      <c r="R315" s="359"/>
      <c r="S315" s="362"/>
      <c r="T315" s="362" t="s">
        <v>3143</v>
      </c>
      <c r="U315" s="362" t="s">
        <v>3144</v>
      </c>
      <c r="V315" s="359">
        <v>20000</v>
      </c>
      <c r="W315" s="138" t="s">
        <v>2194</v>
      </c>
      <c r="X315" s="359">
        <v>255638</v>
      </c>
      <c r="Y315" s="438" t="s">
        <v>3145</v>
      </c>
      <c r="Z315" s="359">
        <v>300000</v>
      </c>
      <c r="AA315" s="134" t="s">
        <v>2564</v>
      </c>
      <c r="AB315" s="359">
        <v>856</v>
      </c>
      <c r="AC315" s="138">
        <v>45880</v>
      </c>
      <c r="AF315" s="420">
        <v>-1</v>
      </c>
      <c r="AG315" s="468"/>
      <c r="AH315" s="359">
        <f t="shared" si="39"/>
        <v>576493</v>
      </c>
      <c r="AK315" s="364">
        <f t="shared" si="37"/>
        <v>0</v>
      </c>
      <c r="AL315" s="429" t="s">
        <v>3146</v>
      </c>
      <c r="AM315" s="429"/>
      <c r="AN315" s="439"/>
      <c r="AO315" s="439"/>
      <c r="AP315" s="439"/>
      <c r="AQ315" s="365">
        <f>0.6%+0.05%+0.14%</f>
        <v>0.0079</v>
      </c>
      <c r="AR315" s="419">
        <f t="shared" si="35"/>
        <v>575638</v>
      </c>
      <c r="AS315" s="359"/>
      <c r="AT315" s="359"/>
      <c r="AU315" s="359"/>
      <c r="AV315" s="359"/>
      <c r="AW315" s="359"/>
      <c r="AX315" s="359"/>
      <c r="AY315" s="218">
        <v>575638</v>
      </c>
      <c r="BA315" s="359"/>
      <c r="BB315" s="359"/>
      <c r="BC315" s="359"/>
      <c r="BD315" s="359"/>
      <c r="BE315" s="359"/>
      <c r="BZ315" s="134" t="s">
        <v>376</v>
      </c>
      <c r="CA315" s="134" t="s">
        <v>387</v>
      </c>
      <c r="CB315" s="134" t="s">
        <v>377</v>
      </c>
      <c r="CE315" s="149"/>
    </row>
    <row r="316" s="134" customFormat="1" ht="39" customHeight="1" spans="1:83">
      <c r="A316" s="134">
        <v>224</v>
      </c>
      <c r="C316" s="138">
        <v>45061</v>
      </c>
      <c r="D316" s="496" t="s">
        <v>3147</v>
      </c>
      <c r="F316" s="429" t="s">
        <v>3148</v>
      </c>
      <c r="G316" s="420" t="s">
        <v>3149</v>
      </c>
      <c r="H316" s="1009" t="s">
        <v>3150</v>
      </c>
      <c r="I316" s="414" t="s">
        <v>3151</v>
      </c>
      <c r="J316" s="134">
        <v>108.14</v>
      </c>
      <c r="K316" s="134">
        <v>108.14</v>
      </c>
      <c r="L316" s="134">
        <v>5300</v>
      </c>
      <c r="M316" s="436">
        <v>573142</v>
      </c>
      <c r="N316" s="437">
        <v>5297.69</v>
      </c>
      <c r="O316" s="445">
        <v>525818.35</v>
      </c>
      <c r="P316" s="446" t="s">
        <v>3152</v>
      </c>
      <c r="Q316" s="448">
        <v>45562</v>
      </c>
      <c r="R316" s="359"/>
      <c r="S316" s="362"/>
      <c r="T316" s="362" t="s">
        <v>3149</v>
      </c>
      <c r="U316" s="362" t="s">
        <v>524</v>
      </c>
      <c r="V316" s="359">
        <v>20000</v>
      </c>
      <c r="W316" s="138" t="s">
        <v>1856</v>
      </c>
      <c r="X316" s="359">
        <v>552294</v>
      </c>
      <c r="Y316" s="443" t="s">
        <v>2070</v>
      </c>
      <c r="Z316" s="359">
        <v>848</v>
      </c>
      <c r="AA316" s="362" t="s">
        <v>3153</v>
      </c>
      <c r="AB316" s="359"/>
      <c r="AH316" s="359">
        <f t="shared" si="39"/>
        <v>573142</v>
      </c>
      <c r="AK316" s="364">
        <f t="shared" si="37"/>
        <v>0</v>
      </c>
      <c r="AL316" s="429" t="s">
        <v>3154</v>
      </c>
      <c r="AM316" s="429"/>
      <c r="AN316" s="447"/>
      <c r="AO316" s="447"/>
      <c r="AP316" s="447"/>
      <c r="AQ316" s="365">
        <f>0.6%+0.06%+0.14%</f>
        <v>0.008</v>
      </c>
      <c r="AR316" s="419">
        <f t="shared" si="35"/>
        <v>572294</v>
      </c>
      <c r="AS316" s="359"/>
      <c r="AT316" s="359"/>
      <c r="AU316" s="359"/>
      <c r="AV316" s="359"/>
      <c r="AW316" s="359"/>
      <c r="AX316" s="359"/>
      <c r="AY316" s="218">
        <v>572294</v>
      </c>
      <c r="BA316" s="359"/>
      <c r="BB316" s="359"/>
      <c r="BC316" s="359"/>
      <c r="BD316" s="359"/>
      <c r="BE316" s="359"/>
      <c r="BZ316" s="134" t="s">
        <v>376</v>
      </c>
      <c r="CA316" s="134" t="s">
        <v>387</v>
      </c>
      <c r="CB316" s="134" t="s">
        <v>377</v>
      </c>
      <c r="CE316" s="149"/>
    </row>
    <row r="317" s="134" customFormat="1" customHeight="1" spans="1:83">
      <c r="A317" s="134">
        <v>227</v>
      </c>
      <c r="C317" s="138">
        <v>44986</v>
      </c>
      <c r="D317" s="496" t="s">
        <v>3155</v>
      </c>
      <c r="F317" s="429" t="s">
        <v>3156</v>
      </c>
      <c r="G317" s="134" t="s">
        <v>3157</v>
      </c>
      <c r="H317" s="1006" t="s">
        <v>3158</v>
      </c>
      <c r="I317" s="423" t="s">
        <v>3159</v>
      </c>
      <c r="J317" s="134">
        <v>107.77</v>
      </c>
      <c r="K317" s="134">
        <v>107.77</v>
      </c>
      <c r="L317" s="134">
        <v>5380.3</v>
      </c>
      <c r="M317" s="436">
        <v>579835</v>
      </c>
      <c r="N317" s="437">
        <v>5330.3</v>
      </c>
      <c r="O317" s="445">
        <v>531958.72</v>
      </c>
      <c r="P317" s="446" t="s">
        <v>3160</v>
      </c>
      <c r="Q317" s="448">
        <v>45562</v>
      </c>
      <c r="R317" s="359"/>
      <c r="S317" s="362"/>
      <c r="T317" s="134" t="s">
        <v>3157</v>
      </c>
      <c r="U317" s="134" t="s">
        <v>3161</v>
      </c>
      <c r="V317" s="359">
        <v>3974</v>
      </c>
      <c r="W317" s="138" t="s">
        <v>1878</v>
      </c>
      <c r="X317" s="523">
        <v>215000</v>
      </c>
      <c r="Y317" s="359" t="s">
        <v>2122</v>
      </c>
      <c r="Z317" s="359">
        <v>360000</v>
      </c>
      <c r="AA317" s="362" t="s">
        <v>796</v>
      </c>
      <c r="AB317" s="359"/>
      <c r="AH317" s="359">
        <f t="shared" si="39"/>
        <v>578974</v>
      </c>
      <c r="AK317" s="364">
        <f t="shared" si="37"/>
        <v>861</v>
      </c>
      <c r="AL317" s="429" t="s">
        <v>3162</v>
      </c>
      <c r="AM317" s="429"/>
      <c r="AN317" s="439"/>
      <c r="AO317" s="439"/>
      <c r="AP317" s="439"/>
      <c r="AQ317" s="365">
        <f>0.4%+0.05%+0.14%+0.06%</f>
        <v>0.0065</v>
      </c>
      <c r="AR317" s="419">
        <f t="shared" si="35"/>
        <v>578974</v>
      </c>
      <c r="AS317" s="359"/>
      <c r="AT317" s="359">
        <v>100</v>
      </c>
      <c r="AU317" s="359"/>
      <c r="AV317" s="359"/>
      <c r="AW317" s="359"/>
      <c r="AX317" s="359"/>
      <c r="AY317" s="218"/>
      <c r="BA317" s="359"/>
      <c r="BB317" s="359">
        <v>218974</v>
      </c>
      <c r="BC317" s="359"/>
      <c r="BD317" s="359">
        <v>360000</v>
      </c>
      <c r="BE317" s="359"/>
      <c r="BZ317" s="134" t="s">
        <v>376</v>
      </c>
      <c r="CA317" s="134" t="s">
        <v>387</v>
      </c>
      <c r="CB317" s="134" t="s">
        <v>377</v>
      </c>
      <c r="CE317" s="149"/>
    </row>
    <row r="318" s="134" customFormat="1" customHeight="1" spans="1:83">
      <c r="A318" s="134">
        <v>228</v>
      </c>
      <c r="C318" s="138">
        <v>45039</v>
      </c>
      <c r="D318" s="496" t="s">
        <v>3163</v>
      </c>
      <c r="F318" s="429" t="s">
        <v>3164</v>
      </c>
      <c r="G318" s="134" t="s">
        <v>3165</v>
      </c>
      <c r="H318" s="1006" t="s">
        <v>3166</v>
      </c>
      <c r="I318" s="414" t="s">
        <v>3167</v>
      </c>
      <c r="J318" s="134">
        <v>108.14</v>
      </c>
      <c r="K318" s="134">
        <v>108.14</v>
      </c>
      <c r="L318" s="134">
        <v>5350</v>
      </c>
      <c r="M318" s="436">
        <v>578549</v>
      </c>
      <c r="N318" s="437">
        <v>5328.69</v>
      </c>
      <c r="O318" s="445">
        <v>530778.9</v>
      </c>
      <c r="P318" s="446" t="s">
        <v>3168</v>
      </c>
      <c r="Q318" s="448">
        <v>45562</v>
      </c>
      <c r="R318" s="359"/>
      <c r="S318" s="362"/>
      <c r="T318" s="362"/>
      <c r="U318" s="362" t="s">
        <v>383</v>
      </c>
      <c r="V318" s="359">
        <v>20000</v>
      </c>
      <c r="W318" s="362" t="s">
        <v>2026</v>
      </c>
      <c r="X318" s="359">
        <v>36693</v>
      </c>
      <c r="Y318" s="438" t="s">
        <v>1527</v>
      </c>
      <c r="Z318" s="359">
        <v>59000</v>
      </c>
      <c r="AA318" s="134" t="s">
        <v>2463</v>
      </c>
      <c r="AB318" s="359">
        <v>462000</v>
      </c>
      <c r="AC318" s="362" t="s">
        <v>628</v>
      </c>
      <c r="AD318" s="359">
        <v>856</v>
      </c>
      <c r="AE318" s="362">
        <v>46082</v>
      </c>
      <c r="AH318" s="359">
        <f t="shared" si="39"/>
        <v>578549</v>
      </c>
      <c r="AK318" s="364">
        <f t="shared" si="37"/>
        <v>0</v>
      </c>
      <c r="AL318" s="429" t="s">
        <v>3169</v>
      </c>
      <c r="AM318" s="429"/>
      <c r="AN318" s="439"/>
      <c r="AO318" s="439"/>
      <c r="AP318" s="439"/>
      <c r="AQ318" s="365">
        <f>0.6%+0.1%</f>
        <v>0.007</v>
      </c>
      <c r="AR318" s="419">
        <f t="shared" si="35"/>
        <v>577693</v>
      </c>
      <c r="AS318" s="359"/>
      <c r="AT318" s="359"/>
      <c r="AU318" s="359"/>
      <c r="AV318" s="359"/>
      <c r="AW318" s="359"/>
      <c r="AX318" s="359"/>
      <c r="AY318" s="218">
        <v>115693</v>
      </c>
      <c r="BA318" s="359">
        <v>462000</v>
      </c>
      <c r="BB318" s="359"/>
      <c r="BC318" s="359"/>
      <c r="BD318" s="359"/>
      <c r="BE318" s="359"/>
      <c r="BZ318" s="134" t="s">
        <v>376</v>
      </c>
      <c r="CA318" s="134" t="s">
        <v>387</v>
      </c>
      <c r="CB318" s="134" t="s">
        <v>377</v>
      </c>
      <c r="CE318" s="149"/>
    </row>
    <row r="319" s="134" customFormat="1" customHeight="1" spans="1:83">
      <c r="A319" s="134">
        <v>229</v>
      </c>
      <c r="C319" s="138">
        <v>44964</v>
      </c>
      <c r="D319" s="496" t="s">
        <v>3170</v>
      </c>
      <c r="F319" s="429" t="s">
        <v>3171</v>
      </c>
      <c r="G319" s="143" t="s">
        <v>3172</v>
      </c>
      <c r="H319" s="1010" t="s">
        <v>3173</v>
      </c>
      <c r="I319" s="423" t="s">
        <v>3174</v>
      </c>
      <c r="J319" s="134">
        <v>107.77</v>
      </c>
      <c r="K319" s="134">
        <v>107.77</v>
      </c>
      <c r="L319" s="134">
        <v>5231.88</v>
      </c>
      <c r="M319" s="436">
        <v>563840</v>
      </c>
      <c r="N319" s="437"/>
      <c r="O319" s="445">
        <v>517284.4</v>
      </c>
      <c r="P319" s="446" t="s">
        <v>3175</v>
      </c>
      <c r="Q319" s="448">
        <v>45562</v>
      </c>
      <c r="R319" s="359"/>
      <c r="S319" s="416"/>
      <c r="T319" s="426" t="s">
        <v>3176</v>
      </c>
      <c r="U319" s="416" t="s">
        <v>3177</v>
      </c>
      <c r="V319" s="359">
        <v>173003</v>
      </c>
      <c r="W319" s="134" t="s">
        <v>1442</v>
      </c>
      <c r="X319" s="359">
        <v>390000</v>
      </c>
      <c r="Y319" s="438" t="s">
        <v>2479</v>
      </c>
      <c r="Z319" s="359">
        <v>838</v>
      </c>
      <c r="AA319" s="416" t="s">
        <v>525</v>
      </c>
      <c r="AB319" s="359"/>
      <c r="AF319" s="420">
        <v>-1</v>
      </c>
      <c r="AG319" s="468"/>
      <c r="AH319" s="359">
        <f t="shared" si="39"/>
        <v>563840</v>
      </c>
      <c r="AK319" s="364">
        <f t="shared" si="37"/>
        <v>0</v>
      </c>
      <c r="AL319" s="429" t="s">
        <v>3178</v>
      </c>
      <c r="AM319" s="429"/>
      <c r="AN319" s="439"/>
      <c r="AO319" s="439"/>
      <c r="AP319" s="439"/>
      <c r="AQ319" s="365">
        <f>0.4%+0.04%+0.1%</f>
        <v>0.0054</v>
      </c>
      <c r="AR319" s="419">
        <f t="shared" si="35"/>
        <v>563003</v>
      </c>
      <c r="AS319" s="359">
        <f>100+100</f>
        <v>200</v>
      </c>
      <c r="AT319" s="359"/>
      <c r="AU319" s="359"/>
      <c r="AV319" s="359">
        <v>173003</v>
      </c>
      <c r="AW319" s="359"/>
      <c r="AX319" s="359"/>
      <c r="AY319" s="218">
        <v>390000</v>
      </c>
      <c r="BA319" s="359"/>
      <c r="BB319" s="359"/>
      <c r="BC319" s="359"/>
      <c r="BD319" s="359"/>
      <c r="BE319" s="359"/>
      <c r="BZ319" s="134" t="s">
        <v>376</v>
      </c>
      <c r="CA319" s="134" t="s">
        <v>387</v>
      </c>
      <c r="CB319" s="134" t="s">
        <v>377</v>
      </c>
      <c r="CE319" s="149"/>
    </row>
    <row r="320" s="134" customFormat="1" customHeight="1" spans="1:83">
      <c r="A320" s="134">
        <v>230</v>
      </c>
      <c r="C320" s="138">
        <v>44934</v>
      </c>
      <c r="D320" s="496" t="s">
        <v>3179</v>
      </c>
      <c r="F320" s="429" t="s">
        <v>3180</v>
      </c>
      <c r="G320" s="143" t="s">
        <v>3181</v>
      </c>
      <c r="H320" s="1010" t="s">
        <v>3182</v>
      </c>
      <c r="I320" s="414" t="s">
        <v>3183</v>
      </c>
      <c r="J320" s="134">
        <v>108.14</v>
      </c>
      <c r="K320" s="134">
        <v>108.14</v>
      </c>
      <c r="L320" s="134">
        <v>5230.38</v>
      </c>
      <c r="M320" s="436">
        <v>565614</v>
      </c>
      <c r="N320" s="437"/>
      <c r="O320" s="445">
        <v>518911.93</v>
      </c>
      <c r="P320" s="446" t="s">
        <v>3184</v>
      </c>
      <c r="Q320" s="448">
        <v>45562</v>
      </c>
      <c r="R320" s="359"/>
      <c r="S320" s="362"/>
      <c r="T320" s="363" t="s">
        <v>3185</v>
      </c>
      <c r="U320" s="416" t="s">
        <v>3186</v>
      </c>
      <c r="V320" s="359">
        <v>2000</v>
      </c>
      <c r="W320" s="138">
        <v>44757</v>
      </c>
      <c r="X320" s="359">
        <v>18000</v>
      </c>
      <c r="Y320" s="438" t="s">
        <v>1398</v>
      </c>
      <c r="Z320" s="359">
        <f>44777+500000</f>
        <v>544777</v>
      </c>
      <c r="AA320" s="134" t="s">
        <v>3187</v>
      </c>
      <c r="AB320" s="359">
        <v>837</v>
      </c>
      <c r="AC320" s="362" t="s">
        <v>546</v>
      </c>
      <c r="AH320" s="359">
        <f t="shared" si="39"/>
        <v>565614</v>
      </c>
      <c r="AK320" s="364">
        <f t="shared" si="37"/>
        <v>0</v>
      </c>
      <c r="AL320" s="429" t="s">
        <v>3188</v>
      </c>
      <c r="AM320" s="429"/>
      <c r="AN320" s="439"/>
      <c r="AO320" s="439"/>
      <c r="AP320" s="439"/>
      <c r="AQ320" s="365">
        <f>0.4%+0.1%</f>
        <v>0.005</v>
      </c>
      <c r="AR320" s="419">
        <f t="shared" si="35"/>
        <v>564777</v>
      </c>
      <c r="AS320" s="359">
        <f>100</f>
        <v>100</v>
      </c>
      <c r="AT320" s="359"/>
      <c r="AU320" s="359">
        <v>564777</v>
      </c>
      <c r="AV320" s="359"/>
      <c r="AW320" s="359"/>
      <c r="AX320" s="359"/>
      <c r="AY320" s="218"/>
      <c r="BA320" s="359"/>
      <c r="BB320" s="359"/>
      <c r="BC320" s="359"/>
      <c r="BD320" s="359"/>
      <c r="BE320" s="359"/>
      <c r="BZ320" s="134" t="s">
        <v>376</v>
      </c>
      <c r="CA320" s="134" t="s">
        <v>387</v>
      </c>
      <c r="CB320" s="134" t="s">
        <v>377</v>
      </c>
      <c r="CE320" s="149"/>
    </row>
    <row r="321" s="134" customFormat="1" customHeight="1" spans="1:83">
      <c r="A321" s="134">
        <v>231</v>
      </c>
      <c r="C321" s="138">
        <v>45000</v>
      </c>
      <c r="D321" s="496" t="s">
        <v>3189</v>
      </c>
      <c r="F321" s="429" t="s">
        <v>3190</v>
      </c>
      <c r="G321" s="134" t="s">
        <v>3191</v>
      </c>
      <c r="H321" s="1006" t="s">
        <v>3192</v>
      </c>
      <c r="I321" s="414" t="s">
        <v>3193</v>
      </c>
      <c r="J321" s="134">
        <v>107.77</v>
      </c>
      <c r="K321" s="134">
        <v>107.77</v>
      </c>
      <c r="L321" s="134">
        <v>5276.88</v>
      </c>
      <c r="M321" s="436">
        <v>568689</v>
      </c>
      <c r="N321" s="437"/>
      <c r="O321" s="445">
        <v>521733.03</v>
      </c>
      <c r="P321" s="446" t="s">
        <v>3194</v>
      </c>
      <c r="Q321" s="448">
        <v>45562</v>
      </c>
      <c r="R321" s="359"/>
      <c r="S321" s="362"/>
      <c r="T321" s="426" t="s">
        <v>3195</v>
      </c>
      <c r="U321" s="416" t="s">
        <v>3196</v>
      </c>
      <c r="V321" s="359">
        <f>2000</f>
        <v>2000</v>
      </c>
      <c r="W321" s="413">
        <v>44768</v>
      </c>
      <c r="X321" s="359">
        <v>18000</v>
      </c>
      <c r="Y321" s="438" t="s">
        <v>1398</v>
      </c>
      <c r="Z321" s="359">
        <v>77845</v>
      </c>
      <c r="AA321" s="134">
        <v>2023.3</v>
      </c>
      <c r="AB321" s="359">
        <v>80000</v>
      </c>
      <c r="AC321" s="134" t="s">
        <v>2087</v>
      </c>
      <c r="AD321" s="359">
        <v>390000</v>
      </c>
      <c r="AE321" s="362" t="s">
        <v>2053</v>
      </c>
      <c r="AF321" s="359">
        <f>845-1</f>
        <v>844</v>
      </c>
      <c r="AG321" s="362" t="s">
        <v>2793</v>
      </c>
      <c r="AH321" s="359">
        <f t="shared" si="39"/>
        <v>568689</v>
      </c>
      <c r="AK321" s="364">
        <f t="shared" si="37"/>
        <v>0</v>
      </c>
      <c r="AL321" s="429" t="s">
        <v>3197</v>
      </c>
      <c r="AM321" s="429"/>
      <c r="AN321" s="439"/>
      <c r="AO321" s="439"/>
      <c r="AP321" s="439"/>
      <c r="AQ321" s="365">
        <f>0.4%+0.04%+0.1%+0.04%</f>
        <v>0.0058</v>
      </c>
      <c r="AR321" s="419">
        <f t="shared" si="35"/>
        <v>567845</v>
      </c>
      <c r="AS321" s="359"/>
      <c r="AT321" s="359">
        <v>100</v>
      </c>
      <c r="AU321" s="359"/>
      <c r="AV321" s="359"/>
      <c r="AW321" s="359">
        <v>177845</v>
      </c>
      <c r="AX321" s="359"/>
      <c r="AY321" s="218"/>
      <c r="BA321" s="359"/>
      <c r="BB321" s="359">
        <v>390000</v>
      </c>
      <c r="BC321" s="359"/>
      <c r="BD321" s="359"/>
      <c r="BE321" s="359"/>
      <c r="BZ321" s="134" t="s">
        <v>376</v>
      </c>
      <c r="CA321" s="134" t="s">
        <v>387</v>
      </c>
      <c r="CB321" s="134" t="s">
        <v>377</v>
      </c>
      <c r="CE321" s="149"/>
    </row>
    <row r="322" s="134" customFormat="1" customHeight="1" spans="1:83">
      <c r="A322" s="134">
        <v>232</v>
      </c>
      <c r="C322" s="138">
        <v>44966</v>
      </c>
      <c r="D322" s="496" t="s">
        <v>3198</v>
      </c>
      <c r="F322" s="429" t="s">
        <v>3199</v>
      </c>
      <c r="G322" s="134" t="s">
        <v>3200</v>
      </c>
      <c r="H322" s="1010" t="s">
        <v>739</v>
      </c>
      <c r="I322" s="414" t="s">
        <v>3201</v>
      </c>
      <c r="J322" s="134">
        <v>108.14</v>
      </c>
      <c r="K322" s="134">
        <v>108.14</v>
      </c>
      <c r="L322" s="134">
        <v>5275.38</v>
      </c>
      <c r="M322" s="436">
        <v>570480</v>
      </c>
      <c r="N322" s="437"/>
      <c r="O322" s="445">
        <v>523376.15</v>
      </c>
      <c r="P322" s="446" t="s">
        <v>3202</v>
      </c>
      <c r="Q322" s="448">
        <v>45562</v>
      </c>
      <c r="R322" s="359"/>
      <c r="S322" s="362"/>
      <c r="T322" s="363" t="s">
        <v>3203</v>
      </c>
      <c r="U322" s="362" t="s">
        <v>3204</v>
      </c>
      <c r="V322" s="359">
        <v>289636</v>
      </c>
      <c r="W322" s="134" t="s">
        <v>1377</v>
      </c>
      <c r="X322" s="359">
        <v>280000</v>
      </c>
      <c r="Y322" s="134" t="s">
        <v>1384</v>
      </c>
      <c r="Z322" s="359">
        <v>845</v>
      </c>
      <c r="AA322" s="362" t="s">
        <v>3205</v>
      </c>
      <c r="AB322" s="359"/>
      <c r="AF322" s="420">
        <v>-1</v>
      </c>
      <c r="AG322" s="468"/>
      <c r="AH322" s="359">
        <f t="shared" si="39"/>
        <v>570480</v>
      </c>
      <c r="AK322" s="364">
        <f t="shared" si="37"/>
        <v>0</v>
      </c>
      <c r="AL322" s="429" t="s">
        <v>3206</v>
      </c>
      <c r="AM322" s="429"/>
      <c r="AN322" s="439"/>
      <c r="AO322" s="439"/>
      <c r="AP322" s="439"/>
      <c r="AQ322" s="365">
        <f>0.4%+0.1%</f>
        <v>0.005</v>
      </c>
      <c r="AR322" s="419">
        <f t="shared" si="35"/>
        <v>569636</v>
      </c>
      <c r="AS322" s="359">
        <v>100</v>
      </c>
      <c r="AT322" s="359"/>
      <c r="AU322" s="359"/>
      <c r="AV322" s="359">
        <v>569636</v>
      </c>
      <c r="AW322" s="359"/>
      <c r="AX322" s="359"/>
      <c r="AY322" s="218"/>
      <c r="BA322" s="359"/>
      <c r="BB322" s="359"/>
      <c r="BC322" s="359"/>
      <c r="BD322" s="359"/>
      <c r="BE322" s="359"/>
      <c r="BZ322" s="134" t="s">
        <v>376</v>
      </c>
      <c r="CA322" s="134" t="s">
        <v>387</v>
      </c>
      <c r="CB322" s="134" t="s">
        <v>377</v>
      </c>
      <c r="CE322" s="149"/>
    </row>
    <row r="323" s="134" customFormat="1" ht="32" customHeight="1" spans="1:83">
      <c r="A323" s="134">
        <v>233</v>
      </c>
      <c r="C323" s="138">
        <v>44965</v>
      </c>
      <c r="D323" s="496" t="s">
        <v>3207</v>
      </c>
      <c r="F323" s="429" t="s">
        <v>3208</v>
      </c>
      <c r="G323" s="134" t="s">
        <v>3209</v>
      </c>
      <c r="H323" s="1006" t="s">
        <v>3210</v>
      </c>
      <c r="I323" s="414" t="s">
        <v>3211</v>
      </c>
      <c r="J323" s="134">
        <v>107.77</v>
      </c>
      <c r="K323" s="134">
        <v>107.77</v>
      </c>
      <c r="L323" s="134">
        <v>5321.88</v>
      </c>
      <c r="M323" s="436">
        <v>573539</v>
      </c>
      <c r="N323" s="437"/>
      <c r="O323" s="445">
        <v>526182.57</v>
      </c>
      <c r="P323" s="446" t="s">
        <v>3212</v>
      </c>
      <c r="Q323" s="448">
        <v>45562</v>
      </c>
      <c r="R323" s="359"/>
      <c r="S323" s="362"/>
      <c r="T323" s="363" t="s">
        <v>3213</v>
      </c>
      <c r="U323" s="362" t="s">
        <v>3214</v>
      </c>
      <c r="V323" s="359">
        <v>2000</v>
      </c>
      <c r="W323" s="138" t="s">
        <v>3215</v>
      </c>
      <c r="X323" s="359">
        <v>18000</v>
      </c>
      <c r="Y323" s="438" t="s">
        <v>1398</v>
      </c>
      <c r="Z323" s="359">
        <f>40000+173688</f>
        <v>213688</v>
      </c>
      <c r="AA323" s="134" t="s">
        <v>1481</v>
      </c>
      <c r="AB323" s="359">
        <v>40000</v>
      </c>
      <c r="AC323" s="134" t="s">
        <v>1118</v>
      </c>
      <c r="AD323" s="134">
        <v>299000</v>
      </c>
      <c r="AE323" s="134" t="s">
        <v>2336</v>
      </c>
      <c r="AH323" s="359">
        <f t="shared" si="39"/>
        <v>572688</v>
      </c>
      <c r="AK323" s="364">
        <f t="shared" si="37"/>
        <v>851</v>
      </c>
      <c r="AL323" s="429" t="s">
        <v>3216</v>
      </c>
      <c r="AM323" s="429"/>
      <c r="AN323" s="439"/>
      <c r="AO323" s="439"/>
      <c r="AP323" s="439"/>
      <c r="AQ323" s="365">
        <f>0.6%+0.04%+0.1%</f>
        <v>0.0074</v>
      </c>
      <c r="AR323" s="419">
        <f t="shared" si="35"/>
        <v>572688</v>
      </c>
      <c r="AS323" s="359"/>
      <c r="AT323" s="359"/>
      <c r="AU323" s="359"/>
      <c r="AV323" s="359"/>
      <c r="AW323" s="359">
        <v>273688</v>
      </c>
      <c r="AX323" s="359"/>
      <c r="AY323" s="218">
        <v>299000</v>
      </c>
      <c r="BA323" s="359"/>
      <c r="BB323" s="359"/>
      <c r="BC323" s="359"/>
      <c r="BD323" s="359"/>
      <c r="BE323" s="359"/>
      <c r="BZ323" s="134" t="s">
        <v>376</v>
      </c>
      <c r="CA323" s="134" t="s">
        <v>387</v>
      </c>
      <c r="CB323" s="134" t="s">
        <v>377</v>
      </c>
      <c r="CE323" s="149"/>
    </row>
    <row r="324" s="134" customFormat="1" ht="32" customHeight="1" spans="1:83">
      <c r="A324" s="134">
        <v>234</v>
      </c>
      <c r="C324" s="138">
        <v>44966</v>
      </c>
      <c r="D324" s="496" t="s">
        <v>3217</v>
      </c>
      <c r="F324" s="429" t="s">
        <v>971</v>
      </c>
      <c r="G324" s="143" t="s">
        <v>972</v>
      </c>
      <c r="H324" s="1010" t="s">
        <v>3218</v>
      </c>
      <c r="I324" s="414" t="s">
        <v>3219</v>
      </c>
      <c r="J324" s="134">
        <v>108.14</v>
      </c>
      <c r="K324" s="134">
        <v>108.14</v>
      </c>
      <c r="L324" s="134">
        <v>5320.38</v>
      </c>
      <c r="M324" s="436">
        <v>575346</v>
      </c>
      <c r="N324" s="437"/>
      <c r="O324" s="445">
        <v>527840.37</v>
      </c>
      <c r="P324" s="446" t="s">
        <v>3220</v>
      </c>
      <c r="Q324" s="448">
        <v>45562</v>
      </c>
      <c r="R324" s="359"/>
      <c r="S324" s="416"/>
      <c r="T324" s="426" t="s">
        <v>3221</v>
      </c>
      <c r="U324" s="416" t="s">
        <v>3222</v>
      </c>
      <c r="V324" s="359">
        <v>174495</v>
      </c>
      <c r="W324" s="134" t="s">
        <v>1377</v>
      </c>
      <c r="X324" s="359">
        <v>400000</v>
      </c>
      <c r="Y324" s="438" t="s">
        <v>1878</v>
      </c>
      <c r="Z324" s="359">
        <v>852</v>
      </c>
      <c r="AA324" s="416" t="s">
        <v>3223</v>
      </c>
      <c r="AB324" s="359"/>
      <c r="AF324" s="420">
        <v>-1</v>
      </c>
      <c r="AG324" s="468"/>
      <c r="AH324" s="359">
        <f t="shared" si="39"/>
        <v>575346</v>
      </c>
      <c r="AK324" s="364">
        <f t="shared" si="37"/>
        <v>0</v>
      </c>
      <c r="AL324" s="429" t="s">
        <v>3224</v>
      </c>
      <c r="AM324" s="429"/>
      <c r="AN324" s="439"/>
      <c r="AO324" s="439"/>
      <c r="AP324" s="439"/>
      <c r="AQ324" s="365">
        <f>0.4%+0.04%+0.1%</f>
        <v>0.0054</v>
      </c>
      <c r="AR324" s="419">
        <f t="shared" si="35"/>
        <v>574495</v>
      </c>
      <c r="AS324" s="359">
        <f>100</f>
        <v>100</v>
      </c>
      <c r="AT324" s="359">
        <f>100+100</f>
        <v>200</v>
      </c>
      <c r="AU324" s="359"/>
      <c r="AV324" s="359">
        <v>574495</v>
      </c>
      <c r="AW324" s="359"/>
      <c r="AX324" s="359"/>
      <c r="AY324" s="218"/>
      <c r="BA324" s="359"/>
      <c r="BB324" s="359"/>
      <c r="BC324" s="359"/>
      <c r="BD324" s="359"/>
      <c r="BE324" s="359"/>
      <c r="BZ324" s="134" t="s">
        <v>376</v>
      </c>
      <c r="CA324" s="134" t="s">
        <v>387</v>
      </c>
      <c r="CB324" s="134" t="s">
        <v>377</v>
      </c>
      <c r="CE324" s="149"/>
    </row>
    <row r="325" s="134" customFormat="1" ht="32" customHeight="1" spans="1:83">
      <c r="A325" s="134">
        <v>235</v>
      </c>
      <c r="C325" s="138">
        <v>45072</v>
      </c>
      <c r="D325" s="496" t="s">
        <v>3225</v>
      </c>
      <c r="F325" s="429" t="s">
        <v>3226</v>
      </c>
      <c r="G325" s="134" t="s">
        <v>3227</v>
      </c>
      <c r="H325" s="1006" t="s">
        <v>3228</v>
      </c>
      <c r="I325" s="423" t="s">
        <v>3229</v>
      </c>
      <c r="J325" s="134">
        <v>107.77</v>
      </c>
      <c r="K325" s="134">
        <v>107.77</v>
      </c>
      <c r="L325" s="134">
        <v>5631.64</v>
      </c>
      <c r="M325" s="436">
        <v>606922</v>
      </c>
      <c r="N325" s="437">
        <v>5581.64</v>
      </c>
      <c r="O325" s="445">
        <v>556809.17</v>
      </c>
      <c r="P325" s="446" t="s">
        <v>3230</v>
      </c>
      <c r="Q325" s="448">
        <v>45562</v>
      </c>
      <c r="R325" s="359"/>
      <c r="S325" s="362"/>
      <c r="T325" s="362" t="s">
        <v>3227</v>
      </c>
      <c r="U325" s="362" t="s">
        <v>3231</v>
      </c>
      <c r="V325" s="359">
        <v>20000</v>
      </c>
      <c r="W325" s="138" t="s">
        <v>2194</v>
      </c>
      <c r="X325" s="359">
        <v>166021</v>
      </c>
      <c r="Y325" s="438" t="s">
        <v>1064</v>
      </c>
      <c r="Z325" s="359">
        <v>160000</v>
      </c>
      <c r="AA325" s="134" t="s">
        <v>2336</v>
      </c>
      <c r="AB325" s="359">
        <v>260000</v>
      </c>
      <c r="AC325" s="134" t="s">
        <v>1627</v>
      </c>
      <c r="AD325" s="359">
        <v>902</v>
      </c>
      <c r="AE325" s="362">
        <v>45880</v>
      </c>
      <c r="AF325" s="420">
        <v>-1</v>
      </c>
      <c r="AG325" s="468"/>
      <c r="AH325" s="359">
        <f t="shared" si="39"/>
        <v>606922</v>
      </c>
      <c r="AK325" s="364">
        <f t="shared" si="37"/>
        <v>0</v>
      </c>
      <c r="AL325" s="429" t="s">
        <v>3232</v>
      </c>
      <c r="AM325" s="429"/>
      <c r="AN325" s="439"/>
      <c r="AO325" s="439"/>
      <c r="AP325" s="439"/>
      <c r="AQ325" s="365">
        <f>0.6%+0.05%+0.14%</f>
        <v>0.0079</v>
      </c>
      <c r="AR325" s="419">
        <f t="shared" si="35"/>
        <v>606021</v>
      </c>
      <c r="AS325" s="359"/>
      <c r="AT325" s="359"/>
      <c r="AU325" s="359"/>
      <c r="AV325" s="359"/>
      <c r="AW325" s="359"/>
      <c r="AX325" s="359"/>
      <c r="AY325" s="218">
        <v>606021</v>
      </c>
      <c r="BA325" s="359"/>
      <c r="BB325" s="359"/>
      <c r="BC325" s="359"/>
      <c r="BD325" s="359"/>
      <c r="BE325" s="359"/>
      <c r="BZ325" s="134" t="s">
        <v>376</v>
      </c>
      <c r="CA325" s="134" t="s">
        <v>387</v>
      </c>
      <c r="CB325" s="134" t="s">
        <v>377</v>
      </c>
      <c r="CE325" s="149"/>
    </row>
    <row r="326" s="134" customFormat="1" ht="32" customHeight="1" spans="1:83">
      <c r="A326" s="134">
        <v>236</v>
      </c>
      <c r="C326" s="138">
        <v>44967</v>
      </c>
      <c r="D326" s="496" t="s">
        <v>3233</v>
      </c>
      <c r="F326" s="429" t="s">
        <v>3234</v>
      </c>
      <c r="G326" s="134" t="s">
        <v>3235</v>
      </c>
      <c r="H326" s="1006" t="s">
        <v>3236</v>
      </c>
      <c r="I326" s="414" t="s">
        <v>3237</v>
      </c>
      <c r="J326" s="134">
        <v>108.14</v>
      </c>
      <c r="K326" s="134">
        <v>108.14</v>
      </c>
      <c r="L326" s="134">
        <v>5345.38</v>
      </c>
      <c r="M326" s="436">
        <v>578049</v>
      </c>
      <c r="N326" s="437"/>
      <c r="O326" s="445">
        <v>530320.18</v>
      </c>
      <c r="P326" s="446" t="s">
        <v>3238</v>
      </c>
      <c r="Q326" s="448">
        <v>45564</v>
      </c>
      <c r="R326" s="359"/>
      <c r="S326" s="362"/>
      <c r="T326" s="363" t="s">
        <v>3239</v>
      </c>
      <c r="U326" s="362" t="s">
        <v>3240</v>
      </c>
      <c r="V326" s="359">
        <v>177194</v>
      </c>
      <c r="W326" s="134" t="s">
        <v>1346</v>
      </c>
      <c r="X326" s="359">
        <v>400000</v>
      </c>
      <c r="Y326" s="134" t="s">
        <v>1384</v>
      </c>
      <c r="Z326" s="359">
        <v>856</v>
      </c>
      <c r="AA326" s="362" t="s">
        <v>3241</v>
      </c>
      <c r="AB326" s="359"/>
      <c r="AF326" s="420">
        <v>-1</v>
      </c>
      <c r="AG326" s="468"/>
      <c r="AH326" s="359">
        <f t="shared" si="39"/>
        <v>578049</v>
      </c>
      <c r="AK326" s="364">
        <f t="shared" si="37"/>
        <v>0</v>
      </c>
      <c r="AL326" s="429" t="s">
        <v>3242</v>
      </c>
      <c r="AM326" s="429"/>
      <c r="AN326" s="439"/>
      <c r="AO326" s="439"/>
      <c r="AP326" s="439"/>
      <c r="AQ326" s="365">
        <f>0.6%+0.1%</f>
        <v>0.007</v>
      </c>
      <c r="AR326" s="419">
        <f t="shared" ref="AR326:AR332" si="40">SUM(AU326:BU326)</f>
        <v>577194</v>
      </c>
      <c r="AS326" s="359"/>
      <c r="AT326" s="359"/>
      <c r="AU326" s="359"/>
      <c r="AV326" s="359">
        <v>577194</v>
      </c>
      <c r="AW326" s="359"/>
      <c r="AX326" s="359"/>
      <c r="AY326" s="218"/>
      <c r="BA326" s="359"/>
      <c r="BB326" s="359"/>
      <c r="BC326" s="359"/>
      <c r="BD326" s="359"/>
      <c r="BE326" s="359"/>
      <c r="BZ326" s="134" t="s">
        <v>376</v>
      </c>
      <c r="CA326" s="134" t="s">
        <v>387</v>
      </c>
      <c r="CB326" s="134" t="s">
        <v>377</v>
      </c>
      <c r="CE326" s="149"/>
    </row>
    <row r="327" s="134" customFormat="1" ht="32" customHeight="1" spans="1:83">
      <c r="A327" s="134">
        <v>237</v>
      </c>
      <c r="C327" s="138">
        <v>45011</v>
      </c>
      <c r="D327" s="496" t="s">
        <v>3243</v>
      </c>
      <c r="F327" s="429" t="s">
        <v>3244</v>
      </c>
      <c r="G327" s="134" t="s">
        <v>2766</v>
      </c>
      <c r="H327" s="1006" t="s">
        <v>3245</v>
      </c>
      <c r="I327" s="423" t="s">
        <v>3246</v>
      </c>
      <c r="J327" s="134">
        <v>107.77</v>
      </c>
      <c r="K327" s="134">
        <v>107.77</v>
      </c>
      <c r="L327" s="134">
        <v>5668.618</v>
      </c>
      <c r="M327" s="436">
        <v>610907</v>
      </c>
      <c r="N327" s="437">
        <v>5028.14</v>
      </c>
      <c r="O327" s="445">
        <v>560465.14</v>
      </c>
      <c r="P327" s="446" t="s">
        <v>3247</v>
      </c>
      <c r="Q327" s="448">
        <v>45564</v>
      </c>
      <c r="R327" s="359"/>
      <c r="S327" s="362"/>
      <c r="T327" s="134" t="s">
        <v>2766</v>
      </c>
      <c r="U327" s="362" t="s">
        <v>410</v>
      </c>
      <c r="V327" s="359">
        <v>20000</v>
      </c>
      <c r="W327" s="138" t="s">
        <v>3042</v>
      </c>
      <c r="X327" s="359">
        <v>102000</v>
      </c>
      <c r="Y327" s="438" t="s">
        <v>1714</v>
      </c>
      <c r="Z327" s="359">
        <v>488000</v>
      </c>
      <c r="AA327" s="362" t="s">
        <v>3248</v>
      </c>
      <c r="AB327" s="359">
        <v>907</v>
      </c>
      <c r="AC327" s="362" t="s">
        <v>3249</v>
      </c>
      <c r="AH327" s="359">
        <f t="shared" si="39"/>
        <v>610907</v>
      </c>
      <c r="AK327" s="364">
        <f t="shared" si="37"/>
        <v>0</v>
      </c>
      <c r="AL327" s="429" t="s">
        <v>3250</v>
      </c>
      <c r="AM327" s="429"/>
      <c r="AN327" s="439"/>
      <c r="AO327" s="439"/>
      <c r="AP327" s="439"/>
      <c r="AQ327" s="365">
        <f>0.6%+0.05%+0.14%+0.06%</f>
        <v>0.0085</v>
      </c>
      <c r="AR327" s="419">
        <f t="shared" si="40"/>
        <v>610000</v>
      </c>
      <c r="AS327" s="359"/>
      <c r="AT327" s="359"/>
      <c r="AU327" s="359"/>
      <c r="AV327" s="359"/>
      <c r="AW327" s="359">
        <v>122000</v>
      </c>
      <c r="AX327" s="359"/>
      <c r="AY327" s="218"/>
      <c r="BA327" s="359"/>
      <c r="BB327" s="359"/>
      <c r="BC327" s="359">
        <v>488000</v>
      </c>
      <c r="BD327" s="359"/>
      <c r="BE327" s="359"/>
      <c r="BZ327" s="134" t="s">
        <v>376</v>
      </c>
      <c r="CA327" s="134" t="s">
        <v>387</v>
      </c>
      <c r="CB327" s="134" t="s">
        <v>377</v>
      </c>
      <c r="CE327" s="149"/>
    </row>
    <row r="328" s="134" customFormat="1" ht="32" customHeight="1" spans="1:83">
      <c r="A328" s="134">
        <v>238</v>
      </c>
      <c r="C328" s="138">
        <v>45056</v>
      </c>
      <c r="D328" s="496" t="s">
        <v>3251</v>
      </c>
      <c r="F328" s="429" t="s">
        <v>3252</v>
      </c>
      <c r="G328" s="134" t="s">
        <v>3253</v>
      </c>
      <c r="H328" s="1006" t="s">
        <v>3254</v>
      </c>
      <c r="I328" s="414" t="s">
        <v>3255</v>
      </c>
      <c r="J328" s="134">
        <v>108.14</v>
      </c>
      <c r="K328" s="134">
        <v>108.14</v>
      </c>
      <c r="L328" s="134">
        <v>5676.54</v>
      </c>
      <c r="M328" s="436">
        <v>613861</v>
      </c>
      <c r="N328" s="437">
        <v>5626.54</v>
      </c>
      <c r="O328" s="445">
        <v>563175.23</v>
      </c>
      <c r="P328" s="446" t="s">
        <v>3256</v>
      </c>
      <c r="Q328" s="448">
        <v>45564</v>
      </c>
      <c r="R328" s="359"/>
      <c r="S328" s="362"/>
      <c r="T328" s="134" t="s">
        <v>3257</v>
      </c>
      <c r="U328" s="134" t="s">
        <v>3258</v>
      </c>
      <c r="V328" s="359">
        <v>20000</v>
      </c>
      <c r="W328" s="138" t="s">
        <v>1609</v>
      </c>
      <c r="X328" s="359">
        <v>2953</v>
      </c>
      <c r="Y328" s="438" t="s">
        <v>2463</v>
      </c>
      <c r="Z328" s="359">
        <v>100000</v>
      </c>
      <c r="AA328" s="362" t="s">
        <v>2186</v>
      </c>
      <c r="AB328" s="359">
        <v>490000</v>
      </c>
      <c r="AC328" s="362" t="s">
        <v>1127</v>
      </c>
      <c r="AD328" s="359">
        <v>909</v>
      </c>
      <c r="AE328" s="362" t="s">
        <v>2771</v>
      </c>
      <c r="AF328" s="420">
        <v>-1</v>
      </c>
      <c r="AG328" s="468"/>
      <c r="AH328" s="359">
        <f t="shared" si="39"/>
        <v>613861</v>
      </c>
      <c r="AK328" s="364">
        <f t="shared" si="37"/>
        <v>0</v>
      </c>
      <c r="AL328" s="429" t="s">
        <v>3259</v>
      </c>
      <c r="AM328" s="429"/>
      <c r="AN328" s="439"/>
      <c r="AO328" s="439"/>
      <c r="AP328" s="439"/>
      <c r="AQ328" s="365">
        <f>0.6%+0.06%+0.14%+0.06%</f>
        <v>0.0086</v>
      </c>
      <c r="AR328" s="419">
        <f t="shared" si="40"/>
        <v>612953</v>
      </c>
      <c r="AS328" s="359"/>
      <c r="AT328" s="359"/>
      <c r="AU328" s="359"/>
      <c r="AV328" s="359"/>
      <c r="AW328" s="359"/>
      <c r="AX328" s="359"/>
      <c r="AY328" s="218"/>
      <c r="BA328" s="359">
        <v>122953</v>
      </c>
      <c r="BB328" s="359">
        <v>490000</v>
      </c>
      <c r="BC328" s="359"/>
      <c r="BD328" s="359"/>
      <c r="BE328" s="359"/>
      <c r="BZ328" s="134" t="s">
        <v>376</v>
      </c>
      <c r="CA328" s="134" t="s">
        <v>387</v>
      </c>
      <c r="CB328" s="134" t="s">
        <v>377</v>
      </c>
      <c r="CE328" s="149"/>
    </row>
    <row r="329" s="134" customFormat="1" ht="32" customHeight="1" spans="1:83">
      <c r="A329" s="134">
        <v>239</v>
      </c>
      <c r="C329" s="138">
        <v>45175</v>
      </c>
      <c r="D329" s="496" t="s">
        <v>3260</v>
      </c>
      <c r="F329" s="1007" t="s">
        <v>3261</v>
      </c>
      <c r="G329" s="420" t="s">
        <v>3262</v>
      </c>
      <c r="I329" s="423" t="s">
        <v>3263</v>
      </c>
      <c r="J329" s="134">
        <v>107.77</v>
      </c>
      <c r="K329" s="134">
        <v>107.77</v>
      </c>
      <c r="L329" s="134">
        <v>5960</v>
      </c>
      <c r="M329" s="436">
        <v>642309</v>
      </c>
      <c r="N329" s="437">
        <v>5948.81</v>
      </c>
      <c r="O329" s="445">
        <v>589274.31</v>
      </c>
      <c r="P329" s="446" t="s">
        <v>3264</v>
      </c>
      <c r="Q329" s="448">
        <v>45564</v>
      </c>
      <c r="R329" s="359"/>
      <c r="S329" s="362"/>
      <c r="T329" s="362"/>
      <c r="U329" s="362" t="s">
        <v>383</v>
      </c>
      <c r="V329" s="359">
        <v>24688</v>
      </c>
      <c r="W329" s="362" t="s">
        <v>3265</v>
      </c>
      <c r="X329" s="359">
        <v>106668</v>
      </c>
      <c r="Y329" s="362" t="s">
        <v>2508</v>
      </c>
      <c r="Z329" s="359">
        <v>510000</v>
      </c>
      <c r="AA329" s="134" t="s">
        <v>3248</v>
      </c>
      <c r="AB329" s="359"/>
      <c r="AH329" s="359">
        <f t="shared" si="39"/>
        <v>641356</v>
      </c>
      <c r="AK329" s="364">
        <f t="shared" si="37"/>
        <v>953</v>
      </c>
      <c r="AL329" s="429"/>
      <c r="AM329" s="429"/>
      <c r="AN329" s="439"/>
      <c r="AO329" s="439"/>
      <c r="AP329" s="439"/>
      <c r="AQ329" s="513">
        <f>0.5%+0.12%</f>
        <v>0.0062</v>
      </c>
      <c r="AR329" s="419">
        <f t="shared" si="40"/>
        <v>641356</v>
      </c>
      <c r="AS329" s="359"/>
      <c r="AT329" s="359"/>
      <c r="AU329" s="359"/>
      <c r="AV329" s="359"/>
      <c r="AW329" s="359"/>
      <c r="AX329" s="359"/>
      <c r="AY329" s="218"/>
      <c r="BA329" s="359"/>
      <c r="BB329" s="359"/>
      <c r="BC329" s="359">
        <v>641356</v>
      </c>
      <c r="BD329" s="359"/>
      <c r="BE329" s="359"/>
      <c r="BZ329" s="134" t="s">
        <v>376</v>
      </c>
      <c r="CA329" s="134" t="s">
        <v>387</v>
      </c>
      <c r="CB329" s="134" t="s">
        <v>377</v>
      </c>
      <c r="CE329" s="149"/>
    </row>
    <row r="330" s="134" customFormat="1" ht="32" customHeight="1" spans="1:83">
      <c r="A330" s="134">
        <v>240</v>
      </c>
      <c r="C330" s="138">
        <v>45173</v>
      </c>
      <c r="D330" s="496" t="s">
        <v>3266</v>
      </c>
      <c r="F330" s="429" t="s">
        <v>3267</v>
      </c>
      <c r="G330" s="134" t="s">
        <v>3268</v>
      </c>
      <c r="H330" s="1006" t="s">
        <v>3269</v>
      </c>
      <c r="I330" s="414" t="s">
        <v>3270</v>
      </c>
      <c r="J330" s="134">
        <v>108.14</v>
      </c>
      <c r="K330" s="134">
        <v>108.14</v>
      </c>
      <c r="L330" s="134">
        <v>5960</v>
      </c>
      <c r="M330" s="436">
        <v>644514</v>
      </c>
      <c r="N330" s="437">
        <v>5947.21</v>
      </c>
      <c r="O330" s="445">
        <v>591297.25</v>
      </c>
      <c r="P330" s="446" t="s">
        <v>3271</v>
      </c>
      <c r="Q330" s="448">
        <v>45564</v>
      </c>
      <c r="R330" s="359"/>
      <c r="S330" s="362"/>
      <c r="T330" s="362"/>
      <c r="U330" s="362" t="s">
        <v>677</v>
      </c>
      <c r="V330" s="359">
        <v>20000</v>
      </c>
      <c r="W330" s="362" t="s">
        <v>2376</v>
      </c>
      <c r="X330" s="359">
        <v>173561</v>
      </c>
      <c r="Y330" s="362" t="s">
        <v>2089</v>
      </c>
      <c r="Z330" s="359">
        <v>450000</v>
      </c>
      <c r="AA330" s="134" t="s">
        <v>1618</v>
      </c>
      <c r="AB330" s="359">
        <v>954</v>
      </c>
      <c r="AC330" s="362">
        <v>46124</v>
      </c>
      <c r="AF330" s="420">
        <v>-1</v>
      </c>
      <c r="AG330" s="468"/>
      <c r="AH330" s="359">
        <f t="shared" si="39"/>
        <v>644514</v>
      </c>
      <c r="AK330" s="364">
        <f t="shared" si="37"/>
        <v>0</v>
      </c>
      <c r="AL330" s="429" t="s">
        <v>3272</v>
      </c>
      <c r="AM330" s="429"/>
      <c r="AN330" s="439"/>
      <c r="AO330" s="439"/>
      <c r="AP330" s="439"/>
      <c r="AQ330" s="140">
        <f>0.7%+0.05%+0.12%</f>
        <v>0.0087</v>
      </c>
      <c r="AR330" s="419">
        <f t="shared" si="40"/>
        <v>643561</v>
      </c>
      <c r="AS330" s="359"/>
      <c r="AT330" s="359">
        <v>100</v>
      </c>
      <c r="AU330" s="359"/>
      <c r="AV330" s="359"/>
      <c r="AW330" s="359"/>
      <c r="AX330" s="359"/>
      <c r="AY330" s="218"/>
      <c r="BA330" s="359"/>
      <c r="BB330" s="359"/>
      <c r="BC330" s="359">
        <v>193561</v>
      </c>
      <c r="BD330" s="359"/>
      <c r="BE330" s="359">
        <v>450000</v>
      </c>
      <c r="BZ330" s="134" t="s">
        <v>376</v>
      </c>
      <c r="CA330" s="134" t="s">
        <v>387</v>
      </c>
      <c r="CB330" s="134" t="s">
        <v>377</v>
      </c>
      <c r="CE330" s="149"/>
    </row>
    <row r="331" s="134" customFormat="1" ht="32" customHeight="1" spans="1:83">
      <c r="A331" s="134">
        <v>241</v>
      </c>
      <c r="B331" s="134"/>
      <c r="C331" s="138">
        <v>45534</v>
      </c>
      <c r="D331" s="496" t="s">
        <v>3273</v>
      </c>
      <c r="F331" s="429" t="s">
        <v>3274</v>
      </c>
      <c r="G331" s="134" t="s">
        <v>2748</v>
      </c>
      <c r="H331" s="1006" t="s">
        <v>3275</v>
      </c>
      <c r="I331" s="423" t="s">
        <v>3276</v>
      </c>
      <c r="J331" s="134">
        <v>107.77</v>
      </c>
      <c r="K331" s="134">
        <v>107.77</v>
      </c>
      <c r="L331" s="134">
        <f>M331/K331</f>
        <v>7155.46998236986</v>
      </c>
      <c r="M331" s="436">
        <v>771145</v>
      </c>
      <c r="N331" s="437">
        <v>6985.5</v>
      </c>
      <c r="O331" s="445">
        <v>707472.48</v>
      </c>
      <c r="P331" s="446" t="s">
        <v>3277</v>
      </c>
      <c r="Q331" s="448">
        <v>45562</v>
      </c>
      <c r="R331" s="359"/>
      <c r="S331" s="362"/>
      <c r="T331" s="362"/>
      <c r="U331" s="362" t="s">
        <v>410</v>
      </c>
      <c r="V331" s="359">
        <v>20000</v>
      </c>
      <c r="W331" s="362" t="s">
        <v>619</v>
      </c>
      <c r="X331" s="359">
        <v>300000</v>
      </c>
      <c r="Y331" s="362">
        <v>45536</v>
      </c>
      <c r="Z331" s="359">
        <v>450000</v>
      </c>
      <c r="AA331" s="138">
        <v>45549</v>
      </c>
      <c r="AB331" s="359">
        <v>1145</v>
      </c>
      <c r="AC331" s="138">
        <v>45562</v>
      </c>
      <c r="AH331" s="359">
        <f t="shared" si="39"/>
        <v>771145</v>
      </c>
      <c r="AK331" s="364">
        <f t="shared" si="37"/>
        <v>0</v>
      </c>
      <c r="AL331" s="429" t="s">
        <v>3278</v>
      </c>
      <c r="AM331" s="429"/>
      <c r="AN331" s="439"/>
      <c r="AO331" s="439"/>
      <c r="AP331" s="439"/>
      <c r="AQ331" s="365">
        <f>0.7%+0.08%</f>
        <v>0.0078</v>
      </c>
      <c r="AR331" s="419">
        <f t="shared" si="40"/>
        <v>771145</v>
      </c>
      <c r="AS331" s="359">
        <f>100</f>
        <v>100</v>
      </c>
      <c r="AT331" s="359"/>
      <c r="AU331" s="359"/>
      <c r="AV331" s="359"/>
      <c r="AW331" s="359"/>
      <c r="AX331" s="359"/>
      <c r="AY331" s="218"/>
      <c r="BA331" s="359"/>
      <c r="BB331" s="359"/>
      <c r="BC331" s="359"/>
      <c r="BD331" s="359"/>
      <c r="BE331" s="359"/>
      <c r="BN331" s="134">
        <v>771145</v>
      </c>
      <c r="BO331" s="134"/>
      <c r="BZ331" s="134" t="s">
        <v>376</v>
      </c>
      <c r="CB331" s="134" t="s">
        <v>377</v>
      </c>
      <c r="CE331" s="149"/>
    </row>
    <row r="332" s="134" customFormat="1" ht="32" customHeight="1" spans="1:83">
      <c r="A332" s="134">
        <v>242</v>
      </c>
      <c r="C332" s="138">
        <v>45271</v>
      </c>
      <c r="D332" s="496" t="s">
        <v>3279</v>
      </c>
      <c r="F332" s="1006" t="s">
        <v>3280</v>
      </c>
      <c r="G332" s="143" t="s">
        <v>3281</v>
      </c>
      <c r="H332" s="1010" t="s">
        <v>3282</v>
      </c>
      <c r="I332" s="414" t="s">
        <v>3283</v>
      </c>
      <c r="J332" s="134">
        <v>108.14</v>
      </c>
      <c r="K332" s="134">
        <v>108.14</v>
      </c>
      <c r="L332" s="134">
        <v>6973.51</v>
      </c>
      <c r="M332" s="436">
        <v>754115</v>
      </c>
      <c r="N332" s="437">
        <v>6782</v>
      </c>
      <c r="O332" s="445">
        <v>691848.62</v>
      </c>
      <c r="P332" s="446" t="s">
        <v>3284</v>
      </c>
      <c r="Q332" s="448">
        <v>45564</v>
      </c>
      <c r="R332" s="359"/>
      <c r="S332" s="416"/>
      <c r="T332" s="416" t="s">
        <v>3285</v>
      </c>
      <c r="U332" s="416" t="s">
        <v>3286</v>
      </c>
      <c r="V332" s="359">
        <f>2000-2000</f>
        <v>0</v>
      </c>
      <c r="W332" s="413">
        <v>44762</v>
      </c>
      <c r="X332" s="359">
        <v>10000</v>
      </c>
      <c r="Y332" s="416" t="s">
        <v>3287</v>
      </c>
      <c r="Z332" s="359">
        <v>743000</v>
      </c>
      <c r="AA332" s="134" t="s">
        <v>713</v>
      </c>
      <c r="AB332" s="359">
        <v>1116</v>
      </c>
      <c r="AC332" s="416" t="s">
        <v>3132</v>
      </c>
      <c r="AF332" s="420">
        <v>-1</v>
      </c>
      <c r="AG332" s="468"/>
      <c r="AH332" s="359">
        <f t="shared" si="39"/>
        <v>754115</v>
      </c>
      <c r="AK332" s="364">
        <f t="shared" si="37"/>
        <v>0</v>
      </c>
      <c r="AL332" s="429" t="s">
        <v>3288</v>
      </c>
      <c r="AM332" s="429"/>
      <c r="AN332" s="439"/>
      <c r="AO332" s="439"/>
      <c r="AP332" s="439"/>
      <c r="AQ332" s="498">
        <f>0.5%+0.02%+0.08%</f>
        <v>0.006</v>
      </c>
      <c r="AR332" s="419">
        <f t="shared" si="40"/>
        <v>753000</v>
      </c>
      <c r="AS332" s="359">
        <f>100+100</f>
        <v>200</v>
      </c>
      <c r="AT332" s="359"/>
      <c r="AU332" s="359"/>
      <c r="AV332" s="359"/>
      <c r="AW332" s="359"/>
      <c r="AX332" s="359"/>
      <c r="AY332" s="218"/>
      <c r="BA332" s="359"/>
      <c r="BB332" s="359"/>
      <c r="BC332" s="359"/>
      <c r="BD332" s="359"/>
      <c r="BE332" s="359"/>
      <c r="BF332" s="134">
        <v>753000</v>
      </c>
      <c r="BZ332" s="134" t="s">
        <v>376</v>
      </c>
      <c r="CA332" s="134" t="s">
        <v>387</v>
      </c>
      <c r="CB332" s="134" t="s">
        <v>377</v>
      </c>
      <c r="CE332" s="149"/>
    </row>
    <row r="333" s="356" customFormat="1" ht="14.25" spans="1:83">
      <c r="A333" s="356" t="s">
        <v>70</v>
      </c>
      <c r="B333" s="356">
        <f>SUM(B23:B332)</f>
        <v>0</v>
      </c>
      <c r="J333" s="524">
        <f>SUM(J4:J332)</f>
        <v>31331.37</v>
      </c>
      <c r="K333" s="524">
        <f>SUM(K4:K332)</f>
        <v>28035.45</v>
      </c>
      <c r="L333" s="524"/>
      <c r="M333" s="525">
        <f>SUM(M4:M332)</f>
        <v>163705235</v>
      </c>
      <c r="N333" s="526"/>
      <c r="O333" s="152">
        <f>SUM(O23:O332)</f>
        <v>148016078.01</v>
      </c>
      <c r="P333" s="527"/>
      <c r="Q333" s="527"/>
      <c r="R333" s="526">
        <f>SUM(R4:R332)</f>
        <v>290000</v>
      </c>
      <c r="S333" s="528"/>
      <c r="T333" s="528"/>
      <c r="U333" s="528"/>
      <c r="V333" s="526">
        <f t="shared" ref="V333:Z333" si="41">SUM(V4:V332)</f>
        <v>26637696</v>
      </c>
      <c r="W333" s="524"/>
      <c r="X333" s="526">
        <f t="shared" si="41"/>
        <v>45389680</v>
      </c>
      <c r="Y333" s="524"/>
      <c r="Z333" s="526">
        <f t="shared" si="41"/>
        <v>50874062</v>
      </c>
      <c r="AA333" s="524"/>
      <c r="AB333" s="526">
        <f>SUM(AB4:AB332)</f>
        <v>26156603</v>
      </c>
      <c r="AC333" s="524"/>
      <c r="AD333" s="526">
        <f>SUM(AD4:AD332)</f>
        <v>10939927</v>
      </c>
      <c r="AE333" s="524"/>
      <c r="AF333" s="526">
        <f>SUM(AF4:AF332)</f>
        <v>2766690</v>
      </c>
      <c r="AG333" s="524"/>
      <c r="AH333" s="526">
        <f t="shared" ref="AH333:AK333" si="42">SUM(AH4:AH332)</f>
        <v>162764658</v>
      </c>
      <c r="AI333" s="526">
        <f t="shared" si="42"/>
        <v>0</v>
      </c>
      <c r="AJ333" s="526">
        <f t="shared" si="42"/>
        <v>0</v>
      </c>
      <c r="AK333" s="529">
        <f t="shared" si="42"/>
        <v>940577</v>
      </c>
      <c r="AL333" s="524"/>
      <c r="AM333" s="524"/>
      <c r="AN333" s="526"/>
      <c r="AO333" s="524"/>
      <c r="AP333" s="524"/>
      <c r="AQ333" s="524"/>
      <c r="AR333" s="526">
        <f t="shared" ref="AN333:BR333" si="43">SUM(AR4:AR332)</f>
        <v>150454516</v>
      </c>
      <c r="AS333" s="526">
        <f t="shared" si="43"/>
        <v>9900</v>
      </c>
      <c r="AT333" s="526">
        <f t="shared" si="43"/>
        <v>10800</v>
      </c>
      <c r="AU333" s="526">
        <f t="shared" si="43"/>
        <v>1217345</v>
      </c>
      <c r="AV333" s="526">
        <f t="shared" si="43"/>
        <v>23244883</v>
      </c>
      <c r="AW333" s="526">
        <f t="shared" si="43"/>
        <v>11104011</v>
      </c>
      <c r="AX333" s="526">
        <f t="shared" si="43"/>
        <v>9615172</v>
      </c>
      <c r="AY333" s="526">
        <f t="shared" si="43"/>
        <v>15433544</v>
      </c>
      <c r="AZ333" s="526">
        <f t="shared" si="43"/>
        <v>10096008</v>
      </c>
      <c r="BA333" s="526">
        <f t="shared" si="43"/>
        <v>21808723</v>
      </c>
      <c r="BB333" s="526">
        <f t="shared" si="43"/>
        <v>14547779</v>
      </c>
      <c r="BC333" s="526">
        <f t="shared" si="43"/>
        <v>10937909</v>
      </c>
      <c r="BD333" s="526">
        <f t="shared" si="43"/>
        <v>8786716</v>
      </c>
      <c r="BE333" s="526">
        <f t="shared" si="43"/>
        <v>5341191</v>
      </c>
      <c r="BF333" s="526">
        <f t="shared" si="43"/>
        <v>2736000</v>
      </c>
      <c r="BG333" s="526">
        <f t="shared" si="43"/>
        <v>4296362</v>
      </c>
      <c r="BH333" s="526">
        <f t="shared" si="43"/>
        <v>1299350</v>
      </c>
      <c r="BI333" s="526">
        <f t="shared" si="43"/>
        <v>1550860</v>
      </c>
      <c r="BJ333" s="526">
        <f t="shared" si="43"/>
        <v>667000</v>
      </c>
      <c r="BK333" s="526">
        <f t="shared" si="43"/>
        <v>2131360</v>
      </c>
      <c r="BL333" s="526">
        <f t="shared" si="43"/>
        <v>1572402</v>
      </c>
      <c r="BM333" s="526">
        <f t="shared" si="43"/>
        <v>780000</v>
      </c>
      <c r="BN333" s="526">
        <f t="shared" si="43"/>
        <v>2001345</v>
      </c>
      <c r="BO333" s="526">
        <f t="shared" si="43"/>
        <v>170040</v>
      </c>
      <c r="BP333" s="526">
        <f t="shared" si="43"/>
        <v>125320</v>
      </c>
      <c r="BQ333" s="526">
        <f t="shared" si="43"/>
        <v>67040</v>
      </c>
      <c r="BR333" s="526">
        <f t="shared" si="43"/>
        <v>101920</v>
      </c>
      <c r="BS333" s="526"/>
      <c r="BT333" s="526"/>
      <c r="BU333" s="524"/>
      <c r="BV333" s="526">
        <f>SUM(BV23:BV332)</f>
        <v>0</v>
      </c>
      <c r="BW333" s="530"/>
      <c r="BX333" s="530"/>
      <c r="BY333" s="526">
        <f>SUM(BY23:BY332)</f>
        <v>0</v>
      </c>
    </row>
    <row r="334" s="134" customFormat="1" ht="14.25" spans="1:83">
      <c r="M334" s="358"/>
      <c r="N334" s="359"/>
      <c r="O334" s="145"/>
      <c r="P334" s="360"/>
      <c r="Q334" s="361" t="s">
        <v>3289</v>
      </c>
      <c r="R334" s="359">
        <v>290000</v>
      </c>
      <c r="S334" s="362"/>
      <c r="T334" s="362"/>
      <c r="U334" s="362"/>
      <c r="V334" s="359"/>
      <c r="X334" s="359"/>
      <c r="Z334" s="359"/>
      <c r="AB334" s="359"/>
      <c r="AH334" s="359">
        <f>AH333/1.09</f>
        <v>149325374.311927</v>
      </c>
      <c r="AK334" s="364"/>
      <c r="AQ334" s="531"/>
      <c r="AR334" s="419"/>
      <c r="AS334" s="359"/>
      <c r="AT334" s="359"/>
      <c r="AU334" s="359"/>
      <c r="AV334" s="359"/>
      <c r="AW334" s="359"/>
      <c r="AX334" s="359"/>
      <c r="AY334" s="218"/>
      <c r="AZ334" s="128"/>
      <c r="BA334" s="359"/>
      <c r="BB334" s="359"/>
      <c r="BC334" s="359"/>
      <c r="BD334" s="359"/>
      <c r="BE334" s="359">
        <f>BE333+'画堂春锦苑1#2#3#5#7#楼住宅销售明细表'!BC442</f>
        <v>23680603</v>
      </c>
      <c r="BF334" s="359">
        <f>BF333+'画堂春锦苑1#2#3#5#7#楼住宅销售明细表'!BD442</f>
        <v>14744088</v>
      </c>
      <c r="BG334" s="359">
        <f>BG333+'画堂春锦苑1#2#3#5#7#楼住宅销售明细表'!BE442</f>
        <v>17542370</v>
      </c>
      <c r="BH334" s="359">
        <f>BH333+'画堂春锦苑1#2#3#5#7#楼住宅销售明细表'!BF442</f>
        <v>8892027</v>
      </c>
      <c r="BI334" s="359">
        <f>BI333+'画堂春锦苑1#2#3#5#7#楼住宅销售明细表'!BG442</f>
        <v>24731367</v>
      </c>
      <c r="BJ334" s="359">
        <f>BJ333+'画堂春锦苑1#2#3#5#7#楼住宅销售明细表'!BH442</f>
        <v>19278850</v>
      </c>
      <c r="BK334" s="359">
        <f>BK333+'画堂春锦苑1#2#3#5#7#楼住宅销售明细表'!BI442+'画堂春锦苑8#楼明细表'!AQ91</f>
        <v>15636944</v>
      </c>
      <c r="BL334" s="359"/>
      <c r="BM334" s="359"/>
      <c r="BN334" s="359">
        <f>BN333+'画堂春锦苑1#2#3#5#7#楼住宅销售明细表'!BM442+'画堂春锦苑8#楼明细表'!AU91</f>
        <v>10268484</v>
      </c>
      <c r="BO334" s="359">
        <f>BO333+'画堂春锦苑1#2#3#5#7#楼住宅销售明细表'!BN442+'画堂春锦苑8#楼明细表'!AV91+'画堂春锦苑住宅4#6#'!AR168</f>
        <v>13587290</v>
      </c>
      <c r="BP334" s="359"/>
      <c r="BQ334" s="359"/>
      <c r="BR334" s="359"/>
      <c r="BS334" s="359"/>
      <c r="BT334" s="359"/>
      <c r="BV334" s="109"/>
      <c r="BW334" s="109"/>
      <c r="BX334" s="109"/>
    </row>
    <row r="335" s="134" customFormat="1" ht="14.25" spans="1:83">
      <c r="M335" s="358"/>
      <c r="N335" s="359"/>
      <c r="O335" s="145"/>
      <c r="P335" s="360"/>
      <c r="Q335" s="361" t="s">
        <v>94</v>
      </c>
      <c r="R335" s="359"/>
      <c r="S335" s="362"/>
      <c r="T335" s="362"/>
      <c r="U335" s="362"/>
      <c r="V335" s="359"/>
      <c r="X335" s="359"/>
      <c r="Z335" s="359"/>
      <c r="AB335" s="359"/>
      <c r="AH335" s="359"/>
      <c r="AK335" s="364"/>
      <c r="AQ335" s="531"/>
      <c r="AR335" s="419"/>
      <c r="AS335" s="359"/>
      <c r="AT335" s="359"/>
      <c r="AU335" s="365"/>
      <c r="AV335" s="365"/>
      <c r="AW335" s="365"/>
      <c r="AX335" s="365"/>
      <c r="AY335" s="178"/>
      <c r="AZ335" s="178"/>
      <c r="BA335" s="365"/>
      <c r="BB335" s="359"/>
      <c r="BC335" s="359"/>
      <c r="BD335" s="359"/>
      <c r="BE335" s="359"/>
      <c r="BO335" s="134">
        <v>170040</v>
      </c>
    </row>
    <row r="336" s="134" customFormat="1" ht="14.25" spans="1:83">
      <c r="M336" s="358"/>
      <c r="N336" s="359"/>
      <c r="O336" s="145"/>
      <c r="P336" s="360"/>
      <c r="Q336" s="492" t="s">
        <v>3290</v>
      </c>
      <c r="R336" s="359"/>
      <c r="S336" s="362"/>
      <c r="T336" s="362"/>
      <c r="U336" s="362"/>
      <c r="V336" s="359"/>
      <c r="X336" s="359"/>
      <c r="Z336" s="359"/>
      <c r="AB336" s="359"/>
      <c r="AH336" s="359"/>
      <c r="AK336" s="364"/>
      <c r="AQ336" s="531"/>
      <c r="AR336" s="419"/>
      <c r="AS336" s="359"/>
      <c r="AT336" s="359"/>
      <c r="AU336" s="365"/>
      <c r="AV336" s="365"/>
      <c r="AW336" s="365"/>
      <c r="AX336" s="365"/>
      <c r="AY336" s="178"/>
      <c r="AZ336" s="178"/>
      <c r="BA336" s="365"/>
      <c r="BB336" s="359"/>
      <c r="BC336" s="359"/>
      <c r="BD336" s="359"/>
      <c r="BE336" s="359"/>
      <c r="BO336" s="134">
        <f>BO334-BO335</f>
        <v>13417250</v>
      </c>
    </row>
    <row r="337" s="134" customFormat="1" ht="14.25" spans="1:88">
      <c r="D337" s="134" t="s">
        <v>3291</v>
      </c>
      <c r="E337" s="134" t="s">
        <v>3292</v>
      </c>
      <c r="M337" s="358"/>
      <c r="N337" s="359"/>
      <c r="O337" s="145"/>
      <c r="P337" s="360" t="s">
        <v>73</v>
      </c>
      <c r="Q337" s="492" t="s">
        <v>9</v>
      </c>
      <c r="R337" s="532"/>
      <c r="S337" s="362"/>
      <c r="T337" s="420"/>
      <c r="U337" s="362"/>
      <c r="V337" s="359"/>
      <c r="X337" s="359"/>
      <c r="Z337" s="359"/>
      <c r="AB337" s="359"/>
      <c r="AH337" s="359" t="s">
        <v>3293</v>
      </c>
      <c r="AK337" s="364"/>
      <c r="AQ337" s="531"/>
      <c r="AR337" s="419"/>
      <c r="AS337" s="359"/>
      <c r="AT337" s="359"/>
      <c r="AU337" s="359"/>
      <c r="AV337" s="359"/>
      <c r="AW337" s="359"/>
      <c r="AX337" s="359"/>
      <c r="AY337" s="359"/>
      <c r="AZ337" s="359"/>
      <c r="BA337" s="359"/>
      <c r="BB337" s="359"/>
      <c r="BC337" s="359"/>
      <c r="BD337" s="359"/>
      <c r="BE337" s="359"/>
    </row>
    <row r="338" s="134" customFormat="1" ht="14.25" spans="1:88">
      <c r="C338" s="143"/>
      <c r="E338" s="143" t="s">
        <v>3294</v>
      </c>
      <c r="F338" s="134" t="s">
        <v>3295</v>
      </c>
      <c r="G338" s="134" t="s">
        <v>3296</v>
      </c>
      <c r="H338" s="134" t="s">
        <v>3297</v>
      </c>
      <c r="M338" s="358"/>
      <c r="N338" s="359"/>
      <c r="O338" s="145"/>
      <c r="P338" s="360"/>
      <c r="Q338" s="346"/>
      <c r="R338" s="108">
        <f>R334+R336+R337</f>
        <v>290000</v>
      </c>
      <c r="S338" s="362"/>
      <c r="T338" s="362"/>
      <c r="U338" s="362"/>
      <c r="V338" s="359"/>
      <c r="X338" s="359"/>
      <c r="Z338" s="359"/>
      <c r="AB338" s="359"/>
      <c r="AH338" s="359"/>
      <c r="AK338" s="364"/>
      <c r="AQ338" s="531"/>
      <c r="AR338" s="359"/>
      <c r="AS338" s="359"/>
      <c r="AT338" s="359"/>
      <c r="AU338" s="359"/>
      <c r="AV338" s="359"/>
      <c r="AW338" s="359"/>
      <c r="AX338" s="359"/>
      <c r="AY338" s="218"/>
      <c r="AZ338" s="128"/>
      <c r="BA338" s="359"/>
      <c r="BB338" s="359"/>
      <c r="BC338" s="359"/>
      <c r="BD338" s="359"/>
      <c r="BE338" s="359"/>
    </row>
    <row r="339" s="134" customFormat="1" ht="14.25" spans="1:88">
      <c r="C339" s="134" t="s">
        <v>3298</v>
      </c>
      <c r="D339" s="134">
        <v>6731.74</v>
      </c>
      <c r="E339" s="134">
        <v>5077.02</v>
      </c>
      <c r="F339" s="134">
        <v>286.77</v>
      </c>
      <c r="G339" s="134">
        <v>1367.95</v>
      </c>
      <c r="M339" s="358"/>
      <c r="N339" s="359"/>
      <c r="O339" s="145"/>
      <c r="P339" s="360"/>
      <c r="Q339" s="360"/>
      <c r="R339" s="437"/>
      <c r="S339" s="533"/>
      <c r="T339" s="533"/>
      <c r="U339" s="533"/>
      <c r="V339" s="359"/>
      <c r="X339" s="359"/>
      <c r="Z339" s="359"/>
      <c r="AB339" s="359"/>
      <c r="AH339" s="359"/>
      <c r="AK339" s="364"/>
      <c r="AQ339" s="531"/>
      <c r="AR339" s="359"/>
      <c r="AS339" s="359"/>
      <c r="AT339" s="359"/>
      <c r="AU339" s="359"/>
      <c r="AV339" s="359"/>
      <c r="AW339" s="359"/>
      <c r="AX339" s="359"/>
      <c r="AY339" s="218"/>
      <c r="AZ339" s="128"/>
      <c r="BA339" s="359"/>
      <c r="BB339" s="359"/>
      <c r="BC339" s="359"/>
      <c r="BD339" s="359"/>
      <c r="BE339" s="359"/>
    </row>
    <row r="340" s="134" customFormat="1" ht="14.25" spans="1:88">
      <c r="C340" s="134" t="s">
        <v>3299</v>
      </c>
      <c r="D340" s="134">
        <v>9068.14</v>
      </c>
      <c r="E340" s="134">
        <v>6638.33</v>
      </c>
      <c r="F340" s="134">
        <v>411.95</v>
      </c>
      <c r="G340" s="134">
        <v>2017.86</v>
      </c>
      <c r="M340" s="358"/>
      <c r="N340" s="359"/>
      <c r="O340" s="145"/>
      <c r="P340" s="360"/>
      <c r="Q340" s="360"/>
      <c r="R340" s="359"/>
      <c r="S340" s="362"/>
      <c r="T340" s="362"/>
      <c r="U340" s="362"/>
      <c r="V340" s="359"/>
      <c r="X340" s="359"/>
      <c r="Z340" s="359"/>
      <c r="AB340" s="359"/>
      <c r="AH340" s="359"/>
      <c r="AK340" s="364"/>
      <c r="AQ340" s="531"/>
      <c r="AR340" s="359"/>
      <c r="AS340" s="359"/>
      <c r="AT340" s="359"/>
      <c r="AU340" s="359"/>
      <c r="AV340" s="359"/>
      <c r="AW340" s="359"/>
      <c r="AX340" s="359"/>
      <c r="AY340" s="218"/>
      <c r="AZ340" s="128"/>
      <c r="BA340" s="359"/>
      <c r="BB340" s="359"/>
      <c r="BC340" s="359"/>
      <c r="BD340" s="359"/>
      <c r="BE340" s="359"/>
    </row>
    <row r="341" s="134" customFormat="1" ht="14.25" spans="1:88">
      <c r="C341" s="134" t="s">
        <v>3300</v>
      </c>
      <c r="D341" s="134">
        <v>7776.27</v>
      </c>
      <c r="E341" s="134">
        <v>5453.36</v>
      </c>
      <c r="F341" s="134">
        <v>409.1</v>
      </c>
      <c r="G341" s="134">
        <v>1913.81</v>
      </c>
      <c r="M341" s="358"/>
      <c r="N341" s="359"/>
      <c r="O341" s="145"/>
      <c r="P341" s="360"/>
      <c r="Q341" s="360"/>
      <c r="R341" s="359"/>
      <c r="S341" s="362"/>
      <c r="T341" s="362"/>
      <c r="U341" s="362"/>
      <c r="V341" s="359"/>
      <c r="X341" s="359"/>
      <c r="Z341" s="359"/>
      <c r="AB341" s="359"/>
      <c r="AH341" s="359"/>
      <c r="AK341" s="364"/>
      <c r="AQ341" s="531"/>
      <c r="AR341" s="359"/>
      <c r="AS341" s="359"/>
      <c r="AT341" s="359"/>
      <c r="AU341" s="359"/>
      <c r="AV341" s="359"/>
      <c r="AW341" s="359"/>
      <c r="AX341" s="359"/>
      <c r="AY341" s="218"/>
      <c r="AZ341" s="128"/>
      <c r="BA341" s="359"/>
      <c r="BB341" s="359"/>
      <c r="BC341" s="359"/>
      <c r="BD341" s="359"/>
      <c r="BE341" s="359"/>
    </row>
    <row r="342" s="134" customFormat="1" ht="14.25" spans="1:88">
      <c r="C342" s="134" t="s">
        <v>3301</v>
      </c>
      <c r="D342" s="134">
        <v>7751.6</v>
      </c>
      <c r="E342" s="134">
        <v>5453.36</v>
      </c>
      <c r="F342" s="134">
        <v>382.33</v>
      </c>
      <c r="G342" s="134">
        <v>1915.91</v>
      </c>
      <c r="M342" s="358"/>
      <c r="N342" s="359"/>
      <c r="O342" s="145"/>
      <c r="P342" s="360"/>
      <c r="Q342" s="360"/>
      <c r="R342" s="359"/>
      <c r="S342" s="362"/>
      <c r="T342" s="362"/>
      <c r="U342" s="362"/>
      <c r="V342" s="359"/>
      <c r="X342" s="359"/>
      <c r="Z342" s="359"/>
      <c r="AB342" s="359"/>
      <c r="AH342" s="359"/>
      <c r="AK342" s="364"/>
      <c r="AQ342" s="531"/>
      <c r="AR342" s="359"/>
      <c r="AS342" s="359"/>
      <c r="AT342" s="359"/>
      <c r="AU342" s="359"/>
      <c r="AV342" s="359"/>
      <c r="AW342" s="359"/>
      <c r="AX342" s="359"/>
      <c r="AY342" s="218"/>
      <c r="AZ342" s="128"/>
      <c r="BA342" s="359"/>
      <c r="BB342" s="359"/>
      <c r="BC342" s="359"/>
      <c r="BD342" s="359"/>
      <c r="BE342" s="359"/>
    </row>
    <row r="343" s="134" customFormat="1" ht="14.25" spans="1:88">
      <c r="M343" s="358"/>
      <c r="N343" s="359"/>
      <c r="O343" s="145"/>
      <c r="P343" s="360"/>
      <c r="Q343" s="360"/>
      <c r="R343" s="359"/>
      <c r="S343" s="362"/>
      <c r="T343" s="362"/>
      <c r="U343" s="362"/>
      <c r="V343" s="359"/>
      <c r="X343" s="359"/>
      <c r="Z343" s="359"/>
      <c r="AB343" s="359"/>
      <c r="AH343" s="359"/>
      <c r="AK343" s="364"/>
      <c r="AQ343" s="531"/>
      <c r="AR343" s="359"/>
      <c r="AS343" s="359"/>
      <c r="AT343" s="359"/>
      <c r="AU343" s="359"/>
      <c r="AV343" s="359"/>
      <c r="AW343" s="359"/>
      <c r="AX343" s="359"/>
      <c r="AY343" s="218"/>
      <c r="AZ343" s="128"/>
      <c r="BA343" s="359"/>
      <c r="BB343" s="359"/>
      <c r="BC343" s="359"/>
      <c r="BD343" s="359"/>
      <c r="BE343" s="359"/>
    </row>
    <row r="344" s="134" customFormat="1" ht="14.25" spans="1:88">
      <c r="M344" s="358"/>
      <c r="N344" s="359"/>
      <c r="O344" s="145"/>
      <c r="P344" s="360"/>
      <c r="Q344" s="360"/>
      <c r="R344" s="359"/>
      <c r="S344" s="362"/>
      <c r="T344" s="362"/>
      <c r="U344" s="362"/>
      <c r="V344" s="359"/>
      <c r="X344" s="359"/>
      <c r="Z344" s="359"/>
      <c r="AB344" s="359"/>
      <c r="AH344" s="359"/>
      <c r="AK344" s="364"/>
      <c r="AQ344" s="531"/>
      <c r="AR344" s="359"/>
      <c r="AS344" s="359"/>
      <c r="AT344" s="359"/>
      <c r="AU344" s="359"/>
      <c r="AV344" s="359"/>
      <c r="AW344" s="359"/>
      <c r="AX344" s="359"/>
      <c r="AY344" s="218"/>
      <c r="AZ344" s="128"/>
      <c r="BA344" s="359"/>
      <c r="BB344" s="359"/>
      <c r="BC344" s="359"/>
      <c r="BD344" s="359"/>
      <c r="BE344" s="359"/>
    </row>
    <row r="345" s="134" customFormat="1" ht="14.25" spans="1:88">
      <c r="M345" s="358"/>
      <c r="N345" s="359"/>
      <c r="O345" s="145"/>
      <c r="P345" s="360"/>
      <c r="Q345" s="360"/>
      <c r="R345" s="359"/>
      <c r="S345" s="362"/>
      <c r="T345" s="362"/>
      <c r="U345" s="362"/>
      <c r="V345" s="359"/>
      <c r="X345" s="359"/>
      <c r="Z345" s="359"/>
      <c r="AB345" s="359"/>
      <c r="AH345" s="359"/>
      <c r="AK345" s="364"/>
      <c r="AQ345" s="531"/>
      <c r="AR345" s="359"/>
      <c r="AS345" s="359"/>
      <c r="AT345" s="359"/>
      <c r="AU345" s="359"/>
      <c r="AV345" s="359"/>
      <c r="AW345" s="359"/>
      <c r="AX345" s="359"/>
      <c r="AY345" s="218"/>
      <c r="AZ345" s="128"/>
      <c r="BA345" s="359"/>
      <c r="BB345" s="359"/>
      <c r="BC345" s="359"/>
      <c r="BD345" s="359"/>
      <c r="BE345" s="359"/>
      <c r="BM345" s="134">
        <f>BM333+'画堂春锦苑1#2#3#5#7#楼住宅销售明细表'!BK442+'画堂春锦苑8#楼明细表'!AS91</f>
        <v>10402922</v>
      </c>
    </row>
    <row r="346" s="149" customFormat="1" ht="14.25" spans="1:88">
      <c r="M346" s="402"/>
      <c r="N346" s="403"/>
      <c r="O346" s="404"/>
      <c r="P346" s="492"/>
      <c r="Q346" s="534"/>
      <c r="R346" s="403"/>
      <c r="S346" s="406"/>
      <c r="T346" s="406"/>
      <c r="U346" s="406"/>
      <c r="V346" s="403"/>
      <c r="X346" s="403"/>
      <c r="Z346" s="403"/>
      <c r="AB346" s="403"/>
      <c r="AH346" s="403"/>
      <c r="AK346" s="409"/>
      <c r="AQ346" s="535"/>
      <c r="AR346" s="403"/>
      <c r="AS346" s="403"/>
      <c r="AT346" s="403"/>
      <c r="AU346" s="403"/>
      <c r="AV346" s="403"/>
      <c r="AW346" s="403"/>
      <c r="AX346" s="403"/>
      <c r="AY346" s="202"/>
      <c r="AZ346" s="101"/>
      <c r="BA346" s="403"/>
      <c r="BB346" s="403"/>
      <c r="BC346" s="403"/>
      <c r="BD346" s="403"/>
      <c r="BE346" s="403"/>
      <c r="CJ346" s="104"/>
    </row>
    <row r="347" s="149" customFormat="1" ht="14.25" spans="1:88">
      <c r="M347" s="402"/>
      <c r="N347" s="403"/>
      <c r="O347" s="404"/>
      <c r="P347" s="492"/>
      <c r="Q347" s="534"/>
      <c r="R347" s="403"/>
      <c r="S347" s="406"/>
      <c r="T347" s="406"/>
      <c r="U347" s="406"/>
      <c r="V347" s="403"/>
      <c r="X347" s="403"/>
      <c r="Z347" s="403"/>
      <c r="AB347" s="403"/>
      <c r="AH347" s="403"/>
      <c r="AK347" s="409"/>
      <c r="AQ347" s="535"/>
      <c r="AR347" s="403"/>
      <c r="AS347" s="403"/>
      <c r="AT347" s="403"/>
      <c r="AU347" s="403"/>
      <c r="AV347" s="403"/>
      <c r="AW347" s="403"/>
      <c r="AX347" s="403"/>
      <c r="AY347" s="202"/>
      <c r="AZ347" s="101"/>
      <c r="BA347" s="403"/>
      <c r="BB347" s="403"/>
      <c r="BC347" s="403"/>
      <c r="BD347" s="403"/>
      <c r="BE347" s="403"/>
      <c r="CJ347" s="104"/>
    </row>
    <row r="348" s="149" customFormat="1" ht="14.25" spans="1:88">
      <c r="M348" s="402"/>
      <c r="N348" s="403"/>
      <c r="O348" s="404"/>
      <c r="P348" s="492"/>
      <c r="Q348" s="534"/>
      <c r="R348" s="403"/>
      <c r="S348" s="406"/>
      <c r="T348" s="406"/>
      <c r="U348" s="406"/>
      <c r="V348" s="403"/>
      <c r="X348" s="403"/>
      <c r="Z348" s="403"/>
      <c r="AB348" s="403"/>
      <c r="AH348" s="403"/>
      <c r="AK348" s="409"/>
      <c r="AQ348" s="535"/>
      <c r="AR348" s="403"/>
      <c r="AS348" s="403"/>
      <c r="AT348" s="403"/>
      <c r="AU348" s="403"/>
      <c r="AV348" s="403"/>
      <c r="AW348" s="403"/>
      <c r="AX348" s="403"/>
      <c r="AY348" s="202"/>
      <c r="AZ348" s="101"/>
      <c r="BA348" s="403"/>
      <c r="BB348" s="403"/>
      <c r="BC348" s="403"/>
      <c r="BD348" s="403"/>
      <c r="BE348" s="403"/>
      <c r="CJ348" s="104"/>
    </row>
    <row r="349" s="149" customFormat="1" ht="14.25" spans="1:88">
      <c r="M349" s="402"/>
      <c r="N349" s="403"/>
      <c r="O349" s="404"/>
      <c r="P349" s="492"/>
      <c r="Q349" s="534"/>
      <c r="R349" s="403"/>
      <c r="S349" s="406"/>
      <c r="T349" s="406"/>
      <c r="U349" s="406"/>
      <c r="V349" s="403"/>
      <c r="X349" s="403"/>
      <c r="Z349" s="403"/>
      <c r="AB349" s="403"/>
      <c r="AH349" s="403"/>
      <c r="AK349" s="409"/>
      <c r="AQ349" s="535"/>
      <c r="AR349" s="403"/>
      <c r="AS349" s="403"/>
      <c r="AT349" s="403"/>
      <c r="AU349" s="403"/>
      <c r="AV349" s="403"/>
      <c r="AW349" s="403"/>
      <c r="AX349" s="403"/>
      <c r="AY349" s="202"/>
      <c r="AZ349" s="101"/>
      <c r="BA349" s="403"/>
      <c r="BB349" s="403"/>
      <c r="BC349" s="403"/>
      <c r="BD349" s="403"/>
      <c r="BE349" s="403"/>
      <c r="BV349" s="149" t="s">
        <v>269</v>
      </c>
      <c r="BW349" s="149">
        <v>497.4</v>
      </c>
      <c r="CJ349" s="104"/>
    </row>
    <row r="350" s="149" customFormat="1" customHeight="1" spans="1:88">
      <c r="M350" s="402"/>
      <c r="N350" s="403"/>
      <c r="O350" s="404"/>
      <c r="P350" s="492"/>
      <c r="Q350" s="534"/>
      <c r="R350" s="403"/>
      <c r="S350" s="406"/>
      <c r="T350" s="406"/>
      <c r="U350" s="406"/>
      <c r="V350" s="403"/>
      <c r="X350" s="403"/>
      <c r="Z350" s="403"/>
      <c r="AB350" s="403"/>
      <c r="AH350" s="403"/>
      <c r="AK350" s="409"/>
      <c r="AQ350" s="535"/>
      <c r="AR350" s="403"/>
      <c r="AS350" s="403"/>
      <c r="AT350" s="403"/>
      <c r="AU350" s="403"/>
      <c r="AV350" s="403"/>
      <c r="AW350" s="403"/>
      <c r="AX350" s="403"/>
      <c r="AY350" s="202"/>
      <c r="AZ350" s="101"/>
      <c r="BA350" s="403"/>
      <c r="BB350" s="403"/>
      <c r="BC350" s="403"/>
      <c r="BD350" s="403"/>
      <c r="BE350" s="403"/>
      <c r="CJ350" s="104"/>
    </row>
    <row r="351" s="149" customFormat="1" customHeight="1" spans="1:88">
      <c r="M351" s="402"/>
      <c r="N351" s="403"/>
      <c r="O351" s="404"/>
      <c r="P351" s="492"/>
      <c r="Q351" s="534"/>
      <c r="R351" s="403"/>
      <c r="S351" s="406"/>
      <c r="T351" s="406"/>
      <c r="U351" s="406"/>
      <c r="V351" s="403"/>
      <c r="X351" s="403"/>
      <c r="Z351" s="403"/>
      <c r="AB351" s="403"/>
      <c r="AH351" s="403"/>
      <c r="AK351" s="409"/>
      <c r="AQ351" s="535"/>
      <c r="AR351" s="403"/>
      <c r="AS351" s="403"/>
      <c r="AT351" s="403"/>
      <c r="AU351" s="403"/>
      <c r="AV351" s="403"/>
      <c r="AW351" s="403"/>
      <c r="AX351" s="403"/>
      <c r="AY351" s="202"/>
      <c r="AZ351" s="101"/>
      <c r="BA351" s="403"/>
      <c r="BB351" s="403"/>
      <c r="BC351" s="403"/>
      <c r="BD351" s="403"/>
      <c r="BE351" s="403"/>
      <c r="CJ351" s="104"/>
    </row>
    <row r="352" s="357" customFormat="1" customHeight="1" spans="1:88">
      <c r="A352" s="149"/>
      <c r="B352" s="149"/>
      <c r="C352" s="149"/>
      <c r="D352" s="149"/>
      <c r="E352" s="149"/>
      <c r="F352" s="149"/>
      <c r="G352" s="149"/>
      <c r="H352" s="149"/>
      <c r="I352" s="149"/>
      <c r="J352" s="149"/>
      <c r="K352" s="149"/>
      <c r="L352" s="149"/>
      <c r="M352" s="402"/>
      <c r="N352" s="403"/>
      <c r="O352" s="404"/>
      <c r="P352" s="492"/>
      <c r="Q352" s="534"/>
      <c r="R352" s="403"/>
      <c r="S352" s="406"/>
      <c r="T352" s="536"/>
      <c r="U352" s="406"/>
      <c r="V352" s="403"/>
      <c r="W352" s="149"/>
      <c r="X352" s="403"/>
      <c r="Y352" s="149"/>
      <c r="Z352" s="403"/>
      <c r="AA352" s="149"/>
      <c r="AB352" s="403"/>
      <c r="AC352" s="149"/>
      <c r="AD352" s="149"/>
      <c r="AE352" s="149"/>
      <c r="AF352" s="149"/>
      <c r="AG352" s="149"/>
      <c r="AH352" s="403"/>
      <c r="AI352" s="149"/>
      <c r="AJ352" s="149"/>
      <c r="AK352" s="409"/>
      <c r="AL352" s="149"/>
      <c r="AM352" s="149"/>
      <c r="AN352" s="149"/>
      <c r="AO352" s="149"/>
      <c r="AP352" s="149"/>
      <c r="AQ352" s="461"/>
      <c r="AR352" s="403"/>
      <c r="AS352" s="403"/>
      <c r="AT352" s="403"/>
      <c r="AU352" s="403"/>
      <c r="AV352" s="403"/>
      <c r="AW352" s="403"/>
      <c r="AX352" s="403"/>
      <c r="AY352" s="202"/>
      <c r="AZ352" s="101"/>
      <c r="BA352" s="403"/>
      <c r="BB352" s="403"/>
      <c r="BC352" s="403"/>
      <c r="BD352" s="403"/>
      <c r="BE352" s="403"/>
      <c r="BF352" s="149"/>
      <c r="BG352" s="149"/>
      <c r="BH352" s="149"/>
      <c r="BI352" s="149"/>
      <c r="BJ352" s="149"/>
      <c r="BK352" s="149"/>
      <c r="BL352" s="149"/>
      <c r="BM352" s="149"/>
      <c r="BN352" s="149"/>
      <c r="BO352" s="149"/>
      <c r="BP352" s="149"/>
      <c r="BQ352" s="149"/>
      <c r="BR352" s="149"/>
      <c r="BS352" s="149"/>
      <c r="BT352" s="149"/>
      <c r="BU352" s="149"/>
      <c r="BV352" s="149"/>
      <c r="BW352" s="149"/>
      <c r="BX352" s="149"/>
      <c r="BY352" s="149"/>
      <c r="BZ352" s="149"/>
      <c r="CA352" s="149"/>
      <c r="CB352" s="149"/>
      <c r="CC352" s="149"/>
      <c r="CD352" s="149"/>
      <c r="CE352" s="149"/>
      <c r="CF352" s="149"/>
      <c r="CG352" s="149"/>
      <c r="CH352" s="149"/>
      <c r="CI352" s="149"/>
      <c r="CJ352" s="104"/>
    </row>
    <row r="353" s="357" customFormat="1" customHeight="1" spans="1:88">
      <c r="A353" s="149"/>
      <c r="B353" s="149"/>
      <c r="C353" s="149"/>
      <c r="D353" s="149"/>
      <c r="E353" s="149"/>
      <c r="F353" s="149"/>
      <c r="G353" s="149"/>
      <c r="H353" s="149"/>
      <c r="I353" s="149"/>
      <c r="J353" s="149"/>
      <c r="K353" s="149"/>
      <c r="L353" s="149"/>
      <c r="M353" s="402"/>
      <c r="N353" s="403"/>
      <c r="O353" s="404"/>
      <c r="P353" s="492"/>
      <c r="Q353" s="534"/>
      <c r="R353" s="403"/>
      <c r="S353" s="406"/>
      <c r="T353" s="536"/>
      <c r="U353" s="406"/>
      <c r="V353" s="403"/>
      <c r="W353" s="149"/>
      <c r="X353" s="403"/>
      <c r="Y353" s="149"/>
      <c r="Z353" s="403"/>
      <c r="AA353" s="149"/>
      <c r="AB353" s="403"/>
      <c r="AC353" s="149"/>
      <c r="AD353" s="149"/>
      <c r="AE353" s="149"/>
      <c r="AF353" s="149"/>
      <c r="AG353" s="149"/>
      <c r="AH353" s="403"/>
      <c r="AI353" s="149"/>
      <c r="AJ353" s="149"/>
      <c r="AK353" s="409"/>
      <c r="AL353" s="149"/>
      <c r="AM353" s="149"/>
      <c r="AN353" s="149"/>
      <c r="AO353" s="149"/>
      <c r="AP353" s="149"/>
      <c r="AQ353" s="461"/>
      <c r="AR353" s="403"/>
      <c r="AS353" s="403"/>
      <c r="AT353" s="403"/>
      <c r="AU353" s="403"/>
      <c r="AV353" s="403"/>
      <c r="AW353" s="403"/>
      <c r="AX353" s="403"/>
      <c r="AY353" s="202"/>
      <c r="AZ353" s="101"/>
      <c r="BA353" s="403"/>
      <c r="BB353" s="403"/>
      <c r="BC353" s="403"/>
      <c r="BD353" s="403"/>
      <c r="BE353" s="403"/>
      <c r="BF353" s="149"/>
      <c r="BG353" s="149"/>
      <c r="BH353" s="149"/>
      <c r="BI353" s="149"/>
      <c r="BJ353" s="149"/>
      <c r="BK353" s="149"/>
      <c r="BL353" s="149"/>
      <c r="BM353" s="149"/>
      <c r="BN353" s="149"/>
      <c r="BO353" s="149"/>
      <c r="BP353" s="149"/>
      <c r="BQ353" s="149"/>
      <c r="BR353" s="149"/>
      <c r="BS353" s="149"/>
      <c r="BT353" s="149"/>
      <c r="BU353" s="149"/>
      <c r="BV353" s="149"/>
      <c r="BW353" s="149"/>
      <c r="BX353" s="149"/>
      <c r="BY353" s="149"/>
      <c r="BZ353" s="149"/>
      <c r="CA353" s="149"/>
      <c r="CB353" s="149"/>
      <c r="CC353" s="149"/>
      <c r="CD353" s="149"/>
      <c r="CE353" s="149"/>
      <c r="CF353" s="149"/>
      <c r="CG353" s="149"/>
      <c r="CH353" s="149"/>
      <c r="CI353" s="149"/>
      <c r="CJ353" s="104"/>
    </row>
    <row r="354" s="357" customFormat="1" customHeight="1" spans="1:88">
      <c r="A354" s="149"/>
      <c r="B354" s="149"/>
      <c r="C354" s="149"/>
      <c r="D354" s="149"/>
      <c r="E354" s="149"/>
      <c r="F354" s="149"/>
      <c r="G354" s="149"/>
      <c r="H354" s="149"/>
      <c r="I354" s="149"/>
      <c r="J354" s="149"/>
      <c r="K354" s="149"/>
      <c r="L354" s="149"/>
      <c r="M354" s="402"/>
      <c r="N354" s="403"/>
      <c r="O354" s="404"/>
      <c r="P354" s="492"/>
      <c r="Q354" s="534"/>
      <c r="R354" s="403"/>
      <c r="S354" s="406"/>
      <c r="T354" s="536"/>
      <c r="U354" s="406"/>
      <c r="V354" s="403"/>
      <c r="W354" s="149"/>
      <c r="X354" s="403"/>
      <c r="Y354" s="149"/>
      <c r="Z354" s="403"/>
      <c r="AA354" s="149"/>
      <c r="AB354" s="403"/>
      <c r="AC354" s="149"/>
      <c r="AD354" s="149"/>
      <c r="AE354" s="149"/>
      <c r="AF354" s="149"/>
      <c r="AG354" s="149"/>
      <c r="AH354" s="403"/>
      <c r="AI354" s="149"/>
      <c r="AJ354" s="149"/>
      <c r="AK354" s="409"/>
      <c r="AL354" s="149"/>
      <c r="AM354" s="149"/>
      <c r="AN354" s="149"/>
      <c r="AO354" s="149"/>
      <c r="AP354" s="149"/>
      <c r="AQ354" s="461"/>
      <c r="AR354" s="403"/>
      <c r="AS354" s="403"/>
      <c r="AT354" s="403"/>
      <c r="AU354" s="403"/>
      <c r="AV354" s="403"/>
      <c r="AW354" s="403"/>
      <c r="AX354" s="403"/>
      <c r="AY354" s="202"/>
      <c r="AZ354" s="101"/>
      <c r="BA354" s="403"/>
      <c r="BB354" s="403"/>
      <c r="BC354" s="403"/>
      <c r="BD354" s="403"/>
      <c r="BE354" s="403"/>
      <c r="BF354" s="149"/>
      <c r="BG354" s="149"/>
      <c r="BH354" s="149"/>
      <c r="BI354" s="149"/>
      <c r="BJ354" s="149"/>
      <c r="BK354" s="149"/>
      <c r="BL354" s="149"/>
      <c r="BM354" s="149"/>
      <c r="BN354" s="149"/>
      <c r="BO354" s="149"/>
      <c r="BP354" s="149"/>
      <c r="BQ354" s="149"/>
      <c r="BR354" s="149"/>
      <c r="BS354" s="149"/>
      <c r="BT354" s="149"/>
      <c r="BU354" s="149"/>
      <c r="BV354" s="149"/>
      <c r="BW354" s="149"/>
      <c r="BX354" s="149"/>
      <c r="BY354" s="149"/>
      <c r="BZ354" s="149"/>
      <c r="CA354" s="149"/>
      <c r="CB354" s="149"/>
      <c r="CC354" s="149"/>
      <c r="CD354" s="149"/>
      <c r="CE354" s="149"/>
      <c r="CF354" s="149"/>
      <c r="CG354" s="149"/>
      <c r="CH354" s="149"/>
      <c r="CI354" s="149"/>
      <c r="CJ354" s="104"/>
    </row>
    <row r="355" s="357" customFormat="1" customHeight="1" spans="1:88">
      <c r="A355" s="149"/>
      <c r="B355" s="149"/>
      <c r="C355" s="149"/>
      <c r="D355" s="149"/>
      <c r="E355" s="149"/>
      <c r="F355" s="149"/>
      <c r="G355" s="149"/>
      <c r="H355" s="149"/>
      <c r="I355" s="149"/>
      <c r="J355" s="149"/>
      <c r="K355" s="149"/>
      <c r="L355" s="149"/>
      <c r="M355" s="402"/>
      <c r="N355" s="403"/>
      <c r="O355" s="404"/>
      <c r="P355" s="492"/>
      <c r="Q355" s="534"/>
      <c r="R355" s="403"/>
      <c r="S355" s="406"/>
      <c r="T355" s="536"/>
      <c r="U355" s="406"/>
      <c r="V355" s="403"/>
      <c r="W355" s="149"/>
      <c r="X355" s="403"/>
      <c r="Y355" s="149"/>
      <c r="Z355" s="403"/>
      <c r="AA355" s="149"/>
      <c r="AB355" s="403"/>
      <c r="AC355" s="149"/>
      <c r="AD355" s="149"/>
      <c r="AE355" s="149"/>
      <c r="AF355" s="149"/>
      <c r="AG355" s="149"/>
      <c r="AH355" s="403"/>
      <c r="AI355" s="149"/>
      <c r="AJ355" s="149"/>
      <c r="AK355" s="409"/>
      <c r="AL355" s="149"/>
      <c r="AM355" s="149"/>
      <c r="AN355" s="149"/>
      <c r="AO355" s="149"/>
      <c r="AP355" s="149"/>
      <c r="AQ355" s="461"/>
      <c r="AR355" s="403"/>
      <c r="AS355" s="403"/>
      <c r="AT355" s="403"/>
      <c r="AU355" s="403"/>
      <c r="AV355" s="403"/>
      <c r="AW355" s="403"/>
      <c r="AX355" s="403"/>
      <c r="AY355" s="202"/>
      <c r="AZ355" s="101"/>
      <c r="BA355" s="403"/>
      <c r="BB355" s="403"/>
      <c r="BC355" s="403"/>
      <c r="BD355" s="403"/>
      <c r="BE355" s="403"/>
      <c r="BF355" s="149"/>
      <c r="BG355" s="149"/>
      <c r="BH355" s="149"/>
      <c r="BI355" s="149"/>
      <c r="BJ355" s="149"/>
      <c r="BK355" s="149"/>
      <c r="BL355" s="149"/>
      <c r="BM355" s="149"/>
      <c r="BN355" s="149"/>
      <c r="BO355" s="149"/>
      <c r="BP355" s="149"/>
      <c r="BQ355" s="149"/>
      <c r="BR355" s="149"/>
      <c r="BS355" s="149"/>
      <c r="BT355" s="149"/>
      <c r="BU355" s="149"/>
      <c r="BV355" s="149"/>
      <c r="BW355" s="149"/>
      <c r="BX355" s="149"/>
      <c r="BY355" s="149"/>
      <c r="BZ355" s="149"/>
      <c r="CA355" s="149"/>
      <c r="CB355" s="149"/>
      <c r="CC355" s="149"/>
      <c r="CD355" s="149"/>
      <c r="CE355" s="149"/>
      <c r="CF355" s="149"/>
      <c r="CG355" s="149"/>
      <c r="CH355" s="149"/>
      <c r="CI355" s="149"/>
      <c r="CJ355" s="104"/>
    </row>
  </sheetData>
  <autoFilter xmlns:etc="http://www.wps.cn/officeDocument/2017/etCustomData" ref="A3:CK349" etc:filterBottomFollowUsedRange="0">
    <extLst/>
  </autoFilter>
  <mergeCells count="60">
    <mergeCell ref="A1:AN1"/>
    <mergeCell ref="O2:Q2"/>
    <mergeCell ref="V2:AG2"/>
    <mergeCell ref="E337:H337"/>
    <mergeCell ref="A2:A3"/>
    <mergeCell ref="B2:B3"/>
    <mergeCell ref="C2:C3"/>
    <mergeCell ref="D2:D3"/>
    <mergeCell ref="D337:D338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AH2:AH3"/>
    <mergeCell ref="AI2:AI3"/>
    <mergeCell ref="AJ2:AJ3"/>
    <mergeCell ref="AK2:AK3"/>
    <mergeCell ref="AL2:AL3"/>
    <mergeCell ref="AN2:AN3"/>
    <mergeCell ref="AQ2:AQ3"/>
    <mergeCell ref="AR2:AR3"/>
    <mergeCell ref="AR334:AR337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W3:BW4"/>
    <mergeCell ref="BX3:BX4"/>
    <mergeCell ref="BY3:BY4"/>
  </mergeCells>
  <pageMargins left="0.0784722222222222" right="0.0784722222222222" top="0.354166666666667" bottom="0.156944444444444" header="0.3" footer="0.3"/>
  <pageSetup paperSize="1" scale="70" orientation="landscape" horizontalDpi="200" verticalDpi="200"/>
  <headerFooter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CP460"/>
  <sheetViews>
    <sheetView zoomScale="85" zoomScaleNormal="85" topLeftCell="BX1" workbookViewId="0">
      <pane ySplit="3" topLeftCell="A436" activePane="bottomLeft" state="frozen"/>
      <selection/>
      <selection pane="bottomLeft" activeCell="CF390" sqref="CF390"/>
    </sheetView>
  </sheetViews>
  <sheetFormatPr defaultColWidth="9" defaultRowHeight="34" customHeight="1"/>
  <cols>
    <col min="1" max="1" width="5.45833333333333" style="199" customWidth="1"/>
    <col min="2" max="2" width="4.875" style="101" customWidth="1"/>
    <col min="3" max="3" width="15.4666666666667" style="101" customWidth="1"/>
    <col min="4" max="4" width="15.15" style="101" customWidth="1"/>
    <col min="5" max="5" width="19.9916666666667" style="101" customWidth="1"/>
    <col min="6" max="6" width="22.9583333333333" style="101" customWidth="1"/>
    <col min="7" max="7" width="42.9416666666667" style="101" customWidth="1"/>
    <col min="8" max="8" width="13.375" style="101" customWidth="1"/>
    <col min="9" max="9" width="12.625" style="101" customWidth="1"/>
    <col min="10" max="10" width="12.3416666666667" style="101" customWidth="1"/>
    <col min="11" max="11" width="11.4" style="101" customWidth="1"/>
    <col min="12" max="12" width="12.3416666666667" style="101" customWidth="1"/>
    <col min="13" max="13" width="20.9333333333333" style="235" customWidth="1"/>
    <col min="14" max="14" width="14.625" style="236" customWidth="1"/>
    <col min="15" max="15" width="21.5583333333333" style="158" customWidth="1"/>
    <col min="16" max="16" width="30.5" style="101" customWidth="1"/>
    <col min="17" max="17" width="14.375" style="205" customWidth="1"/>
    <col min="18" max="18" width="17.25" style="202" customWidth="1"/>
    <col min="19" max="19" width="16" style="204" customWidth="1"/>
    <col min="20" max="20" width="18.7666666666667" style="199" customWidth="1"/>
    <col min="21" max="21" width="16.5583333333333" style="204" customWidth="1"/>
    <col min="22" max="22" width="17.8083333333333" style="202" customWidth="1"/>
    <col min="23" max="23" width="16.25" style="101" customWidth="1"/>
    <col min="24" max="24" width="17.625" style="202" customWidth="1"/>
    <col min="25" max="25" width="16.7166666666667" style="101" customWidth="1"/>
    <col min="26" max="26" width="17.625" style="101" customWidth="1"/>
    <col min="27" max="27" width="15.0166666666667" style="101" customWidth="1"/>
    <col min="28" max="28" width="18.2833333333333" style="202" customWidth="1"/>
    <col min="29" max="29" width="14.25" style="101" customWidth="1"/>
    <col min="30" max="30" width="18.625" style="101" customWidth="1"/>
    <col min="31" max="31" width="14.25" style="101" customWidth="1"/>
    <col min="32" max="32" width="18.625" style="101" customWidth="1"/>
    <col min="33" max="33" width="13.1166666666667" style="101" customWidth="1"/>
    <col min="34" max="34" width="18.5333333333333" style="202" customWidth="1"/>
    <col min="35" max="36" width="6.75" style="101" customWidth="1"/>
    <col min="37" max="37" width="20" style="201" customWidth="1"/>
    <col min="38" max="38" width="15.3083333333333" style="101" customWidth="1"/>
    <col min="39" max="39" width="28.25" style="200" customWidth="1"/>
    <col min="40" max="40" width="17.9416666666667" style="101" customWidth="1"/>
    <col min="41" max="41" width="19.125" style="101" customWidth="1"/>
    <col min="42" max="42" width="16.025" style="159" customWidth="1"/>
    <col min="43" max="43" width="12.6916666666667" style="202" customWidth="1"/>
    <col min="44" max="44" width="14.375" style="202" customWidth="1"/>
    <col min="45" max="45" width="11.6666666666667" style="202" customWidth="1"/>
    <col min="46" max="46" width="16.6666666666667" style="202" customWidth="1"/>
    <col min="47" max="47" width="15.3" style="202" customWidth="1"/>
    <col min="48" max="51" width="17" style="202" customWidth="1"/>
    <col min="52" max="52" width="18.75" style="202" customWidth="1"/>
    <col min="53" max="53" width="15.7833333333333" style="101" customWidth="1"/>
    <col min="54" max="54" width="19.625" style="202" customWidth="1"/>
    <col min="55" max="55" width="17.25" style="101" customWidth="1"/>
    <col min="56" max="84" width="18.5916666666667" style="101" customWidth="1"/>
    <col min="85" max="85" width="13.5916666666667" style="101" customWidth="1"/>
    <col min="86" max="86" width="9.53333333333333" style="101" customWidth="1"/>
    <col min="87" max="88" width="9" style="101" customWidth="1"/>
    <col min="89" max="89" width="13.5916666666667" style="101" customWidth="1"/>
    <col min="90" max="90" width="11.5" style="101" customWidth="1"/>
    <col min="91" max="91" width="12.9666666666667" style="101" customWidth="1"/>
    <col min="92" max="92" width="14" style="101" customWidth="1"/>
    <col min="93" max="93" width="11" style="101" customWidth="1"/>
    <col min="94" max="94" width="9.375" style="101"/>
    <col min="95" max="16384" width="9" style="101"/>
  </cols>
  <sheetData>
    <row r="1" s="102" customFormat="1" customHeight="1" spans="1:92">
      <c r="A1" s="111" t="s">
        <v>3302</v>
      </c>
      <c r="J1" s="118"/>
      <c r="M1" s="237"/>
      <c r="N1" s="238"/>
      <c r="O1" s="112"/>
      <c r="Q1" s="163"/>
      <c r="R1" s="121"/>
      <c r="S1" s="120"/>
      <c r="T1" s="111"/>
      <c r="U1" s="120"/>
      <c r="V1" s="121"/>
      <c r="X1" s="121"/>
      <c r="Y1" s="163"/>
      <c r="AB1" s="121"/>
      <c r="AH1" s="121"/>
      <c r="AK1" s="118"/>
      <c r="AM1" s="115"/>
      <c r="AP1" s="239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B1" s="12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/>
    </row>
    <row r="2" s="102" customFormat="1" ht="27" customHeight="1" spans="1:92">
      <c r="A2" s="111" t="s">
        <v>40</v>
      </c>
      <c r="B2" s="102" t="s">
        <v>287</v>
      </c>
      <c r="C2" s="115" t="s">
        <v>288</v>
      </c>
      <c r="D2" s="102" t="s">
        <v>289</v>
      </c>
      <c r="F2" s="102" t="s">
        <v>291</v>
      </c>
      <c r="G2" s="102" t="s">
        <v>292</v>
      </c>
      <c r="H2" s="102" t="s">
        <v>290</v>
      </c>
      <c r="I2" s="102" t="s">
        <v>294</v>
      </c>
      <c r="J2" s="195" t="s">
        <v>1264</v>
      </c>
      <c r="K2" s="102" t="s">
        <v>296</v>
      </c>
      <c r="L2" s="102" t="s">
        <v>297</v>
      </c>
      <c r="M2" s="237" t="s">
        <v>298</v>
      </c>
      <c r="N2" s="240" t="s">
        <v>299</v>
      </c>
      <c r="O2" s="112" t="s">
        <v>301</v>
      </c>
      <c r="P2" s="119"/>
      <c r="Q2" s="163"/>
      <c r="R2" s="160" t="s">
        <v>302</v>
      </c>
      <c r="S2" s="120" t="s">
        <v>303</v>
      </c>
      <c r="T2" s="111" t="s">
        <v>304</v>
      </c>
      <c r="U2" s="120" t="s">
        <v>305</v>
      </c>
      <c r="V2" s="121" t="s">
        <v>306</v>
      </c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 t="s">
        <v>307</v>
      </c>
      <c r="AI2" s="115" t="s">
        <v>58</v>
      </c>
      <c r="AJ2" s="115" t="s">
        <v>309</v>
      </c>
      <c r="AK2" s="118" t="s">
        <v>61</v>
      </c>
      <c r="AL2" s="102" t="s">
        <v>310</v>
      </c>
      <c r="AM2" s="115" t="s">
        <v>49</v>
      </c>
      <c r="AN2" s="102" t="s">
        <v>1266</v>
      </c>
      <c r="AO2" s="123" t="s">
        <v>320</v>
      </c>
      <c r="AP2" s="162" t="s">
        <v>321</v>
      </c>
      <c r="AQ2" s="160" t="s">
        <v>311</v>
      </c>
      <c r="AR2" s="241" t="s">
        <v>3303</v>
      </c>
      <c r="AS2" s="241" t="s">
        <v>3304</v>
      </c>
      <c r="AT2" s="241" t="s">
        <v>3305</v>
      </c>
      <c r="AU2" s="241" t="s">
        <v>3306</v>
      </c>
      <c r="AV2" s="241" t="s">
        <v>3307</v>
      </c>
      <c r="AW2" s="241" t="s">
        <v>3308</v>
      </c>
      <c r="AX2" s="241" t="s">
        <v>3309</v>
      </c>
      <c r="AY2" s="241" t="s">
        <v>3310</v>
      </c>
      <c r="AZ2" s="242" t="s">
        <v>3311</v>
      </c>
      <c r="BA2" s="242" t="s">
        <v>3312</v>
      </c>
      <c r="BB2" s="242" t="s">
        <v>3313</v>
      </c>
      <c r="BC2" s="242" t="s">
        <v>3314</v>
      </c>
      <c r="BD2" s="242" t="s">
        <v>3315</v>
      </c>
      <c r="BE2" s="243" t="s">
        <v>3316</v>
      </c>
      <c r="BF2" s="243" t="s">
        <v>3317</v>
      </c>
      <c r="BG2" s="243" t="s">
        <v>3318</v>
      </c>
      <c r="BH2" s="243" t="s">
        <v>3319</v>
      </c>
      <c r="BI2" s="243" t="s">
        <v>3320</v>
      </c>
      <c r="BJ2" s="243" t="s">
        <v>3321</v>
      </c>
      <c r="BK2" s="243" t="s">
        <v>3322</v>
      </c>
      <c r="BL2" s="243" t="s">
        <v>3323</v>
      </c>
      <c r="BM2" s="244" t="s">
        <v>3312</v>
      </c>
      <c r="BN2" s="244" t="s">
        <v>3313</v>
      </c>
      <c r="BO2" s="244" t="s">
        <v>3314</v>
      </c>
      <c r="BP2" s="244" t="s">
        <v>3315</v>
      </c>
      <c r="BQ2" s="244" t="s">
        <v>3324</v>
      </c>
      <c r="BR2" s="244" t="s">
        <v>3325</v>
      </c>
      <c r="BS2" s="244" t="s">
        <v>3326</v>
      </c>
      <c r="BT2" s="244" t="s">
        <v>3327</v>
      </c>
      <c r="BU2" s="244" t="s">
        <v>3328</v>
      </c>
      <c r="BV2" s="244" t="s">
        <v>3329</v>
      </c>
      <c r="BW2" s="244" t="s">
        <v>3330</v>
      </c>
      <c r="BX2" s="244" t="s">
        <v>3331</v>
      </c>
      <c r="BY2" s="244" t="s">
        <v>3332</v>
      </c>
      <c r="BZ2" s="244" t="s">
        <v>3333</v>
      </c>
      <c r="CA2" s="244" t="s">
        <v>3334</v>
      </c>
      <c r="CB2" s="244" t="s">
        <v>3335</v>
      </c>
      <c r="CC2" s="244" t="s">
        <v>3336</v>
      </c>
      <c r="CD2" s="244" t="s">
        <v>3337</v>
      </c>
      <c r="CE2" s="244" t="s">
        <v>3338</v>
      </c>
      <c r="CF2" s="242"/>
      <c r="CG2" s="198" t="s">
        <v>351</v>
      </c>
      <c r="CI2" s="245" t="s">
        <v>106</v>
      </c>
      <c r="CJ2" s="245" t="s">
        <v>352</v>
      </c>
      <c r="CK2" s="245"/>
      <c r="CL2" s="245"/>
      <c r="CM2" s="245"/>
      <c r="CN2" s="245"/>
    </row>
    <row r="3" s="234" customFormat="1" ht="21" customHeight="1" spans="1:92">
      <c r="A3" s="246"/>
      <c r="C3" s="247"/>
      <c r="E3" s="234" t="s">
        <v>1295</v>
      </c>
      <c r="J3" s="248"/>
      <c r="M3" s="249"/>
      <c r="N3" s="250"/>
      <c r="O3" s="251" t="s">
        <v>354</v>
      </c>
      <c r="P3" s="252" t="s">
        <v>1296</v>
      </c>
      <c r="Q3" s="253" t="s">
        <v>1297</v>
      </c>
      <c r="R3" s="254"/>
      <c r="S3" s="255"/>
      <c r="T3" s="246"/>
      <c r="U3" s="255"/>
      <c r="V3" s="254" t="s">
        <v>356</v>
      </c>
      <c r="W3" s="234" t="s">
        <v>357</v>
      </c>
      <c r="X3" s="254" t="s">
        <v>358</v>
      </c>
      <c r="Y3" s="253" t="s">
        <v>357</v>
      </c>
      <c r="Z3" s="234" t="s">
        <v>359</v>
      </c>
      <c r="AA3" s="248" t="s">
        <v>357</v>
      </c>
      <c r="AB3" s="254" t="s">
        <v>360</v>
      </c>
      <c r="AC3" s="234" t="s">
        <v>357</v>
      </c>
      <c r="AD3" s="234" t="s">
        <v>361</v>
      </c>
      <c r="AE3" s="234" t="s">
        <v>357</v>
      </c>
      <c r="AF3" s="234" t="s">
        <v>362</v>
      </c>
      <c r="AG3" s="234" t="s">
        <v>357</v>
      </c>
      <c r="AH3" s="254"/>
      <c r="AJ3" s="247"/>
      <c r="AK3" s="248"/>
      <c r="AM3" s="247"/>
      <c r="AO3" s="256"/>
      <c r="AP3" s="257"/>
      <c r="AQ3" s="258"/>
      <c r="AR3" s="259"/>
      <c r="AS3" s="259"/>
      <c r="AT3" s="259"/>
      <c r="AU3" s="259"/>
      <c r="AV3" s="259"/>
      <c r="AW3" s="259"/>
      <c r="AX3" s="259"/>
      <c r="AY3" s="259"/>
      <c r="AZ3" s="260"/>
      <c r="BA3" s="260"/>
      <c r="BB3" s="260"/>
      <c r="BC3" s="260"/>
      <c r="BD3" s="260"/>
      <c r="BE3" s="261"/>
      <c r="BF3" s="261"/>
      <c r="BG3" s="261"/>
      <c r="BH3" s="261"/>
      <c r="BI3" s="261"/>
      <c r="BJ3" s="261"/>
      <c r="BK3" s="261"/>
      <c r="BL3" s="261"/>
      <c r="BM3" s="262"/>
      <c r="BN3" s="262"/>
      <c r="BO3" s="262"/>
      <c r="BP3" s="262"/>
      <c r="BQ3" s="244"/>
      <c r="BR3" s="244"/>
      <c r="BS3" s="244"/>
      <c r="BT3" s="244"/>
      <c r="BU3" s="244"/>
      <c r="BV3" s="244"/>
      <c r="BW3" s="244"/>
      <c r="BX3" s="244" t="s">
        <v>3331</v>
      </c>
      <c r="BY3" s="244" t="s">
        <v>3331</v>
      </c>
      <c r="BZ3" s="244" t="s">
        <v>3331</v>
      </c>
      <c r="CA3" s="244" t="s">
        <v>3331</v>
      </c>
      <c r="CB3" s="244" t="s">
        <v>3331</v>
      </c>
      <c r="CC3" s="244" t="s">
        <v>3331</v>
      </c>
      <c r="CD3" s="244" t="s">
        <v>3331</v>
      </c>
      <c r="CE3" s="244" t="s">
        <v>3331</v>
      </c>
      <c r="CF3" s="260"/>
      <c r="CG3" s="263"/>
      <c r="CI3" s="264"/>
      <c r="CJ3" s="264"/>
      <c r="CK3" s="265"/>
      <c r="CL3" s="265"/>
      <c r="CM3" s="265"/>
      <c r="CN3" s="265"/>
    </row>
    <row r="4" s="101" customFormat="1" customHeight="1" spans="1:92">
      <c r="A4" s="199"/>
      <c r="C4" s="200"/>
      <c r="I4" s="266" t="s">
        <v>3339</v>
      </c>
      <c r="J4" s="267">
        <v>65.29</v>
      </c>
      <c r="M4" s="235"/>
      <c r="N4" s="202"/>
      <c r="O4" s="158"/>
      <c r="P4" s="203"/>
      <c r="Q4" s="205"/>
      <c r="R4" s="202"/>
      <c r="S4" s="204"/>
      <c r="T4" s="199"/>
      <c r="U4" s="204"/>
      <c r="V4" s="202"/>
      <c r="X4" s="202"/>
      <c r="Y4" s="205"/>
      <c r="AA4" s="201"/>
      <c r="AB4" s="202"/>
      <c r="AH4" s="202">
        <f>V4+X4+Z4+AB4+AD4+AF4</f>
        <v>0</v>
      </c>
      <c r="AK4" s="201"/>
      <c r="AM4" s="200"/>
      <c r="AO4" s="101">
        <f>SUM(AZ4:CF4)</f>
        <v>0</v>
      </c>
      <c r="AP4" s="207">
        <v>0.02</v>
      </c>
      <c r="AQ4" s="268">
        <f>AR4+AS4+AT4+AU4+AV4+AW4+AX4+AY4</f>
        <v>0</v>
      </c>
      <c r="AR4" s="202"/>
      <c r="AS4" s="202"/>
      <c r="AT4" s="202"/>
      <c r="AU4" s="202"/>
      <c r="AV4" s="202"/>
      <c r="AW4" s="202"/>
      <c r="AX4" s="202"/>
      <c r="AY4" s="202"/>
      <c r="AZ4" s="202"/>
      <c r="BB4" s="202"/>
    </row>
    <row r="5" s="101" customFormat="1" customHeight="1" spans="1:92">
      <c r="B5" s="200"/>
      <c r="G5" s="101" t="s">
        <v>3340</v>
      </c>
      <c r="I5" s="269" t="s">
        <v>3341</v>
      </c>
      <c r="J5" s="270">
        <v>17.32</v>
      </c>
      <c r="M5" s="235">
        <v>33254</v>
      </c>
      <c r="N5" s="202">
        <v>33254</v>
      </c>
      <c r="O5" s="158"/>
      <c r="P5" s="203"/>
      <c r="Q5" s="205"/>
      <c r="R5" s="202"/>
      <c r="S5" s="204"/>
      <c r="T5" s="199"/>
      <c r="U5" s="204"/>
      <c r="V5" s="202">
        <v>20000</v>
      </c>
      <c r="W5" s="204" t="s">
        <v>3342</v>
      </c>
      <c r="X5" s="202">
        <v>13254</v>
      </c>
      <c r="Y5" s="204">
        <v>45896</v>
      </c>
      <c r="AA5" s="201"/>
      <c r="AB5" s="202"/>
      <c r="AH5" s="202">
        <f t="shared" ref="AH5:AH68" si="0">V5+X5+Z5+AB5+AD5+AF5</f>
        <v>33254</v>
      </c>
      <c r="AK5" s="201">
        <f>M5-AH5</f>
        <v>0</v>
      </c>
      <c r="AM5" s="200"/>
      <c r="AO5" s="101">
        <f t="shared" ref="AO5:AO68" si="1">SUM(AZ5:CF5)</f>
        <v>33254</v>
      </c>
      <c r="AP5" s="207">
        <v>0.02</v>
      </c>
      <c r="AQ5" s="268">
        <f t="shared" ref="AQ5:AQ68" si="2">AR5+AS5+AT5+AU5+AV5+AW5+AX5+AY5</f>
        <v>0</v>
      </c>
      <c r="AR5" s="202"/>
      <c r="AS5" s="202"/>
      <c r="AT5" s="202"/>
      <c r="AU5" s="202"/>
      <c r="AV5" s="202"/>
      <c r="AW5" s="202"/>
      <c r="AX5" s="202"/>
      <c r="AY5" s="202"/>
      <c r="AZ5" s="202"/>
      <c r="BB5" s="202"/>
      <c r="BX5" s="101">
        <v>33254</v>
      </c>
    </row>
    <row r="6" s="101" customFormat="1" customHeight="1" spans="1:92">
      <c r="C6" s="200"/>
      <c r="I6" s="266" t="s">
        <v>3343</v>
      </c>
      <c r="J6" s="270">
        <v>16.15</v>
      </c>
      <c r="M6" s="235"/>
      <c r="N6" s="202">
        <v>31004</v>
      </c>
      <c r="O6" s="158"/>
      <c r="P6" s="203"/>
      <c r="Q6" s="205"/>
      <c r="R6" s="202"/>
      <c r="S6" s="204"/>
      <c r="T6" s="199"/>
      <c r="U6" s="204"/>
      <c r="V6" s="202"/>
      <c r="X6" s="202"/>
      <c r="Y6" s="205"/>
      <c r="AA6" s="201"/>
      <c r="AB6" s="202"/>
      <c r="AH6" s="202">
        <f t="shared" si="0"/>
        <v>0</v>
      </c>
      <c r="AK6" s="201"/>
      <c r="AM6" s="200"/>
      <c r="AO6" s="101">
        <f t="shared" si="1"/>
        <v>0</v>
      </c>
      <c r="AP6" s="207">
        <v>0.02</v>
      </c>
      <c r="AQ6" s="268">
        <f t="shared" si="2"/>
        <v>0</v>
      </c>
      <c r="AR6" s="202"/>
      <c r="AS6" s="202"/>
      <c r="AT6" s="202"/>
      <c r="AU6" s="202"/>
      <c r="AV6" s="202"/>
      <c r="AW6" s="202"/>
      <c r="AX6" s="202"/>
      <c r="AY6" s="202"/>
      <c r="AZ6" s="202"/>
      <c r="BB6" s="202"/>
    </row>
    <row r="7" s="101" customFormat="1" customHeight="1" spans="1:92">
      <c r="C7" s="200"/>
      <c r="I7" s="271" t="s">
        <v>3344</v>
      </c>
      <c r="J7" s="270">
        <v>74.83</v>
      </c>
      <c r="M7" s="235"/>
      <c r="N7" s="202" t="s">
        <v>3345</v>
      </c>
      <c r="O7" s="158"/>
      <c r="P7" s="203"/>
      <c r="Q7" s="205"/>
      <c r="R7" s="202"/>
      <c r="S7" s="204"/>
      <c r="T7" s="199"/>
      <c r="U7" s="204"/>
      <c r="V7" s="202"/>
      <c r="X7" s="202"/>
      <c r="Y7" s="205"/>
      <c r="AA7" s="201"/>
      <c r="AB7" s="202"/>
      <c r="AH7" s="202">
        <f t="shared" si="0"/>
        <v>0</v>
      </c>
      <c r="AK7" s="201"/>
      <c r="AM7" s="200"/>
      <c r="AO7" s="101">
        <f t="shared" si="1"/>
        <v>0</v>
      </c>
      <c r="AP7" s="207">
        <v>0.02</v>
      </c>
      <c r="AQ7" s="268">
        <f t="shared" si="2"/>
        <v>0</v>
      </c>
      <c r="AR7" s="202"/>
      <c r="AS7" s="202"/>
      <c r="AT7" s="202"/>
      <c r="AU7" s="202"/>
      <c r="AV7" s="202"/>
      <c r="AW7" s="202"/>
      <c r="AX7" s="202"/>
      <c r="AY7" s="202"/>
      <c r="AZ7" s="202"/>
      <c r="BB7" s="202"/>
    </row>
    <row r="8" s="101" customFormat="1" customHeight="1" spans="1:92">
      <c r="C8" s="200"/>
      <c r="I8" s="266" t="s">
        <v>3346</v>
      </c>
      <c r="J8" s="270">
        <v>75.3</v>
      </c>
      <c r="M8" s="235"/>
      <c r="N8" s="202" t="s">
        <v>3345</v>
      </c>
      <c r="O8" s="158"/>
      <c r="P8" s="203"/>
      <c r="Q8" s="205"/>
      <c r="R8" s="202"/>
      <c r="S8" s="204"/>
      <c r="T8" s="199"/>
      <c r="U8" s="204"/>
      <c r="V8" s="202"/>
      <c r="X8" s="202"/>
      <c r="Y8" s="205"/>
      <c r="AA8" s="201"/>
      <c r="AB8" s="202"/>
      <c r="AH8" s="202">
        <f t="shared" si="0"/>
        <v>0</v>
      </c>
      <c r="AK8" s="201"/>
      <c r="AM8" s="200"/>
      <c r="AO8" s="101">
        <f t="shared" si="1"/>
        <v>0</v>
      </c>
      <c r="AP8" s="207">
        <v>0.02</v>
      </c>
      <c r="AQ8" s="268">
        <f t="shared" si="2"/>
        <v>0</v>
      </c>
      <c r="AR8" s="202"/>
      <c r="AS8" s="202"/>
      <c r="AT8" s="202"/>
      <c r="AU8" s="202"/>
      <c r="AV8" s="202"/>
      <c r="AW8" s="202"/>
      <c r="AX8" s="202"/>
      <c r="AY8" s="202"/>
      <c r="AZ8" s="202"/>
      <c r="BB8" s="202"/>
    </row>
    <row r="9" s="101" customFormat="1" customHeight="1" spans="1:92">
      <c r="C9" s="200"/>
      <c r="I9" s="269" t="s">
        <v>3347</v>
      </c>
      <c r="J9" s="270">
        <v>33.95</v>
      </c>
      <c r="M9" s="235"/>
      <c r="N9" s="202">
        <v>65174</v>
      </c>
      <c r="O9" s="158"/>
      <c r="P9" s="203"/>
      <c r="Q9" s="205"/>
      <c r="R9" s="202"/>
      <c r="S9" s="204"/>
      <c r="T9" s="199"/>
      <c r="U9" s="204"/>
      <c r="V9" s="202"/>
      <c r="X9" s="202"/>
      <c r="Y9" s="205"/>
      <c r="AA9" s="201"/>
      <c r="AB9" s="202"/>
      <c r="AH9" s="202">
        <f t="shared" si="0"/>
        <v>0</v>
      </c>
      <c r="AK9" s="201"/>
      <c r="AM9" s="200"/>
      <c r="AO9" s="101">
        <f t="shared" si="1"/>
        <v>0</v>
      </c>
      <c r="AP9" s="207">
        <v>0.02</v>
      </c>
      <c r="AQ9" s="268">
        <f t="shared" si="2"/>
        <v>0</v>
      </c>
      <c r="AR9" s="202"/>
      <c r="AS9" s="202"/>
      <c r="AT9" s="202"/>
      <c r="AU9" s="202"/>
      <c r="AV9" s="202"/>
      <c r="AW9" s="202"/>
      <c r="AX9" s="202"/>
      <c r="AY9" s="202"/>
      <c r="AZ9" s="202"/>
      <c r="BB9" s="202"/>
    </row>
    <row r="10" s="101" customFormat="1" customHeight="1" spans="1:92">
      <c r="C10" s="200"/>
      <c r="G10" s="101" t="s">
        <v>3348</v>
      </c>
      <c r="I10" s="266" t="s">
        <v>3349</v>
      </c>
      <c r="J10" s="270">
        <v>17.32</v>
      </c>
      <c r="M10" s="235">
        <v>33254</v>
      </c>
      <c r="N10" s="202">
        <v>33254</v>
      </c>
      <c r="O10" s="158"/>
      <c r="P10" s="203"/>
      <c r="Q10" s="205"/>
      <c r="R10" s="202"/>
      <c r="S10" s="204"/>
      <c r="T10" s="199"/>
      <c r="U10" s="204"/>
      <c r="V10" s="202">
        <v>33254</v>
      </c>
      <c r="W10" s="204" t="s">
        <v>3350</v>
      </c>
      <c r="X10" s="202"/>
      <c r="Y10" s="205"/>
      <c r="AA10" s="201"/>
      <c r="AB10" s="202"/>
      <c r="AH10" s="202">
        <f t="shared" si="0"/>
        <v>33254</v>
      </c>
      <c r="AK10" s="201">
        <f>M10-AH10</f>
        <v>0</v>
      </c>
      <c r="AM10" s="200"/>
      <c r="AO10" s="101">
        <f t="shared" si="1"/>
        <v>33254</v>
      </c>
      <c r="AP10" s="207">
        <v>0.02</v>
      </c>
      <c r="AQ10" s="268">
        <f t="shared" si="2"/>
        <v>0</v>
      </c>
      <c r="AR10" s="202"/>
      <c r="AS10" s="202"/>
      <c r="AT10" s="202"/>
      <c r="AU10" s="202"/>
      <c r="AV10" s="202"/>
      <c r="AW10" s="202"/>
      <c r="AX10" s="202"/>
      <c r="AY10" s="202"/>
      <c r="AZ10" s="202"/>
      <c r="BB10" s="202"/>
      <c r="BV10" s="101">
        <v>33254</v>
      </c>
    </row>
    <row r="11" s="101" customFormat="1" customHeight="1" spans="1:92">
      <c r="C11" s="200"/>
      <c r="I11" s="266" t="s">
        <v>3351</v>
      </c>
      <c r="J11" s="270">
        <v>17.32</v>
      </c>
      <c r="M11" s="235"/>
      <c r="N11" s="202">
        <v>33254</v>
      </c>
      <c r="O11" s="158"/>
      <c r="P11" s="203"/>
      <c r="Q11" s="205"/>
      <c r="R11" s="202"/>
      <c r="S11" s="204"/>
      <c r="T11" s="199"/>
      <c r="U11" s="204"/>
      <c r="V11" s="202"/>
      <c r="X11" s="202"/>
      <c r="Y11" s="205"/>
      <c r="AA11" s="201"/>
      <c r="AB11" s="202"/>
      <c r="AH11" s="202">
        <f t="shared" si="0"/>
        <v>0</v>
      </c>
      <c r="AK11" s="201"/>
      <c r="AM11" s="200"/>
      <c r="AO11" s="101">
        <f t="shared" si="1"/>
        <v>0</v>
      </c>
      <c r="AP11" s="207">
        <v>0.02</v>
      </c>
      <c r="AQ11" s="268">
        <f t="shared" si="2"/>
        <v>0</v>
      </c>
      <c r="AR11" s="202"/>
      <c r="AS11" s="202"/>
      <c r="AT11" s="202"/>
      <c r="AU11" s="202"/>
      <c r="AV11" s="202"/>
      <c r="AW11" s="202"/>
      <c r="AX11" s="202"/>
      <c r="AY11" s="202"/>
      <c r="AZ11" s="202"/>
      <c r="BB11" s="202"/>
    </row>
    <row r="12" s="101" customFormat="1" customHeight="1" spans="1:92">
      <c r="C12" s="200"/>
      <c r="I12" s="269" t="s">
        <v>3352</v>
      </c>
      <c r="J12" s="270">
        <v>33.95</v>
      </c>
      <c r="M12" s="235"/>
      <c r="N12" s="202">
        <v>65174</v>
      </c>
      <c r="O12" s="158"/>
      <c r="P12" s="203"/>
      <c r="Q12" s="205"/>
      <c r="R12" s="202"/>
      <c r="S12" s="204"/>
      <c r="T12" s="199"/>
      <c r="U12" s="204"/>
      <c r="V12" s="202"/>
      <c r="X12" s="202"/>
      <c r="Y12" s="205"/>
      <c r="AA12" s="201"/>
      <c r="AB12" s="202"/>
      <c r="AH12" s="202">
        <f t="shared" si="0"/>
        <v>0</v>
      </c>
      <c r="AK12" s="201"/>
      <c r="AM12" s="200"/>
      <c r="AO12" s="101">
        <f t="shared" si="1"/>
        <v>0</v>
      </c>
      <c r="AP12" s="207">
        <v>0.02</v>
      </c>
      <c r="AQ12" s="268">
        <f t="shared" si="2"/>
        <v>0</v>
      </c>
      <c r="AR12" s="202"/>
      <c r="AS12" s="202"/>
      <c r="AT12" s="202"/>
      <c r="AU12" s="202"/>
      <c r="AV12" s="202"/>
      <c r="AW12" s="202"/>
      <c r="AX12" s="202"/>
      <c r="AY12" s="202"/>
      <c r="AZ12" s="202"/>
      <c r="BB12" s="202"/>
    </row>
    <row r="13" s="101" customFormat="1" customHeight="1" spans="1:92">
      <c r="C13" s="200"/>
      <c r="I13" s="266" t="s">
        <v>3353</v>
      </c>
      <c r="J13" s="270">
        <v>75.3</v>
      </c>
      <c r="M13" s="235"/>
      <c r="N13" s="202" t="s">
        <v>3345</v>
      </c>
      <c r="O13" s="158"/>
      <c r="P13" s="203"/>
      <c r="Q13" s="205"/>
      <c r="R13" s="202"/>
      <c r="S13" s="204"/>
      <c r="T13" s="199"/>
      <c r="U13" s="204"/>
      <c r="V13" s="202"/>
      <c r="X13" s="202"/>
      <c r="Y13" s="205"/>
      <c r="AA13" s="201"/>
      <c r="AB13" s="202"/>
      <c r="AH13" s="202">
        <f t="shared" si="0"/>
        <v>0</v>
      </c>
      <c r="AK13" s="201"/>
      <c r="AM13" s="200"/>
      <c r="AO13" s="101">
        <f t="shared" si="1"/>
        <v>0</v>
      </c>
      <c r="AP13" s="207">
        <v>0.02</v>
      </c>
      <c r="AQ13" s="268">
        <f t="shared" si="2"/>
        <v>0</v>
      </c>
      <c r="AR13" s="202"/>
      <c r="AS13" s="202"/>
      <c r="AT13" s="202"/>
      <c r="AU13" s="202"/>
      <c r="AV13" s="202"/>
      <c r="AW13" s="202"/>
      <c r="AX13" s="202"/>
      <c r="AY13" s="202"/>
      <c r="AZ13" s="202"/>
      <c r="BB13" s="202"/>
    </row>
    <row r="14" s="101" customFormat="1" customHeight="1" spans="1:92">
      <c r="C14" s="200"/>
      <c r="I14" s="269" t="s">
        <v>3354</v>
      </c>
      <c r="J14" s="270">
        <v>74.83</v>
      </c>
      <c r="M14" s="235"/>
      <c r="N14" s="202" t="s">
        <v>3345</v>
      </c>
      <c r="O14" s="158"/>
      <c r="P14" s="203"/>
      <c r="Q14" s="205"/>
      <c r="R14" s="202"/>
      <c r="S14" s="204"/>
      <c r="T14" s="199"/>
      <c r="U14" s="204"/>
      <c r="V14" s="202"/>
      <c r="X14" s="202"/>
      <c r="Y14" s="205"/>
      <c r="AA14" s="201"/>
      <c r="AB14" s="202"/>
      <c r="AH14" s="202">
        <f t="shared" si="0"/>
        <v>0</v>
      </c>
      <c r="AK14" s="201"/>
      <c r="AM14" s="200"/>
      <c r="AO14" s="101">
        <f t="shared" si="1"/>
        <v>0</v>
      </c>
      <c r="AP14" s="207">
        <v>0.02</v>
      </c>
      <c r="AQ14" s="268">
        <f t="shared" si="2"/>
        <v>0</v>
      </c>
      <c r="AR14" s="202"/>
      <c r="AS14" s="202"/>
      <c r="AT14" s="202"/>
      <c r="AU14" s="202"/>
      <c r="AV14" s="202"/>
      <c r="AW14" s="202"/>
      <c r="AX14" s="202"/>
      <c r="AY14" s="202"/>
      <c r="AZ14" s="202"/>
      <c r="BB14" s="202"/>
    </row>
    <row r="15" s="101" customFormat="1" customHeight="1" spans="1:92">
      <c r="C15" s="200"/>
      <c r="G15" s="101" t="s">
        <v>3355</v>
      </c>
      <c r="I15" s="266" t="s">
        <v>3356</v>
      </c>
      <c r="J15" s="270">
        <v>16.15</v>
      </c>
      <c r="M15" s="235">
        <v>31004</v>
      </c>
      <c r="N15" s="202">
        <v>31004</v>
      </c>
      <c r="O15" s="158"/>
      <c r="P15" s="203"/>
      <c r="Q15" s="205"/>
      <c r="R15" s="202"/>
      <c r="S15" s="204"/>
      <c r="T15" s="199"/>
      <c r="U15" s="204"/>
      <c r="V15" s="202">
        <v>2000</v>
      </c>
      <c r="W15" s="204" t="s">
        <v>3357</v>
      </c>
      <c r="X15" s="202">
        <v>29004</v>
      </c>
      <c r="Y15" s="204" t="s">
        <v>913</v>
      </c>
      <c r="AA15" s="201"/>
      <c r="AB15" s="202"/>
      <c r="AH15" s="202">
        <f t="shared" si="0"/>
        <v>31004</v>
      </c>
      <c r="AK15" s="201">
        <f>M15-AH15</f>
        <v>0</v>
      </c>
      <c r="AM15" s="200"/>
      <c r="AO15" s="101">
        <f t="shared" si="1"/>
        <v>31004</v>
      </c>
      <c r="AP15" s="207">
        <v>0.02</v>
      </c>
      <c r="AQ15" s="268">
        <f t="shared" si="2"/>
        <v>0</v>
      </c>
      <c r="AR15" s="202"/>
      <c r="AS15" s="202"/>
      <c r="AT15" s="202"/>
      <c r="AU15" s="202"/>
      <c r="AV15" s="202"/>
      <c r="AW15" s="202"/>
      <c r="AX15" s="202"/>
      <c r="AY15" s="202"/>
      <c r="AZ15" s="202"/>
      <c r="BB15" s="202"/>
      <c r="BU15" s="101">
        <v>31004</v>
      </c>
    </row>
    <row r="16" s="101" customFormat="1" customHeight="1" spans="1:92">
      <c r="C16" s="200"/>
      <c r="G16" s="101" t="s">
        <v>3358</v>
      </c>
      <c r="I16" s="269" t="s">
        <v>3359</v>
      </c>
      <c r="J16" s="270">
        <v>17.32</v>
      </c>
      <c r="M16" s="235">
        <v>33254</v>
      </c>
      <c r="N16" s="202">
        <v>33254</v>
      </c>
      <c r="O16" s="158"/>
      <c r="P16" s="203"/>
      <c r="Q16" s="205"/>
      <c r="R16" s="202"/>
      <c r="S16" s="204"/>
      <c r="T16" s="199"/>
      <c r="U16" s="204" t="s">
        <v>393</v>
      </c>
      <c r="V16" s="202">
        <v>3254</v>
      </c>
      <c r="W16" s="204" t="s">
        <v>3360</v>
      </c>
      <c r="X16" s="202">
        <v>30000</v>
      </c>
      <c r="Y16" s="204">
        <v>45964</v>
      </c>
      <c r="AA16" s="201"/>
      <c r="AB16" s="202"/>
      <c r="AH16" s="202">
        <f t="shared" si="0"/>
        <v>33254</v>
      </c>
      <c r="AK16" s="201">
        <f>M16-AH16</f>
        <v>0</v>
      </c>
      <c r="AM16" s="200"/>
      <c r="AO16" s="101">
        <f t="shared" si="1"/>
        <v>33254</v>
      </c>
      <c r="AP16" s="207">
        <v>0.02</v>
      </c>
      <c r="AQ16" s="268">
        <f t="shared" si="2"/>
        <v>0</v>
      </c>
      <c r="AR16" s="202"/>
      <c r="AS16" s="202"/>
      <c r="AT16" s="202"/>
      <c r="AU16" s="202"/>
      <c r="AV16" s="202"/>
      <c r="AW16" s="202"/>
      <c r="AX16" s="202"/>
      <c r="AY16" s="202"/>
      <c r="AZ16" s="202"/>
      <c r="BB16" s="202"/>
      <c r="CA16" s="101">
        <v>33254</v>
      </c>
    </row>
    <row r="17" s="101" customFormat="1" customHeight="1" spans="1:89">
      <c r="C17" s="200"/>
      <c r="I17" s="266" t="s">
        <v>3361</v>
      </c>
      <c r="J17" s="270">
        <v>17.32</v>
      </c>
      <c r="M17" s="235"/>
      <c r="N17" s="202">
        <v>33254</v>
      </c>
      <c r="O17" s="158"/>
      <c r="P17" s="203"/>
      <c r="Q17" s="205"/>
      <c r="R17" s="202"/>
      <c r="S17" s="204"/>
      <c r="T17" s="199"/>
      <c r="U17" s="204"/>
      <c r="V17" s="202"/>
      <c r="X17" s="202"/>
      <c r="Y17" s="205"/>
      <c r="AA17" s="201"/>
      <c r="AB17" s="202"/>
      <c r="AH17" s="202">
        <f t="shared" si="0"/>
        <v>0</v>
      </c>
      <c r="AK17" s="201"/>
      <c r="AM17" s="200"/>
      <c r="AO17" s="101">
        <f t="shared" si="1"/>
        <v>0</v>
      </c>
      <c r="AP17" s="207">
        <v>0.02</v>
      </c>
      <c r="AQ17" s="268">
        <f t="shared" si="2"/>
        <v>0</v>
      </c>
      <c r="AR17" s="202"/>
      <c r="AS17" s="202"/>
      <c r="AT17" s="202"/>
      <c r="AU17" s="202"/>
      <c r="AV17" s="202"/>
      <c r="AW17" s="202"/>
      <c r="AX17" s="202"/>
      <c r="AY17" s="202"/>
      <c r="AZ17" s="202"/>
      <c r="BB17" s="202"/>
    </row>
    <row r="18" s="101" customFormat="1" customHeight="1" spans="1:89">
      <c r="C18" s="200"/>
      <c r="I18" s="266" t="s">
        <v>3362</v>
      </c>
      <c r="J18" s="270">
        <v>52.97</v>
      </c>
      <c r="M18" s="235"/>
      <c r="N18" s="202" t="s">
        <v>3345</v>
      </c>
      <c r="O18" s="158"/>
      <c r="P18" s="203"/>
      <c r="Q18" s="205"/>
      <c r="R18" s="202"/>
      <c r="S18" s="204"/>
      <c r="T18" s="199"/>
      <c r="U18" s="204"/>
      <c r="V18" s="202"/>
      <c r="X18" s="202"/>
      <c r="Y18" s="205"/>
      <c r="AA18" s="201"/>
      <c r="AB18" s="202"/>
      <c r="AH18" s="202">
        <f t="shared" si="0"/>
        <v>0</v>
      </c>
      <c r="AK18" s="201"/>
      <c r="AM18" s="200"/>
      <c r="AO18" s="101">
        <f t="shared" si="1"/>
        <v>0</v>
      </c>
      <c r="AP18" s="207">
        <v>0.02</v>
      </c>
      <c r="AQ18" s="268">
        <f t="shared" si="2"/>
        <v>0</v>
      </c>
      <c r="AR18" s="202"/>
      <c r="AS18" s="202"/>
      <c r="AT18" s="202"/>
      <c r="AU18" s="202"/>
      <c r="AV18" s="202"/>
      <c r="AW18" s="202"/>
      <c r="AX18" s="202"/>
      <c r="AY18" s="202"/>
      <c r="AZ18" s="202"/>
      <c r="BB18" s="202"/>
    </row>
    <row r="19" s="101" customFormat="1" customHeight="1" spans="1:89">
      <c r="C19" s="200"/>
      <c r="I19" s="266" t="s">
        <v>3363</v>
      </c>
      <c r="J19" s="270">
        <v>71.81</v>
      </c>
      <c r="M19" s="235"/>
      <c r="N19" s="202" t="s">
        <v>3345</v>
      </c>
      <c r="O19" s="158"/>
      <c r="P19" s="203"/>
      <c r="Q19" s="205"/>
      <c r="R19" s="202"/>
      <c r="S19" s="204"/>
      <c r="T19" s="199"/>
      <c r="U19" s="204"/>
      <c r="V19" s="202"/>
      <c r="X19" s="202"/>
      <c r="Y19" s="205"/>
      <c r="AA19" s="201"/>
      <c r="AB19" s="202"/>
      <c r="AH19" s="202">
        <f t="shared" si="0"/>
        <v>0</v>
      </c>
      <c r="AK19" s="201"/>
      <c r="AM19" s="200"/>
      <c r="AO19" s="101">
        <f t="shared" si="1"/>
        <v>0</v>
      </c>
      <c r="AP19" s="207">
        <v>0.02</v>
      </c>
      <c r="AQ19" s="268">
        <f t="shared" si="2"/>
        <v>0</v>
      </c>
      <c r="AR19" s="202"/>
      <c r="AS19" s="202"/>
      <c r="AT19" s="202"/>
      <c r="AU19" s="202"/>
      <c r="AV19" s="202"/>
      <c r="AW19" s="202"/>
      <c r="AX19" s="202"/>
      <c r="AY19" s="202"/>
      <c r="AZ19" s="202"/>
      <c r="BB19" s="202"/>
    </row>
    <row r="20" s="101" customFormat="1" customHeight="1" spans="1:89">
      <c r="A20" s="199">
        <v>1</v>
      </c>
      <c r="C20" s="200"/>
      <c r="I20" s="269" t="s">
        <v>3364</v>
      </c>
      <c r="J20" s="101">
        <v>119.34</v>
      </c>
      <c r="M20" s="235"/>
      <c r="N20" s="202">
        <v>7942.5</v>
      </c>
      <c r="O20" s="158"/>
      <c r="P20" s="203"/>
      <c r="Q20" s="205"/>
      <c r="R20" s="202"/>
      <c r="S20" s="204"/>
      <c r="T20" s="199"/>
      <c r="U20" s="204"/>
      <c r="V20" s="202"/>
      <c r="W20" s="204"/>
      <c r="X20" s="202"/>
      <c r="Y20" s="205"/>
      <c r="AA20" s="201"/>
      <c r="AB20" s="202"/>
      <c r="AH20" s="202">
        <f t="shared" si="0"/>
        <v>0</v>
      </c>
      <c r="AK20" s="201"/>
      <c r="AM20" s="200"/>
      <c r="AO20" s="101">
        <f t="shared" si="1"/>
        <v>0</v>
      </c>
      <c r="AP20" s="207"/>
      <c r="AQ20" s="268">
        <f t="shared" si="2"/>
        <v>0</v>
      </c>
      <c r="AR20" s="202"/>
      <c r="AS20" s="202"/>
      <c r="AT20" s="202"/>
      <c r="AU20" s="202"/>
      <c r="AV20" s="202"/>
      <c r="AW20" s="202"/>
      <c r="AX20" s="202"/>
      <c r="AY20" s="202"/>
      <c r="AZ20" s="202"/>
      <c r="BB20" s="202"/>
    </row>
    <row r="21" s="128" customFormat="1" customHeight="1" spans="1:89">
      <c r="A21" s="272">
        <v>2</v>
      </c>
      <c r="B21" s="128"/>
      <c r="C21" s="184">
        <v>45566</v>
      </c>
      <c r="D21" s="128">
        <v>20240005461</v>
      </c>
      <c r="F21" s="1016" t="s">
        <v>3365</v>
      </c>
      <c r="G21" s="128" t="s">
        <v>3366</v>
      </c>
      <c r="H21" s="1016" t="s">
        <v>3367</v>
      </c>
      <c r="I21" s="273" t="s">
        <v>3368</v>
      </c>
      <c r="J21" s="128">
        <v>119.19</v>
      </c>
      <c r="K21" s="128">
        <v>119.19</v>
      </c>
      <c r="L21" s="272">
        <v>8226.31</v>
      </c>
      <c r="M21" s="274">
        <v>980494</v>
      </c>
      <c r="N21" s="218">
        <v>8226.31</v>
      </c>
      <c r="O21" s="168">
        <v>899535.78</v>
      </c>
      <c r="P21" s="1017" t="s">
        <v>3369</v>
      </c>
      <c r="Q21" s="211">
        <v>45855</v>
      </c>
      <c r="R21" s="218"/>
      <c r="S21" s="219"/>
      <c r="T21" s="272"/>
      <c r="U21" s="219" t="s">
        <v>772</v>
      </c>
      <c r="V21" s="218">
        <v>20000</v>
      </c>
      <c r="W21" s="219">
        <v>45536</v>
      </c>
      <c r="X21" s="218">
        <v>380000</v>
      </c>
      <c r="Y21" s="219" t="s">
        <v>977</v>
      </c>
      <c r="Z21" s="218">
        <v>580000</v>
      </c>
      <c r="AA21" s="219" t="s">
        <v>474</v>
      </c>
      <c r="AB21" s="218">
        <v>494</v>
      </c>
      <c r="AC21" s="219" t="s">
        <v>3370</v>
      </c>
      <c r="AH21" s="218">
        <f t="shared" si="0"/>
        <v>980494</v>
      </c>
      <c r="AK21" s="179">
        <f>M21-AH21</f>
        <v>0</v>
      </c>
      <c r="AL21" s="128">
        <v>13899014069</v>
      </c>
      <c r="AM21" s="177"/>
      <c r="AO21" s="128">
        <f t="shared" si="1"/>
        <v>980000</v>
      </c>
      <c r="AP21" s="173">
        <f>0.5%+0.04%+0.1%</f>
        <v>0.0064</v>
      </c>
      <c r="AQ21" s="275">
        <f t="shared" si="2"/>
        <v>0</v>
      </c>
      <c r="AR21" s="218"/>
      <c r="AS21" s="218"/>
      <c r="AT21" s="218"/>
      <c r="AU21" s="218"/>
      <c r="AV21" s="218"/>
      <c r="AW21" s="218"/>
      <c r="AX21" s="218"/>
      <c r="AY21" s="218"/>
      <c r="AZ21" s="218"/>
      <c r="BB21" s="218"/>
      <c r="BN21" s="128">
        <v>400000</v>
      </c>
      <c r="BO21" s="128">
        <v>580000</v>
      </c>
      <c r="CI21" s="128" t="s">
        <v>376</v>
      </c>
      <c r="CK21" s="128" t="s">
        <v>377</v>
      </c>
    </row>
    <row r="22" s="128" customFormat="1" customHeight="1" spans="1:89">
      <c r="A22" s="272">
        <v>3</v>
      </c>
      <c r="C22" s="184">
        <v>46020</v>
      </c>
      <c r="D22" s="128">
        <v>20250006748</v>
      </c>
      <c r="E22" s="128" t="s">
        <v>3371</v>
      </c>
      <c r="F22" s="1016" t="s">
        <v>3372</v>
      </c>
      <c r="G22" s="128" t="s">
        <v>3373</v>
      </c>
      <c r="I22" s="276" t="s">
        <v>3374</v>
      </c>
      <c r="J22" s="128">
        <v>117.97</v>
      </c>
      <c r="K22" s="128">
        <v>117.97</v>
      </c>
      <c r="L22" s="128">
        <v>4958.89</v>
      </c>
      <c r="M22" s="274">
        <v>585000</v>
      </c>
      <c r="N22" s="218">
        <v>5395.6</v>
      </c>
      <c r="O22" s="168">
        <v>536697.25</v>
      </c>
      <c r="P22" s="1017" t="s">
        <v>3375</v>
      </c>
      <c r="Q22" s="211">
        <v>46027</v>
      </c>
      <c r="R22" s="218"/>
      <c r="S22" s="219"/>
      <c r="T22" s="272"/>
      <c r="U22" s="219"/>
      <c r="V22" s="218">
        <v>275895.27</v>
      </c>
      <c r="W22" s="219">
        <v>45925</v>
      </c>
      <c r="X22" s="218">
        <v>120000</v>
      </c>
      <c r="Y22" s="219">
        <v>46020</v>
      </c>
      <c r="Z22" s="128">
        <v>465000</v>
      </c>
      <c r="AA22" s="219">
        <v>46042</v>
      </c>
      <c r="AB22" s="218">
        <v>-275895.27</v>
      </c>
      <c r="AC22" s="171">
        <v>46085</v>
      </c>
      <c r="AH22" s="218">
        <f t="shared" si="0"/>
        <v>585000</v>
      </c>
      <c r="AK22" s="179">
        <f>M22-AH22</f>
        <v>0</v>
      </c>
      <c r="AL22" s="128">
        <v>19690184444</v>
      </c>
      <c r="AM22" s="177"/>
      <c r="AO22" s="128">
        <f t="shared" si="1"/>
        <v>0</v>
      </c>
      <c r="AP22" s="173"/>
      <c r="AQ22" s="275">
        <f t="shared" si="2"/>
        <v>0</v>
      </c>
      <c r="AR22" s="218"/>
      <c r="AS22" s="218"/>
      <c r="AT22" s="218"/>
      <c r="AU22" s="218"/>
      <c r="AV22" s="218"/>
      <c r="AW22" s="218"/>
      <c r="AX22" s="218"/>
      <c r="AY22" s="218"/>
      <c r="AZ22" s="218"/>
      <c r="BB22" s="218"/>
      <c r="CI22" s="128" t="s">
        <v>3376</v>
      </c>
      <c r="CK22" s="128" t="s">
        <v>377</v>
      </c>
    </row>
    <row r="23" s="128" customFormat="1" customHeight="1" spans="1:89">
      <c r="A23" s="272">
        <v>4</v>
      </c>
      <c r="C23" s="184">
        <v>45568</v>
      </c>
      <c r="D23" s="128">
        <v>20240005733</v>
      </c>
      <c r="F23" s="1016" t="s">
        <v>3377</v>
      </c>
      <c r="G23" s="128" t="s">
        <v>3378</v>
      </c>
      <c r="H23" s="1016" t="s">
        <v>3379</v>
      </c>
      <c r="I23" s="273" t="s">
        <v>3380</v>
      </c>
      <c r="J23" s="128">
        <v>117.6</v>
      </c>
      <c r="K23" s="128">
        <v>117.6</v>
      </c>
      <c r="L23" s="272">
        <v>5410.92</v>
      </c>
      <c r="M23" s="274">
        <v>636324</v>
      </c>
      <c r="N23" s="277">
        <v>5410.92</v>
      </c>
      <c r="O23" s="168">
        <v>583783.49</v>
      </c>
      <c r="P23" s="1017" t="s">
        <v>3381</v>
      </c>
      <c r="Q23" s="211">
        <v>45855</v>
      </c>
      <c r="R23" s="218"/>
      <c r="S23" s="219"/>
      <c r="T23" s="272"/>
      <c r="U23" s="219" t="s">
        <v>410</v>
      </c>
      <c r="V23" s="218">
        <v>20000</v>
      </c>
      <c r="W23" s="219" t="s">
        <v>619</v>
      </c>
      <c r="X23" s="218">
        <v>72000</v>
      </c>
      <c r="Y23" s="219">
        <v>45550</v>
      </c>
      <c r="Z23" s="218">
        <v>16000</v>
      </c>
      <c r="AA23" s="219" t="s">
        <v>3382</v>
      </c>
      <c r="AB23" s="218">
        <v>10000</v>
      </c>
      <c r="AC23" s="219" t="s">
        <v>545</v>
      </c>
      <c r="AD23" s="128">
        <v>508000</v>
      </c>
      <c r="AE23" s="128" t="s">
        <v>3383</v>
      </c>
      <c r="AF23" s="218">
        <f>324+10000</f>
        <v>10324</v>
      </c>
      <c r="AG23" s="219" t="s">
        <v>657</v>
      </c>
      <c r="AH23" s="218">
        <f t="shared" si="0"/>
        <v>636324</v>
      </c>
      <c r="AK23" s="179">
        <f t="shared" ref="AK23:AK29" si="3">M23-AH23</f>
        <v>0</v>
      </c>
      <c r="AL23" s="128">
        <v>13279972119</v>
      </c>
      <c r="AM23" s="177" t="s">
        <v>3384</v>
      </c>
      <c r="AO23" s="128">
        <f t="shared" si="1"/>
        <v>636000</v>
      </c>
      <c r="AP23" s="173">
        <f>0.7%+0.08%</f>
        <v>0.0078</v>
      </c>
      <c r="AQ23" s="275">
        <f t="shared" si="2"/>
        <v>0</v>
      </c>
      <c r="AR23" s="218"/>
      <c r="AS23" s="218"/>
      <c r="AT23" s="218"/>
      <c r="AU23" s="218"/>
      <c r="AV23" s="218"/>
      <c r="AW23" s="218"/>
      <c r="AX23" s="218"/>
      <c r="AY23" s="218"/>
      <c r="AZ23" s="218"/>
      <c r="BB23" s="218"/>
      <c r="BQ23" s="128">
        <v>636000</v>
      </c>
      <c r="CI23" s="128" t="s">
        <v>376</v>
      </c>
      <c r="CK23" s="128" t="s">
        <v>377</v>
      </c>
    </row>
    <row r="24" s="128" customFormat="1" customHeight="1" spans="1:89">
      <c r="A24" s="272">
        <v>5</v>
      </c>
      <c r="C24" s="184">
        <v>45483</v>
      </c>
      <c r="D24" s="128">
        <v>20240003958</v>
      </c>
      <c r="F24" s="1016" t="s">
        <v>3385</v>
      </c>
      <c r="G24" s="128" t="s">
        <v>3386</v>
      </c>
      <c r="H24" s="1016" t="s">
        <v>3387</v>
      </c>
      <c r="I24" s="276" t="s">
        <v>3388</v>
      </c>
      <c r="J24" s="128">
        <v>117.97</v>
      </c>
      <c r="K24" s="128">
        <v>117.97</v>
      </c>
      <c r="L24" s="128">
        <v>5784</v>
      </c>
      <c r="M24" s="274">
        <v>682347</v>
      </c>
      <c r="N24" s="275">
        <v>5784.07</v>
      </c>
      <c r="O24" s="168">
        <v>626006.42</v>
      </c>
      <c r="P24" s="1017" t="s">
        <v>3389</v>
      </c>
      <c r="Q24" s="211">
        <v>45855</v>
      </c>
      <c r="R24" s="218"/>
      <c r="S24" s="219"/>
      <c r="T24" s="272"/>
      <c r="U24" s="219" t="s">
        <v>677</v>
      </c>
      <c r="V24" s="218">
        <v>10000</v>
      </c>
      <c r="W24" s="219" t="s">
        <v>3390</v>
      </c>
      <c r="X24" s="218">
        <v>200000</v>
      </c>
      <c r="Y24" s="219" t="s">
        <v>3391</v>
      </c>
      <c r="Z24" s="218">
        <v>472000</v>
      </c>
      <c r="AA24" s="219" t="s">
        <v>3392</v>
      </c>
      <c r="AB24" s="218">
        <v>347</v>
      </c>
      <c r="AC24" s="219" t="s">
        <v>3393</v>
      </c>
      <c r="AH24" s="218">
        <f t="shared" si="0"/>
        <v>682347</v>
      </c>
      <c r="AK24" s="179">
        <f t="shared" si="3"/>
        <v>0</v>
      </c>
      <c r="AL24" s="128">
        <v>17789135370</v>
      </c>
      <c r="AM24" s="177"/>
      <c r="AO24" s="128">
        <f t="shared" si="1"/>
        <v>682000</v>
      </c>
      <c r="AP24" s="173">
        <f>0.7%+0.02%+0.08%</f>
        <v>0.008</v>
      </c>
      <c r="AQ24" s="275">
        <f t="shared" si="2"/>
        <v>0</v>
      </c>
      <c r="AR24" s="218"/>
      <c r="AS24" s="218"/>
      <c r="AT24" s="218"/>
      <c r="AU24" s="218"/>
      <c r="AV24" s="218"/>
      <c r="AW24" s="218"/>
      <c r="AX24" s="218"/>
      <c r="AY24" s="218"/>
      <c r="AZ24" s="218"/>
      <c r="BB24" s="218"/>
      <c r="BK24" s="128">
        <v>210000</v>
      </c>
      <c r="BL24" s="128">
        <v>472000</v>
      </c>
      <c r="CI24" s="128" t="s">
        <v>376</v>
      </c>
      <c r="CK24" s="128" t="s">
        <v>377</v>
      </c>
    </row>
    <row r="25" s="128" customFormat="1" customHeight="1" spans="1:89">
      <c r="A25" s="272">
        <v>6</v>
      </c>
      <c r="B25" s="128"/>
      <c r="C25" s="184">
        <v>45631</v>
      </c>
      <c r="D25" s="128">
        <v>20240006995</v>
      </c>
      <c r="F25" s="1016" t="s">
        <v>3394</v>
      </c>
      <c r="G25" s="128" t="s">
        <v>3395</v>
      </c>
      <c r="H25" s="1016" t="s">
        <v>3396</v>
      </c>
      <c r="I25" s="273" t="s">
        <v>3397</v>
      </c>
      <c r="J25" s="128">
        <v>117.6</v>
      </c>
      <c r="K25" s="128">
        <v>117.6</v>
      </c>
      <c r="L25" s="128">
        <v>5600</v>
      </c>
      <c r="M25" s="274">
        <v>658560</v>
      </c>
      <c r="N25" s="218">
        <v>5815.88</v>
      </c>
      <c r="O25" s="168">
        <v>604183.49</v>
      </c>
      <c r="P25" s="1017" t="s">
        <v>3398</v>
      </c>
      <c r="Q25" s="211">
        <v>45855</v>
      </c>
      <c r="R25" s="218"/>
      <c r="S25" s="219"/>
      <c r="T25" s="272"/>
      <c r="U25" s="219" t="s">
        <v>2278</v>
      </c>
      <c r="V25" s="218">
        <f>79224+20000</f>
        <v>99224</v>
      </c>
      <c r="W25" s="219" t="s">
        <v>3399</v>
      </c>
      <c r="X25" s="218">
        <v>559000</v>
      </c>
      <c r="Y25" s="211" t="s">
        <v>3400</v>
      </c>
      <c r="Z25" s="218">
        <v>336</v>
      </c>
      <c r="AA25" s="219" t="s">
        <v>3401</v>
      </c>
      <c r="AB25" s="218"/>
      <c r="AH25" s="218">
        <f t="shared" si="0"/>
        <v>658560</v>
      </c>
      <c r="AK25" s="179">
        <f t="shared" si="3"/>
        <v>0</v>
      </c>
      <c r="AL25" s="128">
        <v>18167700911</v>
      </c>
      <c r="AM25" s="177" t="s">
        <v>3402</v>
      </c>
      <c r="AO25" s="128">
        <f t="shared" si="1"/>
        <v>658224</v>
      </c>
      <c r="AP25" s="173">
        <f>0.4%+0.05%+0.12%+0.03%</f>
        <v>0.006</v>
      </c>
      <c r="AQ25" s="275">
        <f t="shared" si="2"/>
        <v>0</v>
      </c>
      <c r="AR25" s="218"/>
      <c r="AS25" s="218"/>
      <c r="AT25" s="218"/>
      <c r="AU25" s="218"/>
      <c r="AV25" s="218"/>
      <c r="AW25" s="218"/>
      <c r="AX25" s="218"/>
      <c r="AY25" s="218"/>
      <c r="AZ25" s="218"/>
      <c r="BB25" s="218"/>
      <c r="BP25" s="128">
        <v>658224</v>
      </c>
      <c r="CI25" s="128" t="s">
        <v>376</v>
      </c>
      <c r="CK25" s="128" t="s">
        <v>377</v>
      </c>
    </row>
    <row r="26" s="128" customFormat="1" customHeight="1" spans="1:89">
      <c r="A26" s="272">
        <v>7</v>
      </c>
      <c r="B26" s="128"/>
      <c r="C26" s="184">
        <v>45706</v>
      </c>
      <c r="D26" s="128">
        <v>20250000698</v>
      </c>
      <c r="F26" s="1016" t="s">
        <v>3403</v>
      </c>
      <c r="G26" s="128" t="s">
        <v>3404</v>
      </c>
      <c r="I26" s="276" t="s">
        <v>3405</v>
      </c>
      <c r="J26" s="128">
        <v>117.97</v>
      </c>
      <c r="K26" s="128">
        <v>117.97</v>
      </c>
      <c r="L26" s="128">
        <v>5800</v>
      </c>
      <c r="M26" s="274">
        <v>684226</v>
      </c>
      <c r="N26" s="218">
        <v>5800</v>
      </c>
      <c r="O26" s="168">
        <v>627730.28</v>
      </c>
      <c r="P26" s="1017" t="s">
        <v>3406</v>
      </c>
      <c r="Q26" s="211">
        <v>45855</v>
      </c>
      <c r="R26" s="218"/>
      <c r="S26" s="219"/>
      <c r="T26" s="272"/>
      <c r="U26" s="219" t="s">
        <v>373</v>
      </c>
      <c r="V26" s="218">
        <v>61878</v>
      </c>
      <c r="W26" s="219" t="s">
        <v>1045</v>
      </c>
      <c r="X26" s="218">
        <v>75000</v>
      </c>
      <c r="Y26" s="211" t="s">
        <v>489</v>
      </c>
      <c r="Z26" s="218">
        <v>547000</v>
      </c>
      <c r="AA26" s="219" t="s">
        <v>3407</v>
      </c>
      <c r="AB26" s="218">
        <v>348</v>
      </c>
      <c r="AC26" s="219" t="s">
        <v>3370</v>
      </c>
      <c r="AH26" s="218">
        <f t="shared" si="0"/>
        <v>684226</v>
      </c>
      <c r="AK26" s="179">
        <f t="shared" si="3"/>
        <v>0</v>
      </c>
      <c r="AM26" s="177" t="s">
        <v>3408</v>
      </c>
      <c r="AO26" s="128">
        <f t="shared" si="1"/>
        <v>683878</v>
      </c>
      <c r="AP26" s="173">
        <f>0.7%+0.04%+0.12%+0.03%</f>
        <v>0.0089</v>
      </c>
      <c r="AQ26" s="275">
        <f t="shared" si="2"/>
        <v>0</v>
      </c>
      <c r="AR26" s="218"/>
      <c r="AS26" s="218"/>
      <c r="AT26" s="218"/>
      <c r="AU26" s="218"/>
      <c r="AV26" s="218"/>
      <c r="AW26" s="218"/>
      <c r="AX26" s="218"/>
      <c r="AY26" s="218"/>
      <c r="AZ26" s="218"/>
      <c r="BB26" s="218"/>
      <c r="BR26" s="128">
        <v>136878</v>
      </c>
      <c r="BS26" s="128">
        <v>547000</v>
      </c>
      <c r="CI26" s="128" t="s">
        <v>376</v>
      </c>
      <c r="CK26" s="128" t="s">
        <v>377</v>
      </c>
    </row>
    <row r="27" s="128" customFormat="1" customHeight="1" spans="1:89">
      <c r="A27" s="272">
        <v>8</v>
      </c>
      <c r="B27" s="128"/>
      <c r="C27" s="184">
        <v>45665</v>
      </c>
      <c r="D27" s="128">
        <v>20250000129</v>
      </c>
      <c r="F27" s="1016" t="s">
        <v>3409</v>
      </c>
      <c r="G27" s="128" t="s">
        <v>3410</v>
      </c>
      <c r="H27" s="1016" t="s">
        <v>3411</v>
      </c>
      <c r="I27" s="273" t="s">
        <v>3412</v>
      </c>
      <c r="J27" s="128">
        <v>117.6</v>
      </c>
      <c r="K27" s="128">
        <v>117.6</v>
      </c>
      <c r="L27" s="128">
        <v>5785.26</v>
      </c>
      <c r="M27" s="274">
        <v>680347</v>
      </c>
      <c r="N27" s="218">
        <v>5785.26</v>
      </c>
      <c r="O27" s="168">
        <v>624171.56</v>
      </c>
      <c r="P27" s="1017" t="s">
        <v>3413</v>
      </c>
      <c r="Q27" s="211">
        <v>45855</v>
      </c>
      <c r="R27" s="218"/>
      <c r="S27" s="219"/>
      <c r="T27" s="272"/>
      <c r="U27" s="219" t="s">
        <v>677</v>
      </c>
      <c r="V27" s="218">
        <v>7000</v>
      </c>
      <c r="W27" s="219" t="s">
        <v>3414</v>
      </c>
      <c r="X27" s="218">
        <v>95000</v>
      </c>
      <c r="Y27" s="211" t="s">
        <v>3415</v>
      </c>
      <c r="Z27" s="218">
        <v>578000</v>
      </c>
      <c r="AA27" s="219" t="s">
        <v>3416</v>
      </c>
      <c r="AB27" s="218">
        <v>347</v>
      </c>
      <c r="AC27" s="219" t="s">
        <v>3370</v>
      </c>
      <c r="AH27" s="218">
        <f t="shared" si="0"/>
        <v>680347</v>
      </c>
      <c r="AK27" s="179">
        <f t="shared" si="3"/>
        <v>0</v>
      </c>
      <c r="AL27" s="128">
        <v>17684743142</v>
      </c>
      <c r="AM27" s="177" t="s">
        <v>3402</v>
      </c>
      <c r="AO27" s="128">
        <f t="shared" si="1"/>
        <v>680000</v>
      </c>
      <c r="AP27" s="173">
        <f>0.4%+0.02%+0.1%+0.03%</f>
        <v>0.0055</v>
      </c>
      <c r="AQ27" s="275">
        <f t="shared" si="2"/>
        <v>0</v>
      </c>
      <c r="AR27" s="218"/>
      <c r="AS27" s="218"/>
      <c r="AT27" s="218"/>
      <c r="AU27" s="218"/>
      <c r="AV27" s="218"/>
      <c r="AW27" s="218"/>
      <c r="AX27" s="218"/>
      <c r="AY27" s="218"/>
      <c r="AZ27" s="218"/>
      <c r="BB27" s="218"/>
      <c r="BR27" s="128">
        <v>102000</v>
      </c>
      <c r="BS27" s="128">
        <v>578000</v>
      </c>
      <c r="CI27" s="128" t="s">
        <v>376</v>
      </c>
      <c r="CK27" s="128" t="s">
        <v>377</v>
      </c>
    </row>
    <row r="28" s="128" customFormat="1" customHeight="1" spans="1:89">
      <c r="A28" s="272">
        <v>9</v>
      </c>
      <c r="C28" s="184">
        <v>45538</v>
      </c>
      <c r="D28" s="128">
        <v>20240005071</v>
      </c>
      <c r="F28" s="1016" t="s">
        <v>3417</v>
      </c>
      <c r="G28" s="128" t="s">
        <v>3418</v>
      </c>
      <c r="H28" s="1016" t="s">
        <v>3419</v>
      </c>
      <c r="I28" s="276" t="s">
        <v>3420</v>
      </c>
      <c r="J28" s="128">
        <v>117.97</v>
      </c>
      <c r="K28" s="128">
        <v>117.97</v>
      </c>
      <c r="L28" s="128">
        <v>5550</v>
      </c>
      <c r="M28" s="274">
        <v>654733</v>
      </c>
      <c r="N28" s="277">
        <v>5549.996</v>
      </c>
      <c r="O28" s="168">
        <v>600672.48</v>
      </c>
      <c r="P28" s="1017" t="s">
        <v>3421</v>
      </c>
      <c r="Q28" s="211">
        <v>45855</v>
      </c>
      <c r="R28" s="218"/>
      <c r="S28" s="219"/>
      <c r="T28" s="272"/>
      <c r="U28" s="219" t="s">
        <v>410</v>
      </c>
      <c r="V28" s="218">
        <v>10000</v>
      </c>
      <c r="W28" s="219" t="s">
        <v>3422</v>
      </c>
      <c r="X28" s="218">
        <v>269400</v>
      </c>
      <c r="Y28" s="219">
        <v>45538</v>
      </c>
      <c r="Z28" s="218">
        <v>375000</v>
      </c>
      <c r="AA28" s="219" t="s">
        <v>702</v>
      </c>
      <c r="AB28" s="218">
        <v>333</v>
      </c>
      <c r="AC28" s="219" t="s">
        <v>2750</v>
      </c>
      <c r="AH28" s="218">
        <f t="shared" si="0"/>
        <v>654733</v>
      </c>
      <c r="AK28" s="179">
        <f t="shared" si="3"/>
        <v>0</v>
      </c>
      <c r="AL28" s="128">
        <v>18095839597</v>
      </c>
      <c r="AM28" s="177" t="s">
        <v>3423</v>
      </c>
      <c r="AO28" s="128">
        <f t="shared" si="1"/>
        <v>654400</v>
      </c>
      <c r="AP28" s="173">
        <f>0.7%+0.08%</f>
        <v>0.0078</v>
      </c>
      <c r="AQ28" s="275">
        <f t="shared" si="2"/>
        <v>0</v>
      </c>
      <c r="AR28" s="218"/>
      <c r="AS28" s="218"/>
      <c r="AT28" s="218"/>
      <c r="AU28" s="218"/>
      <c r="AV28" s="218"/>
      <c r="AW28" s="218"/>
      <c r="AX28" s="218"/>
      <c r="AY28" s="218"/>
      <c r="AZ28" s="218"/>
      <c r="BB28" s="218"/>
      <c r="BM28" s="128">
        <v>279400</v>
      </c>
      <c r="BN28" s="128">
        <v>375000</v>
      </c>
      <c r="CI28" s="128" t="s">
        <v>376</v>
      </c>
      <c r="CK28" s="128" t="s">
        <v>377</v>
      </c>
    </row>
    <row r="29" s="128" customFormat="1" customHeight="1" spans="1:89">
      <c r="A29" s="272">
        <v>10</v>
      </c>
      <c r="B29" s="128"/>
      <c r="C29" s="184">
        <v>45668</v>
      </c>
      <c r="D29" s="128">
        <v>20250000182</v>
      </c>
      <c r="F29" s="128" t="s">
        <v>3424</v>
      </c>
      <c r="G29" s="128" t="s">
        <v>3425</v>
      </c>
      <c r="I29" s="273" t="s">
        <v>3426</v>
      </c>
      <c r="J29" s="128">
        <v>117.6</v>
      </c>
      <c r="K29" s="128">
        <v>117.6</v>
      </c>
      <c r="L29" s="128">
        <v>5858.41</v>
      </c>
      <c r="M29" s="274">
        <v>688950</v>
      </c>
      <c r="N29" s="218">
        <v>5858.41</v>
      </c>
      <c r="O29" s="168">
        <v>632064.22</v>
      </c>
      <c r="P29" s="1017" t="s">
        <v>3427</v>
      </c>
      <c r="Q29" s="211">
        <v>45855</v>
      </c>
      <c r="R29" s="218"/>
      <c r="S29" s="219"/>
      <c r="T29" s="272"/>
      <c r="U29" s="219" t="s">
        <v>486</v>
      </c>
      <c r="V29" s="218">
        <v>20000</v>
      </c>
      <c r="W29" s="219" t="s">
        <v>621</v>
      </c>
      <c r="X29" s="218">
        <v>38598</v>
      </c>
      <c r="Y29" s="211" t="s">
        <v>2959</v>
      </c>
      <c r="Z29" s="128">
        <v>80000</v>
      </c>
      <c r="AA29" s="179" t="s">
        <v>3428</v>
      </c>
      <c r="AB29" s="218">
        <v>550000</v>
      </c>
      <c r="AC29" s="219" t="s">
        <v>1045</v>
      </c>
      <c r="AD29" s="218">
        <v>352</v>
      </c>
      <c r="AE29" s="219" t="s">
        <v>3370</v>
      </c>
      <c r="AH29" s="218">
        <f t="shared" si="0"/>
        <v>688950</v>
      </c>
      <c r="AK29" s="179">
        <f t="shared" si="3"/>
        <v>0</v>
      </c>
      <c r="AL29" s="128">
        <v>18699479623</v>
      </c>
      <c r="AM29" s="177" t="s">
        <v>3402</v>
      </c>
      <c r="AO29" s="128">
        <f t="shared" si="1"/>
        <v>688598</v>
      </c>
      <c r="AP29" s="173">
        <f>0.7%+0.04%+0.1%+0.03%</f>
        <v>0.0087</v>
      </c>
      <c r="AQ29" s="275">
        <f t="shared" si="2"/>
        <v>100</v>
      </c>
      <c r="AR29" s="218"/>
      <c r="AS29" s="218"/>
      <c r="AT29" s="218"/>
      <c r="AU29" s="218"/>
      <c r="AV29" s="218"/>
      <c r="AW29" s="218"/>
      <c r="AX29" s="218"/>
      <c r="AY29" s="218">
        <v>100</v>
      </c>
      <c r="AZ29" s="218"/>
      <c r="BB29" s="218"/>
      <c r="BR29" s="128">
        <v>688598</v>
      </c>
      <c r="CI29" s="128" t="s">
        <v>376</v>
      </c>
      <c r="CK29" s="128" t="s">
        <v>377</v>
      </c>
    </row>
    <row r="30" s="128" customFormat="1" customHeight="1" spans="1:89">
      <c r="A30" s="272">
        <v>11</v>
      </c>
      <c r="B30" s="128"/>
      <c r="C30" s="184">
        <v>45703</v>
      </c>
      <c r="D30" s="128">
        <v>20250000640</v>
      </c>
      <c r="F30" s="1016" t="s">
        <v>3429</v>
      </c>
      <c r="G30" s="128" t="s">
        <v>3430</v>
      </c>
      <c r="H30" s="1016" t="s">
        <v>3431</v>
      </c>
      <c r="I30" s="276" t="s">
        <v>3432</v>
      </c>
      <c r="J30" s="128">
        <v>117.97</v>
      </c>
      <c r="K30" s="128">
        <v>117.97</v>
      </c>
      <c r="L30" s="128">
        <v>5555.08</v>
      </c>
      <c r="M30" s="274">
        <v>655333</v>
      </c>
      <c r="N30" s="218">
        <v>5555.08</v>
      </c>
      <c r="O30" s="168">
        <v>601222.94</v>
      </c>
      <c r="P30" s="1017" t="s">
        <v>3433</v>
      </c>
      <c r="Q30" s="211">
        <v>45855</v>
      </c>
      <c r="R30" s="218"/>
      <c r="S30" s="219"/>
      <c r="T30" s="272"/>
      <c r="U30" s="219" t="s">
        <v>772</v>
      </c>
      <c r="V30" s="218">
        <v>20000</v>
      </c>
      <c r="W30" s="219" t="s">
        <v>3434</v>
      </c>
      <c r="X30" s="218">
        <v>635000</v>
      </c>
      <c r="Y30" s="211" t="s">
        <v>3435</v>
      </c>
      <c r="Z30" s="218">
        <v>333</v>
      </c>
      <c r="AA30" s="219" t="s">
        <v>1161</v>
      </c>
      <c r="AB30" s="218"/>
      <c r="AH30" s="218">
        <f t="shared" si="0"/>
        <v>655333</v>
      </c>
      <c r="AK30" s="179">
        <f t="shared" ref="AK30:AK49" si="4">M30-AH30</f>
        <v>0</v>
      </c>
      <c r="AL30" s="128">
        <v>18099457961</v>
      </c>
      <c r="AM30" s="177" t="s">
        <v>3402</v>
      </c>
      <c r="AO30" s="128">
        <f t="shared" si="1"/>
        <v>655000</v>
      </c>
      <c r="AP30" s="173">
        <f>0.6%+0.04%+0.12%+0.03%</f>
        <v>0.0079</v>
      </c>
      <c r="AQ30" s="275">
        <f t="shared" si="2"/>
        <v>0</v>
      </c>
      <c r="AR30" s="218"/>
      <c r="AS30" s="218"/>
      <c r="AT30" s="218"/>
      <c r="AU30" s="218"/>
      <c r="AV30" s="218"/>
      <c r="AW30" s="218"/>
      <c r="AX30" s="218"/>
      <c r="AY30" s="218"/>
      <c r="AZ30" s="218"/>
      <c r="BB30" s="218"/>
      <c r="BR30" s="128">
        <v>655000</v>
      </c>
      <c r="CI30" s="128" t="s">
        <v>376</v>
      </c>
      <c r="CK30" s="128" t="s">
        <v>377</v>
      </c>
    </row>
    <row r="31" s="128" customFormat="1" customHeight="1" spans="1:89">
      <c r="A31" s="272">
        <v>12</v>
      </c>
      <c r="C31" s="184">
        <v>45622</v>
      </c>
      <c r="D31" s="128">
        <v>20240006811</v>
      </c>
      <c r="F31" s="1016" t="s">
        <v>3436</v>
      </c>
      <c r="G31" s="128" t="s">
        <v>3437</v>
      </c>
      <c r="H31" s="1016" t="s">
        <v>3438</v>
      </c>
      <c r="I31" s="273" t="s">
        <v>3439</v>
      </c>
      <c r="J31" s="128">
        <v>117.6</v>
      </c>
      <c r="K31" s="128">
        <v>117.6</v>
      </c>
      <c r="L31" s="128">
        <v>5980.88</v>
      </c>
      <c r="M31" s="274">
        <v>703352</v>
      </c>
      <c r="N31" s="218">
        <v>5980.88</v>
      </c>
      <c r="O31" s="168">
        <v>645277.06</v>
      </c>
      <c r="P31" s="1017" t="s">
        <v>3440</v>
      </c>
      <c r="Q31" s="211">
        <v>45855</v>
      </c>
      <c r="R31" s="218"/>
      <c r="S31" s="219"/>
      <c r="T31" s="1017" t="s">
        <v>3441</v>
      </c>
      <c r="U31" s="219" t="s">
        <v>486</v>
      </c>
      <c r="V31" s="218">
        <v>2000</v>
      </c>
      <c r="W31" s="219" t="s">
        <v>3442</v>
      </c>
      <c r="X31" s="218">
        <v>18000</v>
      </c>
      <c r="Y31" s="219" t="s">
        <v>3443</v>
      </c>
      <c r="Z31" s="218">
        <v>482993</v>
      </c>
      <c r="AA31" s="219" t="s">
        <v>508</v>
      </c>
      <c r="AB31" s="218">
        <v>200000</v>
      </c>
      <c r="AC31" s="219" t="s">
        <v>3444</v>
      </c>
      <c r="AD31" s="218">
        <v>359</v>
      </c>
      <c r="AE31" s="219" t="s">
        <v>3370</v>
      </c>
      <c r="AH31" s="218">
        <f t="shared" si="0"/>
        <v>703352</v>
      </c>
      <c r="AK31" s="179">
        <f t="shared" si="4"/>
        <v>0</v>
      </c>
      <c r="AL31" s="128">
        <v>13779689564</v>
      </c>
      <c r="AM31" s="177"/>
      <c r="AO31" s="128">
        <f t="shared" si="1"/>
        <v>702993</v>
      </c>
      <c r="AP31" s="173">
        <f>0.7%+0.02%+0.08%</f>
        <v>0.008</v>
      </c>
      <c r="AQ31" s="275">
        <f t="shared" si="2"/>
        <v>0</v>
      </c>
      <c r="AR31" s="218"/>
      <c r="AS31" s="218"/>
      <c r="AT31" s="218"/>
      <c r="AU31" s="218"/>
      <c r="AV31" s="218"/>
      <c r="AW31" s="218"/>
      <c r="AX31" s="218"/>
      <c r="AY31" s="218"/>
      <c r="AZ31" s="218"/>
      <c r="BB31" s="218"/>
      <c r="BO31" s="128">
        <v>502993</v>
      </c>
      <c r="BR31" s="128">
        <v>200000</v>
      </c>
      <c r="CI31" s="128" t="s">
        <v>376</v>
      </c>
      <c r="CK31" s="128" t="s">
        <v>377</v>
      </c>
    </row>
    <row r="32" s="128" customFormat="1" customHeight="1" spans="1:89">
      <c r="A32" s="272">
        <v>13</v>
      </c>
      <c r="B32" s="128"/>
      <c r="C32" s="184">
        <v>45662</v>
      </c>
      <c r="D32" s="128">
        <v>20250000070</v>
      </c>
      <c r="F32" s="1016" t="s">
        <v>3445</v>
      </c>
      <c r="G32" s="128" t="s">
        <v>3446</v>
      </c>
      <c r="I32" s="276" t="s">
        <v>3447</v>
      </c>
      <c r="J32" s="128">
        <v>117.97</v>
      </c>
      <c r="K32" s="128">
        <v>117.97</v>
      </c>
      <c r="L32" s="128">
        <v>5682.3</v>
      </c>
      <c r="M32" s="274">
        <v>670341</v>
      </c>
      <c r="N32" s="218">
        <v>5682.3</v>
      </c>
      <c r="O32" s="168">
        <v>614991.74</v>
      </c>
      <c r="P32" s="1017" t="s">
        <v>3448</v>
      </c>
      <c r="Q32" s="211">
        <v>45855</v>
      </c>
      <c r="R32" s="218"/>
      <c r="S32" s="219"/>
      <c r="T32" s="272"/>
      <c r="U32" s="219" t="s">
        <v>410</v>
      </c>
      <c r="V32" s="218">
        <v>300000</v>
      </c>
      <c r="W32" s="219" t="s">
        <v>3449</v>
      </c>
      <c r="X32" s="218">
        <v>370000</v>
      </c>
      <c r="Y32" s="219" t="s">
        <v>3434</v>
      </c>
      <c r="Z32" s="218">
        <v>341</v>
      </c>
      <c r="AA32" s="219" t="s">
        <v>3370</v>
      </c>
      <c r="AB32" s="218"/>
      <c r="AH32" s="218">
        <f t="shared" si="0"/>
        <v>670341</v>
      </c>
      <c r="AK32" s="179">
        <f t="shared" si="4"/>
        <v>0</v>
      </c>
      <c r="AM32" s="177" t="s">
        <v>3450</v>
      </c>
      <c r="AO32" s="128">
        <f t="shared" si="1"/>
        <v>670000</v>
      </c>
      <c r="AP32" s="173">
        <f>0.6%+0.1%+0.03%</f>
        <v>0.0073</v>
      </c>
      <c r="AQ32" s="275">
        <f t="shared" si="2"/>
        <v>0</v>
      </c>
      <c r="AR32" s="218"/>
      <c r="AS32" s="218"/>
      <c r="AT32" s="218"/>
      <c r="AU32" s="218"/>
      <c r="AV32" s="218"/>
      <c r="AW32" s="218"/>
      <c r="AX32" s="218"/>
      <c r="AY32" s="218"/>
      <c r="AZ32" s="218"/>
      <c r="BB32" s="218"/>
      <c r="BQ32" s="128">
        <v>300000</v>
      </c>
      <c r="BR32" s="128">
        <v>370000</v>
      </c>
      <c r="CI32" s="128" t="s">
        <v>376</v>
      </c>
      <c r="CK32" s="128" t="s">
        <v>377</v>
      </c>
    </row>
    <row r="33" s="128" customFormat="1" customHeight="1" spans="1:89">
      <c r="A33" s="272">
        <v>14</v>
      </c>
      <c r="B33" s="128"/>
      <c r="C33" s="184">
        <v>45742</v>
      </c>
      <c r="D33" s="128">
        <v>20250001650</v>
      </c>
      <c r="F33" s="128" t="s">
        <v>3451</v>
      </c>
      <c r="G33" s="128" t="s">
        <v>3452</v>
      </c>
      <c r="H33" s="1016" t="s">
        <v>3453</v>
      </c>
      <c r="I33" s="273" t="s">
        <v>3454</v>
      </c>
      <c r="J33" s="128">
        <v>117.6</v>
      </c>
      <c r="K33" s="128">
        <v>117.6</v>
      </c>
      <c r="L33" s="128">
        <v>5938.4</v>
      </c>
      <c r="M33" s="274">
        <v>698356</v>
      </c>
      <c r="N33" s="218">
        <v>5938.4</v>
      </c>
      <c r="O33" s="168">
        <v>640693.58</v>
      </c>
      <c r="P33" s="1017" t="s">
        <v>3455</v>
      </c>
      <c r="Q33" s="211">
        <v>45855</v>
      </c>
      <c r="R33" s="218"/>
      <c r="S33" s="219"/>
      <c r="T33" s="272"/>
      <c r="U33" s="219" t="s">
        <v>677</v>
      </c>
      <c r="V33" s="218">
        <v>20000</v>
      </c>
      <c r="W33" s="219" t="s">
        <v>489</v>
      </c>
      <c r="X33" s="218">
        <v>120000</v>
      </c>
      <c r="Y33" s="211" t="s">
        <v>904</v>
      </c>
      <c r="Z33" s="218">
        <v>558000</v>
      </c>
      <c r="AA33" s="219" t="s">
        <v>2230</v>
      </c>
      <c r="AB33" s="218">
        <v>356</v>
      </c>
      <c r="AC33" s="128" t="s">
        <v>547</v>
      </c>
      <c r="AH33" s="218">
        <f t="shared" si="0"/>
        <v>698356</v>
      </c>
      <c r="AK33" s="179">
        <f t="shared" si="4"/>
        <v>0</v>
      </c>
      <c r="AL33" s="128">
        <v>15276192885</v>
      </c>
      <c r="AM33" s="177" t="s">
        <v>3402</v>
      </c>
      <c r="AO33" s="128">
        <f t="shared" si="1"/>
        <v>698000</v>
      </c>
      <c r="AP33" s="173">
        <f>0.7%+0.03%+0.12%+0.03%</f>
        <v>0.0088</v>
      </c>
      <c r="AQ33" s="275">
        <f t="shared" si="2"/>
        <v>0</v>
      </c>
      <c r="AR33" s="218"/>
      <c r="AS33" s="218"/>
      <c r="AT33" s="218"/>
      <c r="AU33" s="218"/>
      <c r="AV33" s="218"/>
      <c r="AW33" s="218"/>
      <c r="AX33" s="218"/>
      <c r="AY33" s="218"/>
      <c r="AZ33" s="218"/>
      <c r="BB33" s="218"/>
      <c r="BS33" s="128">
        <v>140000</v>
      </c>
      <c r="BU33" s="128">
        <v>558000</v>
      </c>
      <c r="CI33" s="128" t="s">
        <v>376</v>
      </c>
      <c r="CK33" s="128" t="s">
        <v>377</v>
      </c>
    </row>
    <row r="34" s="128" customFormat="1" customHeight="1" spans="1:89">
      <c r="A34" s="272">
        <v>15</v>
      </c>
      <c r="B34" s="128"/>
      <c r="C34" s="184">
        <v>45743</v>
      </c>
      <c r="D34" s="128">
        <v>20250001666</v>
      </c>
      <c r="F34" s="1016" t="s">
        <v>3456</v>
      </c>
      <c r="G34" s="128" t="s">
        <v>3348</v>
      </c>
      <c r="I34" s="276" t="s">
        <v>3457</v>
      </c>
      <c r="J34" s="128">
        <v>117.97</v>
      </c>
      <c r="K34" s="128">
        <v>117.97</v>
      </c>
      <c r="L34" s="128">
        <v>5903.78</v>
      </c>
      <c r="M34" s="274">
        <v>696469</v>
      </c>
      <c r="N34" s="218">
        <v>5903.78</v>
      </c>
      <c r="O34" s="168">
        <v>638962.39</v>
      </c>
      <c r="P34" s="1017" t="s">
        <v>3458</v>
      </c>
      <c r="Q34" s="211">
        <v>45855</v>
      </c>
      <c r="R34" s="218"/>
      <c r="S34" s="219"/>
      <c r="T34" s="272"/>
      <c r="U34" s="219"/>
      <c r="V34" s="218">
        <v>20000</v>
      </c>
      <c r="W34" s="219" t="s">
        <v>3435</v>
      </c>
      <c r="X34" s="218">
        <v>115</v>
      </c>
      <c r="Y34" s="219" t="s">
        <v>3459</v>
      </c>
      <c r="Z34" s="218">
        <v>276000</v>
      </c>
      <c r="AA34" s="219" t="s">
        <v>3460</v>
      </c>
      <c r="AB34" s="218">
        <v>400000</v>
      </c>
      <c r="AC34" s="219" t="s">
        <v>3461</v>
      </c>
      <c r="AD34" s="218">
        <v>354</v>
      </c>
      <c r="AE34" s="219" t="s">
        <v>3350</v>
      </c>
      <c r="AH34" s="218">
        <f t="shared" si="0"/>
        <v>696469</v>
      </c>
      <c r="AK34" s="179">
        <f t="shared" si="4"/>
        <v>0</v>
      </c>
      <c r="AM34" s="177" t="s">
        <v>3402</v>
      </c>
      <c r="AO34" s="128">
        <f t="shared" si="1"/>
        <v>696115</v>
      </c>
      <c r="AP34" s="173">
        <f>0.7%+0.04%+0.12%+0.03%</f>
        <v>0.0089</v>
      </c>
      <c r="AQ34" s="275">
        <f t="shared" si="2"/>
        <v>0</v>
      </c>
      <c r="AR34" s="218"/>
      <c r="AS34" s="218"/>
      <c r="AT34" s="218"/>
      <c r="AU34" s="218"/>
      <c r="AV34" s="218"/>
      <c r="AW34" s="218"/>
      <c r="AX34" s="218"/>
      <c r="AY34" s="218"/>
      <c r="AZ34" s="218"/>
      <c r="BB34" s="218"/>
      <c r="BT34" s="128">
        <v>296115</v>
      </c>
      <c r="BU34" s="128">
        <v>400000</v>
      </c>
      <c r="CI34" s="128" t="s">
        <v>376</v>
      </c>
      <c r="CK34" s="128" t="s">
        <v>377</v>
      </c>
    </row>
    <row r="35" s="128" customFormat="1" customHeight="1" spans="1:89">
      <c r="A35" s="272">
        <v>16</v>
      </c>
      <c r="B35" s="128"/>
      <c r="C35" s="184">
        <v>45699</v>
      </c>
      <c r="D35" s="128">
        <v>20250000580</v>
      </c>
      <c r="F35" s="1016" t="s">
        <v>3462</v>
      </c>
      <c r="G35" s="128" t="s">
        <v>3463</v>
      </c>
      <c r="H35" s="1016" t="s">
        <v>3464</v>
      </c>
      <c r="I35" s="273" t="s">
        <v>3465</v>
      </c>
      <c r="J35" s="128">
        <v>117.6</v>
      </c>
      <c r="K35" s="128">
        <v>117.6</v>
      </c>
      <c r="L35" s="128">
        <v>5778.55</v>
      </c>
      <c r="M35" s="274">
        <v>679558</v>
      </c>
      <c r="N35" s="218">
        <v>6050.88</v>
      </c>
      <c r="O35" s="168">
        <v>623447.71</v>
      </c>
      <c r="P35" s="1017" t="s">
        <v>3466</v>
      </c>
      <c r="Q35" s="211">
        <v>45855</v>
      </c>
      <c r="R35" s="218"/>
      <c r="S35" s="219"/>
      <c r="T35" s="272"/>
      <c r="U35" s="219" t="s">
        <v>772</v>
      </c>
      <c r="V35" s="218">
        <f>258000+10000</f>
        <v>268000</v>
      </c>
      <c r="W35" s="219" t="s">
        <v>3467</v>
      </c>
      <c r="X35" s="218">
        <v>211</v>
      </c>
      <c r="Y35" s="219" t="s">
        <v>3058</v>
      </c>
      <c r="Z35" s="128">
        <v>47000</v>
      </c>
      <c r="AA35" s="179" t="s">
        <v>3468</v>
      </c>
      <c r="AB35" s="218">
        <v>364000</v>
      </c>
      <c r="AC35" s="219" t="s">
        <v>3469</v>
      </c>
      <c r="AD35" s="128">
        <v>347</v>
      </c>
      <c r="AE35" s="128" t="s">
        <v>3370</v>
      </c>
      <c r="AH35" s="218">
        <f t="shared" si="0"/>
        <v>679558</v>
      </c>
      <c r="AK35" s="179">
        <f t="shared" si="4"/>
        <v>0</v>
      </c>
      <c r="AL35" s="128">
        <v>13565612721</v>
      </c>
      <c r="AM35" s="177" t="s">
        <v>3450</v>
      </c>
      <c r="AO35" s="128">
        <f t="shared" si="1"/>
        <v>679211</v>
      </c>
      <c r="AP35" s="173">
        <f>0.6%+0.04%+0.12%+0.03%</f>
        <v>0.0079</v>
      </c>
      <c r="AQ35" s="275">
        <f t="shared" si="2"/>
        <v>0</v>
      </c>
      <c r="AR35" s="218"/>
      <c r="AS35" s="218"/>
      <c r="AT35" s="218"/>
      <c r="AU35" s="218"/>
      <c r="AV35" s="218"/>
      <c r="AW35" s="218"/>
      <c r="AX35" s="218"/>
      <c r="AY35" s="218"/>
      <c r="AZ35" s="218"/>
      <c r="BB35" s="218"/>
      <c r="BR35" s="128">
        <v>315211</v>
      </c>
      <c r="BT35" s="128">
        <v>364000</v>
      </c>
      <c r="CI35" s="128" t="s">
        <v>376</v>
      </c>
      <c r="CK35" s="128" t="s">
        <v>377</v>
      </c>
    </row>
    <row r="36" s="128" customFormat="1" customHeight="1" spans="1:89">
      <c r="A36" s="272">
        <v>17</v>
      </c>
      <c r="C36" s="184">
        <v>45624</v>
      </c>
      <c r="D36" s="128">
        <v>20240006859</v>
      </c>
      <c r="F36" s="1016" t="s">
        <v>3470</v>
      </c>
      <c r="G36" s="128" t="s">
        <v>3471</v>
      </c>
      <c r="H36" s="1016" t="s">
        <v>3472</v>
      </c>
      <c r="I36" s="276" t="s">
        <v>3473</v>
      </c>
      <c r="J36" s="128">
        <v>117.97</v>
      </c>
      <c r="K36" s="128">
        <v>117.97</v>
      </c>
      <c r="L36" s="128">
        <v>5885.48</v>
      </c>
      <c r="M36" s="274">
        <v>694310</v>
      </c>
      <c r="N36" s="218">
        <v>6055.88</v>
      </c>
      <c r="O36" s="168">
        <v>636981.65</v>
      </c>
      <c r="P36" s="1017" t="s">
        <v>3474</v>
      </c>
      <c r="Q36" s="211">
        <v>45855</v>
      </c>
      <c r="R36" s="218"/>
      <c r="S36" s="219"/>
      <c r="T36" s="272"/>
      <c r="U36" s="219" t="s">
        <v>486</v>
      </c>
      <c r="V36" s="218">
        <v>20000</v>
      </c>
      <c r="W36" s="219" t="s">
        <v>3475</v>
      </c>
      <c r="X36" s="218">
        <v>173957</v>
      </c>
      <c r="Y36" s="219" t="s">
        <v>1022</v>
      </c>
      <c r="Z36" s="218">
        <v>500000</v>
      </c>
      <c r="AA36" s="219" t="s">
        <v>1209</v>
      </c>
      <c r="AB36" s="218">
        <v>353</v>
      </c>
      <c r="AC36" s="219" t="s">
        <v>1161</v>
      </c>
      <c r="AH36" s="218">
        <f t="shared" si="0"/>
        <v>694310</v>
      </c>
      <c r="AK36" s="179">
        <f t="shared" si="4"/>
        <v>0</v>
      </c>
      <c r="AL36" s="128">
        <v>18571641326</v>
      </c>
      <c r="AM36" s="177" t="s">
        <v>3402</v>
      </c>
      <c r="AO36" s="128">
        <f t="shared" si="1"/>
        <v>693957</v>
      </c>
      <c r="AP36" s="173">
        <f>0.5%+0.02%+0.08%</f>
        <v>0.006</v>
      </c>
      <c r="AQ36" s="275">
        <f t="shared" si="2"/>
        <v>0</v>
      </c>
      <c r="AR36" s="218"/>
      <c r="AS36" s="218"/>
      <c r="AT36" s="218"/>
      <c r="AU36" s="218"/>
      <c r="AV36" s="218"/>
      <c r="AW36" s="218"/>
      <c r="AX36" s="218"/>
      <c r="AY36" s="218"/>
      <c r="AZ36" s="218"/>
      <c r="BB36" s="218"/>
      <c r="BO36" s="128">
        <v>193957</v>
      </c>
      <c r="BS36" s="128">
        <v>500000</v>
      </c>
      <c r="CI36" s="128" t="s">
        <v>376</v>
      </c>
      <c r="CK36" s="128" t="s">
        <v>377</v>
      </c>
    </row>
    <row r="37" s="128" customFormat="1" customHeight="1" spans="1:89">
      <c r="A37" s="272">
        <v>18</v>
      </c>
      <c r="B37" s="128"/>
      <c r="C37" s="184">
        <v>45717</v>
      </c>
      <c r="D37" s="128">
        <v>20250000960</v>
      </c>
      <c r="F37" s="1016" t="s">
        <v>3476</v>
      </c>
      <c r="G37" s="128" t="s">
        <v>3477</v>
      </c>
      <c r="H37" s="1016" t="s">
        <v>423</v>
      </c>
      <c r="I37" s="273" t="s">
        <v>3478</v>
      </c>
      <c r="J37" s="128">
        <v>117.6</v>
      </c>
      <c r="K37" s="128">
        <v>117.6</v>
      </c>
      <c r="L37" s="128">
        <v>5700.18</v>
      </c>
      <c r="M37" s="274">
        <v>670342</v>
      </c>
      <c r="N37" s="218">
        <v>5700.18</v>
      </c>
      <c r="O37" s="168">
        <v>614992.66</v>
      </c>
      <c r="P37" s="1017" t="s">
        <v>3479</v>
      </c>
      <c r="Q37" s="211">
        <v>45855</v>
      </c>
      <c r="R37" s="218"/>
      <c r="S37" s="219"/>
      <c r="T37" s="272"/>
      <c r="U37" s="219" t="s">
        <v>772</v>
      </c>
      <c r="V37" s="218">
        <v>10000</v>
      </c>
      <c r="W37" s="219" t="s">
        <v>3435</v>
      </c>
      <c r="X37" s="218">
        <v>226000</v>
      </c>
      <c r="Y37" s="219" t="s">
        <v>546</v>
      </c>
      <c r="Z37" s="128">
        <v>74000</v>
      </c>
      <c r="AA37" s="179" t="s">
        <v>3015</v>
      </c>
      <c r="AB37" s="218">
        <v>360000</v>
      </c>
      <c r="AC37" s="219" t="s">
        <v>3132</v>
      </c>
      <c r="AD37" s="128">
        <v>342</v>
      </c>
      <c r="AE37" s="128" t="s">
        <v>2807</v>
      </c>
      <c r="AH37" s="218">
        <f t="shared" si="0"/>
        <v>670342</v>
      </c>
      <c r="AK37" s="179">
        <f t="shared" si="4"/>
        <v>0</v>
      </c>
      <c r="AL37" s="128">
        <v>13279179296</v>
      </c>
      <c r="AM37" s="177" t="s">
        <v>3480</v>
      </c>
      <c r="AO37" s="128">
        <f t="shared" si="1"/>
        <v>670000</v>
      </c>
      <c r="AP37" s="173">
        <f>0.6%+0.04%+0.12%+0.03%</f>
        <v>0.0079</v>
      </c>
      <c r="AQ37" s="275">
        <f t="shared" si="2"/>
        <v>0</v>
      </c>
      <c r="AR37" s="218"/>
      <c r="AS37" s="218"/>
      <c r="AT37" s="218"/>
      <c r="AU37" s="218"/>
      <c r="AV37" s="218"/>
      <c r="AW37" s="218"/>
      <c r="AX37" s="218"/>
      <c r="AY37" s="218"/>
      <c r="AZ37" s="218"/>
      <c r="BB37" s="218"/>
      <c r="BS37" s="128">
        <v>310000</v>
      </c>
      <c r="BT37" s="128">
        <v>360000</v>
      </c>
      <c r="CI37" s="128" t="s">
        <v>376</v>
      </c>
      <c r="CK37" s="128" t="s">
        <v>377</v>
      </c>
    </row>
    <row r="38" s="128" customFormat="1" customHeight="1" spans="1:89">
      <c r="A38" s="272">
        <v>19</v>
      </c>
      <c r="B38" s="128"/>
      <c r="C38" s="184">
        <v>45620</v>
      </c>
      <c r="D38" s="128">
        <v>20240006777</v>
      </c>
      <c r="F38" s="1016" t="s">
        <v>3481</v>
      </c>
      <c r="G38" s="128" t="s">
        <v>3482</v>
      </c>
      <c r="I38" s="276" t="s">
        <v>3483</v>
      </c>
      <c r="J38" s="128">
        <v>117.97</v>
      </c>
      <c r="K38" s="128">
        <v>117.97</v>
      </c>
      <c r="L38" s="128">
        <v>5700</v>
      </c>
      <c r="M38" s="274">
        <v>672429</v>
      </c>
      <c r="N38" s="218">
        <v>6075.88</v>
      </c>
      <c r="O38" s="168">
        <v>616907.34</v>
      </c>
      <c r="P38" s="1017" t="s">
        <v>3484</v>
      </c>
      <c r="Q38" s="211">
        <v>45855</v>
      </c>
      <c r="R38" s="218"/>
      <c r="S38" s="219"/>
      <c r="T38" s="272"/>
      <c r="U38" s="219" t="s">
        <v>410</v>
      </c>
      <c r="V38" s="218">
        <v>186087</v>
      </c>
      <c r="W38" s="219" t="s">
        <v>3485</v>
      </c>
      <c r="X38" s="218">
        <v>486000</v>
      </c>
      <c r="Y38" s="219" t="s">
        <v>3407</v>
      </c>
      <c r="Z38" s="218">
        <v>342</v>
      </c>
      <c r="AA38" s="219" t="s">
        <v>3486</v>
      </c>
      <c r="AB38" s="218"/>
      <c r="AH38" s="218">
        <f t="shared" si="0"/>
        <v>672429</v>
      </c>
      <c r="AK38" s="179">
        <f t="shared" si="4"/>
        <v>0</v>
      </c>
      <c r="AL38" s="128">
        <v>13779321816</v>
      </c>
      <c r="AM38" s="177" t="s">
        <v>3487</v>
      </c>
      <c r="AO38" s="128">
        <f t="shared" si="1"/>
        <v>672087</v>
      </c>
      <c r="AP38" s="173">
        <f>0.6%+0.08%+0.03%</f>
        <v>0.0071</v>
      </c>
      <c r="AQ38" s="275">
        <f t="shared" si="2"/>
        <v>0</v>
      </c>
      <c r="AR38" s="218"/>
      <c r="AS38" s="218"/>
      <c r="AT38" s="218"/>
      <c r="AU38" s="218"/>
      <c r="AV38" s="218"/>
      <c r="AW38" s="218"/>
      <c r="AX38" s="218"/>
      <c r="AY38" s="218"/>
      <c r="AZ38" s="218"/>
      <c r="BB38" s="218"/>
      <c r="BO38" s="128">
        <v>186087</v>
      </c>
      <c r="BS38" s="128">
        <v>486000</v>
      </c>
      <c r="CI38" s="128" t="s">
        <v>376</v>
      </c>
      <c r="CK38" s="128" t="s">
        <v>377</v>
      </c>
    </row>
    <row r="39" s="128" customFormat="1" customHeight="1" spans="1:89">
      <c r="A39" s="272">
        <v>20</v>
      </c>
      <c r="B39" s="128"/>
      <c r="C39" s="184">
        <v>45900</v>
      </c>
      <c r="D39" s="128">
        <v>20250004470</v>
      </c>
      <c r="F39" s="1016" t="s">
        <v>3488</v>
      </c>
      <c r="G39" s="128" t="s">
        <v>3489</v>
      </c>
      <c r="I39" s="276" t="s">
        <v>3490</v>
      </c>
      <c r="J39" s="128">
        <v>117.6</v>
      </c>
      <c r="K39" s="128">
        <v>117.6</v>
      </c>
      <c r="L39" s="128">
        <v>5578.23</v>
      </c>
      <c r="M39" s="274">
        <v>656000</v>
      </c>
      <c r="N39" s="218">
        <v>5578.23</v>
      </c>
      <c r="O39" s="168">
        <v>601834.86</v>
      </c>
      <c r="P39" s="1017" t="s">
        <v>3491</v>
      </c>
      <c r="Q39" s="211">
        <v>45911</v>
      </c>
      <c r="R39" s="218"/>
      <c r="S39" s="219"/>
      <c r="T39" s="272"/>
      <c r="U39" s="219" t="s">
        <v>807</v>
      </c>
      <c r="V39" s="218">
        <f>3000+153000</f>
        <v>156000</v>
      </c>
      <c r="W39" s="219" t="s">
        <v>3492</v>
      </c>
      <c r="X39" s="218">
        <v>500000</v>
      </c>
      <c r="Y39" s="219">
        <v>45954</v>
      </c>
      <c r="AA39" s="179"/>
      <c r="AB39" s="218"/>
      <c r="AH39" s="218">
        <f t="shared" si="0"/>
        <v>656000</v>
      </c>
      <c r="AK39" s="179">
        <f t="shared" si="4"/>
        <v>0</v>
      </c>
      <c r="AM39" s="177" t="s">
        <v>3493</v>
      </c>
      <c r="AO39" s="128">
        <f t="shared" si="1"/>
        <v>656000</v>
      </c>
      <c r="AP39" s="173">
        <f>0.7%+0.08%+0.03%</f>
        <v>0.0081</v>
      </c>
      <c r="AQ39" s="275">
        <f t="shared" si="2"/>
        <v>0</v>
      </c>
      <c r="AR39" s="218"/>
      <c r="AS39" s="218"/>
      <c r="AT39" s="218"/>
      <c r="AU39" s="218"/>
      <c r="AV39" s="218"/>
      <c r="AW39" s="218"/>
      <c r="AX39" s="218"/>
      <c r="AY39" s="218"/>
      <c r="AZ39" s="218"/>
      <c r="BB39" s="218"/>
      <c r="BY39" s="128">
        <v>156000</v>
      </c>
      <c r="BZ39" s="128">
        <v>500000</v>
      </c>
      <c r="CI39" s="128" t="s">
        <v>2825</v>
      </c>
      <c r="CK39" s="128" t="s">
        <v>3494</v>
      </c>
    </row>
    <row r="40" s="128" customFormat="1" customHeight="1" spans="1:89">
      <c r="A40" s="272">
        <v>21</v>
      </c>
      <c r="C40" s="184">
        <v>45548</v>
      </c>
      <c r="D40" s="128">
        <v>20240005254</v>
      </c>
      <c r="F40" s="1016" t="s">
        <v>3495</v>
      </c>
      <c r="G40" s="128" t="s">
        <v>3496</v>
      </c>
      <c r="H40" s="1016" t="s">
        <v>3497</v>
      </c>
      <c r="I40" s="276" t="s">
        <v>3498</v>
      </c>
      <c r="J40" s="128">
        <v>117.97</v>
      </c>
      <c r="K40" s="128">
        <v>117.97</v>
      </c>
      <c r="L40" s="272">
        <v>6784.84</v>
      </c>
      <c r="M40" s="274">
        <v>800407</v>
      </c>
      <c r="N40" s="277">
        <v>6784.835</v>
      </c>
      <c r="O40" s="168">
        <v>734318.35</v>
      </c>
      <c r="P40" s="1017" t="s">
        <v>3499</v>
      </c>
      <c r="Q40" s="211">
        <v>45856</v>
      </c>
      <c r="R40" s="218"/>
      <c r="S40" s="219"/>
      <c r="T40" s="272"/>
      <c r="U40" s="219" t="s">
        <v>2278</v>
      </c>
      <c r="V40" s="218">
        <v>20000</v>
      </c>
      <c r="W40" s="219" t="s">
        <v>3500</v>
      </c>
      <c r="X40" s="218">
        <v>100000</v>
      </c>
      <c r="Y40" s="219" t="s">
        <v>3501</v>
      </c>
      <c r="Z40" s="218">
        <v>680000</v>
      </c>
      <c r="AA40" s="219" t="s">
        <v>3502</v>
      </c>
      <c r="AB40" s="218">
        <v>407</v>
      </c>
      <c r="AC40" s="219" t="s">
        <v>3370</v>
      </c>
      <c r="AH40" s="218">
        <f t="shared" si="0"/>
        <v>800407</v>
      </c>
      <c r="AK40" s="179">
        <f t="shared" si="4"/>
        <v>0</v>
      </c>
      <c r="AL40" s="128">
        <v>15840846835</v>
      </c>
      <c r="AM40" s="177" t="s">
        <v>3503</v>
      </c>
      <c r="AO40" s="128">
        <f t="shared" si="1"/>
        <v>800000</v>
      </c>
      <c r="AP40" s="173">
        <f>0.4%+0.02%+0.08%</f>
        <v>0.005</v>
      </c>
      <c r="AQ40" s="275">
        <f t="shared" si="2"/>
        <v>0</v>
      </c>
      <c r="AR40" s="218"/>
      <c r="AS40" s="218"/>
      <c r="AT40" s="218"/>
      <c r="AU40" s="218"/>
      <c r="AV40" s="218"/>
      <c r="AW40" s="218"/>
      <c r="AX40" s="218"/>
      <c r="AY40" s="218"/>
      <c r="AZ40" s="218"/>
      <c r="BB40" s="218"/>
      <c r="BM40" s="128">
        <v>120000</v>
      </c>
      <c r="BP40" s="128">
        <v>680000</v>
      </c>
      <c r="CI40" s="128" t="s">
        <v>376</v>
      </c>
      <c r="CK40" s="128" t="s">
        <v>377</v>
      </c>
    </row>
    <row r="41" s="101" customFormat="1" customHeight="1" spans="1:89">
      <c r="A41" s="199">
        <v>22</v>
      </c>
      <c r="C41" s="200"/>
      <c r="I41" s="269" t="s">
        <v>3504</v>
      </c>
      <c r="J41" s="101">
        <v>117.6</v>
      </c>
      <c r="M41" s="235"/>
      <c r="N41" s="202">
        <v>6622.55</v>
      </c>
      <c r="O41" s="158"/>
      <c r="P41" s="203"/>
      <c r="Q41" s="205"/>
      <c r="R41" s="202"/>
      <c r="S41" s="204"/>
      <c r="T41" s="199"/>
      <c r="U41" s="204" t="s">
        <v>2278</v>
      </c>
      <c r="V41" s="202"/>
      <c r="X41" s="202"/>
      <c r="Y41" s="205"/>
      <c r="AA41" s="201"/>
      <c r="AB41" s="202"/>
      <c r="AH41" s="202">
        <f t="shared" si="0"/>
        <v>0</v>
      </c>
      <c r="AK41" s="179">
        <f t="shared" si="4"/>
        <v>0</v>
      </c>
      <c r="AM41" s="200"/>
      <c r="AO41" s="101">
        <f t="shared" si="1"/>
        <v>0</v>
      </c>
      <c r="AP41" s="207"/>
      <c r="AQ41" s="268">
        <f t="shared" si="2"/>
        <v>0</v>
      </c>
      <c r="AR41" s="202"/>
      <c r="AS41" s="202"/>
      <c r="AT41" s="202"/>
      <c r="AU41" s="202"/>
      <c r="AV41" s="202"/>
      <c r="AW41" s="202"/>
      <c r="AX41" s="202"/>
      <c r="AY41" s="202"/>
      <c r="AZ41" s="202"/>
      <c r="BB41" s="202"/>
    </row>
    <row r="42" s="101" customFormat="1" customHeight="1" spans="1:89">
      <c r="A42" s="199">
        <v>23</v>
      </c>
      <c r="C42" s="200"/>
      <c r="I42" s="269" t="s">
        <v>3505</v>
      </c>
      <c r="J42" s="101">
        <v>119.19</v>
      </c>
      <c r="M42" s="235"/>
      <c r="N42" s="202">
        <v>7962.5</v>
      </c>
      <c r="O42" s="158"/>
      <c r="P42" s="203"/>
      <c r="Q42" s="205"/>
      <c r="R42" s="202"/>
      <c r="S42" s="204"/>
      <c r="T42" s="199"/>
      <c r="U42" s="204" t="s">
        <v>400</v>
      </c>
      <c r="V42" s="202"/>
      <c r="W42" s="204"/>
      <c r="X42" s="202"/>
      <c r="Y42" s="205"/>
      <c r="AA42" s="201"/>
      <c r="AB42" s="202"/>
      <c r="AH42" s="202">
        <f t="shared" si="0"/>
        <v>0</v>
      </c>
      <c r="AK42" s="179">
        <f t="shared" si="4"/>
        <v>0</v>
      </c>
      <c r="AM42" s="200"/>
      <c r="AO42" s="101">
        <f t="shared" si="1"/>
        <v>0</v>
      </c>
      <c r="AP42" s="207"/>
      <c r="AQ42" s="268">
        <f t="shared" si="2"/>
        <v>0</v>
      </c>
      <c r="AR42" s="202"/>
      <c r="AS42" s="202"/>
      <c r="AT42" s="202"/>
      <c r="AU42" s="202"/>
      <c r="AV42" s="202"/>
      <c r="AW42" s="202"/>
      <c r="AX42" s="202"/>
      <c r="AY42" s="202"/>
      <c r="AZ42" s="202"/>
      <c r="BB42" s="202"/>
    </row>
    <row r="43" s="101" customFormat="1" customHeight="1" spans="1:89">
      <c r="A43" s="199">
        <v>24</v>
      </c>
      <c r="C43" s="200"/>
      <c r="I43" s="269" t="s">
        <v>3506</v>
      </c>
      <c r="J43" s="101">
        <v>118.97</v>
      </c>
      <c r="M43" s="235"/>
      <c r="N43" s="202">
        <v>8432.5</v>
      </c>
      <c r="O43" s="158"/>
      <c r="P43" s="203"/>
      <c r="Q43" s="205"/>
      <c r="R43" s="202"/>
      <c r="S43" s="204"/>
      <c r="T43" s="199"/>
      <c r="U43" s="204" t="s">
        <v>383</v>
      </c>
      <c r="V43" s="202"/>
      <c r="X43" s="202"/>
      <c r="Y43" s="205"/>
      <c r="AA43" s="201"/>
      <c r="AB43" s="202"/>
      <c r="AH43" s="202">
        <f t="shared" si="0"/>
        <v>0</v>
      </c>
      <c r="AK43" s="179">
        <f t="shared" si="4"/>
        <v>0</v>
      </c>
      <c r="AM43" s="200"/>
      <c r="AO43" s="101">
        <f t="shared" si="1"/>
        <v>0</v>
      </c>
      <c r="AP43" s="207"/>
      <c r="AQ43" s="268">
        <f t="shared" si="2"/>
        <v>0</v>
      </c>
      <c r="AR43" s="202"/>
      <c r="AS43" s="202"/>
      <c r="AT43" s="202"/>
      <c r="AU43" s="202"/>
      <c r="AV43" s="202"/>
      <c r="AW43" s="202"/>
      <c r="AX43" s="202"/>
      <c r="AY43" s="202"/>
      <c r="AZ43" s="202"/>
      <c r="BB43" s="202"/>
    </row>
    <row r="44" s="128" customFormat="1" customHeight="1" spans="1:89">
      <c r="A44" s="272">
        <v>25</v>
      </c>
      <c r="B44" s="128"/>
      <c r="C44" s="184">
        <v>45932</v>
      </c>
      <c r="D44" s="128">
        <v>20250004985</v>
      </c>
      <c r="F44" s="1016" t="s">
        <v>3507</v>
      </c>
      <c r="G44" s="128" t="s">
        <v>3508</v>
      </c>
      <c r="I44" s="276" t="s">
        <v>3509</v>
      </c>
      <c r="J44" s="128">
        <v>117.6</v>
      </c>
      <c r="K44" s="128">
        <v>117.6</v>
      </c>
      <c r="L44" s="128">
        <v>5140</v>
      </c>
      <c r="M44" s="274">
        <v>604464</v>
      </c>
      <c r="N44" s="218">
        <f>5395.6-300</f>
        <v>5095.6</v>
      </c>
      <c r="O44" s="168">
        <v>554554.13</v>
      </c>
      <c r="P44" s="1017" t="s">
        <v>3510</v>
      </c>
      <c r="Q44" s="211">
        <v>45939</v>
      </c>
      <c r="R44" s="218"/>
      <c r="S44" s="219"/>
      <c r="T44" s="272"/>
      <c r="U44" s="219" t="s">
        <v>3511</v>
      </c>
      <c r="V44" s="218">
        <v>6464</v>
      </c>
      <c r="W44" s="211">
        <v>45931</v>
      </c>
      <c r="X44" s="218">
        <v>115000</v>
      </c>
      <c r="Y44" s="211">
        <v>45947</v>
      </c>
      <c r="Z44" s="128">
        <v>483000</v>
      </c>
      <c r="AA44" s="179">
        <v>45960</v>
      </c>
      <c r="AB44" s="218"/>
      <c r="AH44" s="218">
        <f t="shared" si="0"/>
        <v>604464</v>
      </c>
      <c r="AK44" s="179">
        <f t="shared" si="4"/>
        <v>0</v>
      </c>
      <c r="AM44" s="177" t="s">
        <v>3480</v>
      </c>
      <c r="AO44" s="128">
        <f t="shared" si="1"/>
        <v>604464</v>
      </c>
      <c r="AP44" s="173">
        <f>0.7%+0.03%+0.08%+0.03%</f>
        <v>0.0084</v>
      </c>
      <c r="AQ44" s="275">
        <f t="shared" si="2"/>
        <v>0</v>
      </c>
      <c r="AR44" s="218"/>
      <c r="AS44" s="218"/>
      <c r="AT44" s="218"/>
      <c r="AU44" s="218"/>
      <c r="AV44" s="218"/>
      <c r="AW44" s="218"/>
      <c r="AX44" s="218"/>
      <c r="AY44" s="218"/>
      <c r="AZ44" s="218"/>
      <c r="BB44" s="218"/>
      <c r="BZ44" s="128">
        <v>604464</v>
      </c>
      <c r="CI44" s="128" t="s">
        <v>3376</v>
      </c>
      <c r="CK44" s="128" t="s">
        <v>3494</v>
      </c>
    </row>
    <row r="45" s="128" customFormat="1" customHeight="1" spans="1:89">
      <c r="A45" s="272">
        <v>26</v>
      </c>
      <c r="B45" s="128"/>
      <c r="C45" s="184">
        <v>45952</v>
      </c>
      <c r="D45" s="128">
        <v>20250005407</v>
      </c>
      <c r="F45" s="1016" t="s">
        <v>3512</v>
      </c>
      <c r="G45" s="128" t="s">
        <v>3513</v>
      </c>
      <c r="H45" s="1016" t="s">
        <v>3514</v>
      </c>
      <c r="I45" s="276" t="s">
        <v>3515</v>
      </c>
      <c r="J45" s="128">
        <v>117.6</v>
      </c>
      <c r="K45" s="128">
        <v>117.6</v>
      </c>
      <c r="L45" s="128">
        <v>5102.04</v>
      </c>
      <c r="M45" s="274">
        <v>600000</v>
      </c>
      <c r="N45" s="218">
        <f>5385.6-300</f>
        <v>5085.6</v>
      </c>
      <c r="O45" s="168">
        <v>550458.72</v>
      </c>
      <c r="P45" s="1017" t="s">
        <v>3516</v>
      </c>
      <c r="Q45" s="211">
        <v>45954</v>
      </c>
      <c r="R45" s="218"/>
      <c r="S45" s="219"/>
      <c r="T45" s="272"/>
      <c r="U45" s="219" t="s">
        <v>3511</v>
      </c>
      <c r="V45" s="218">
        <v>20000</v>
      </c>
      <c r="W45" s="219">
        <v>45946</v>
      </c>
      <c r="X45" s="218">
        <v>580000</v>
      </c>
      <c r="Y45" s="211">
        <v>45952</v>
      </c>
      <c r="AA45" s="179"/>
      <c r="AB45" s="218"/>
      <c r="AH45" s="218">
        <f t="shared" si="0"/>
        <v>600000</v>
      </c>
      <c r="AK45" s="179">
        <f t="shared" si="4"/>
        <v>0</v>
      </c>
      <c r="AM45" s="177" t="s">
        <v>3480</v>
      </c>
      <c r="AO45" s="128">
        <f t="shared" si="1"/>
        <v>600000</v>
      </c>
      <c r="AP45" s="173">
        <f>0.7%+0.03%+0.08%+0.03%</f>
        <v>0.0084</v>
      </c>
      <c r="AQ45" s="275">
        <f t="shared" si="2"/>
        <v>0</v>
      </c>
      <c r="AR45" s="218"/>
      <c r="AS45" s="218"/>
      <c r="AT45" s="218"/>
      <c r="AU45" s="218"/>
      <c r="AV45" s="218"/>
      <c r="AW45" s="218"/>
      <c r="AX45" s="218"/>
      <c r="AY45" s="218"/>
      <c r="AZ45" s="218"/>
      <c r="BB45" s="218"/>
      <c r="BZ45" s="128">
        <v>600000</v>
      </c>
      <c r="CI45" s="128" t="s">
        <v>3376</v>
      </c>
      <c r="CK45" s="128" t="s">
        <v>3494</v>
      </c>
    </row>
    <row r="46" s="128" customFormat="1" customHeight="1" spans="1:89">
      <c r="A46" s="272">
        <v>27</v>
      </c>
      <c r="B46" s="128"/>
      <c r="C46" s="184">
        <v>45741</v>
      </c>
      <c r="D46" s="128">
        <v>20250001579</v>
      </c>
      <c r="F46" s="1016" t="s">
        <v>3517</v>
      </c>
      <c r="G46" s="128" t="s">
        <v>3518</v>
      </c>
      <c r="H46" s="1016" t="s">
        <v>3519</v>
      </c>
      <c r="I46" s="276" t="s">
        <v>3520</v>
      </c>
      <c r="J46" s="128">
        <v>117.6</v>
      </c>
      <c r="K46" s="128">
        <v>117.6</v>
      </c>
      <c r="L46" s="128">
        <v>5500</v>
      </c>
      <c r="M46" s="274">
        <v>646800</v>
      </c>
      <c r="N46" s="218">
        <v>5840.88</v>
      </c>
      <c r="O46" s="168">
        <v>593394.5</v>
      </c>
      <c r="P46" s="1017" t="s">
        <v>3521</v>
      </c>
      <c r="Q46" s="211">
        <v>45856</v>
      </c>
      <c r="R46" s="218"/>
      <c r="S46" s="219"/>
      <c r="T46" s="272"/>
      <c r="U46" s="219" t="s">
        <v>3522</v>
      </c>
      <c r="V46" s="218">
        <v>20000</v>
      </c>
      <c r="W46" s="219" t="s">
        <v>3523</v>
      </c>
      <c r="X46" s="218">
        <v>11470</v>
      </c>
      <c r="Y46" s="219" t="s">
        <v>3524</v>
      </c>
      <c r="Z46" s="218">
        <v>66000</v>
      </c>
      <c r="AA46" s="219" t="s">
        <v>913</v>
      </c>
      <c r="AB46" s="218">
        <v>549000</v>
      </c>
      <c r="AC46" s="128" t="s">
        <v>3525</v>
      </c>
      <c r="AD46" s="128">
        <v>330</v>
      </c>
      <c r="AE46" s="128" t="s">
        <v>3370</v>
      </c>
      <c r="AH46" s="218">
        <f t="shared" si="0"/>
        <v>646800</v>
      </c>
      <c r="AK46" s="179">
        <f t="shared" si="4"/>
        <v>0</v>
      </c>
      <c r="AL46" s="128">
        <v>18394530413</v>
      </c>
      <c r="AM46" s="177" t="s">
        <v>3450</v>
      </c>
      <c r="AO46" s="128">
        <f t="shared" si="1"/>
        <v>646800</v>
      </c>
      <c r="AP46" s="173">
        <f>0.6%+0.04%+0.12%+0.03%</f>
        <v>0.0079</v>
      </c>
      <c r="AQ46" s="275">
        <f t="shared" si="2"/>
        <v>0</v>
      </c>
      <c r="AR46" s="218"/>
      <c r="AS46" s="218"/>
      <c r="AT46" s="218"/>
      <c r="AU46" s="218"/>
      <c r="AV46" s="218"/>
      <c r="AW46" s="218"/>
      <c r="AX46" s="218"/>
      <c r="AY46" s="218"/>
      <c r="AZ46" s="218"/>
      <c r="BB46" s="218"/>
      <c r="BT46" s="128">
        <v>646800</v>
      </c>
      <c r="CI46" s="128" t="s">
        <v>376</v>
      </c>
      <c r="CK46" s="128" t="s">
        <v>377</v>
      </c>
    </row>
    <row r="47" s="128" customFormat="1" customHeight="1" spans="1:89">
      <c r="A47" s="272">
        <v>28</v>
      </c>
      <c r="B47" s="128"/>
      <c r="C47" s="184">
        <v>45671</v>
      </c>
      <c r="D47" s="128">
        <v>20250000256</v>
      </c>
      <c r="F47" s="1016" t="s">
        <v>3526</v>
      </c>
      <c r="G47" s="177" t="s">
        <v>3527</v>
      </c>
      <c r="H47" s="1016" t="s">
        <v>2622</v>
      </c>
      <c r="I47" s="276" t="s">
        <v>3528</v>
      </c>
      <c r="J47" s="128">
        <v>117.6</v>
      </c>
      <c r="K47" s="128">
        <v>117.6</v>
      </c>
      <c r="L47" s="128">
        <v>5657.65</v>
      </c>
      <c r="M47" s="274">
        <v>640062</v>
      </c>
      <c r="N47" s="218">
        <v>5785.88</v>
      </c>
      <c r="O47" s="168">
        <v>587212.84</v>
      </c>
      <c r="P47" s="1017" t="s">
        <v>3529</v>
      </c>
      <c r="Q47" s="211">
        <v>45856</v>
      </c>
      <c r="R47" s="218"/>
      <c r="S47" s="219"/>
      <c r="T47" s="272"/>
      <c r="U47" s="219" t="s">
        <v>393</v>
      </c>
      <c r="V47" s="218">
        <v>20000</v>
      </c>
      <c r="W47" s="219" t="s">
        <v>1022</v>
      </c>
      <c r="X47" s="218">
        <v>279000</v>
      </c>
      <c r="Y47" s="219" t="s">
        <v>3530</v>
      </c>
      <c r="Z47" s="128">
        <v>1735</v>
      </c>
      <c r="AA47" s="179" t="s">
        <v>3531</v>
      </c>
      <c r="AB47" s="218">
        <v>339000</v>
      </c>
      <c r="AC47" s="219" t="s">
        <v>3416</v>
      </c>
      <c r="AD47" s="218">
        <v>327</v>
      </c>
      <c r="AE47" s="219" t="s">
        <v>3370</v>
      </c>
      <c r="AH47" s="218">
        <f t="shared" si="0"/>
        <v>640062</v>
      </c>
      <c r="AK47" s="179">
        <f t="shared" si="4"/>
        <v>0</v>
      </c>
      <c r="AL47" s="128">
        <v>17609962370</v>
      </c>
      <c r="AM47" s="177" t="s">
        <v>3480</v>
      </c>
      <c r="AO47" s="128">
        <f t="shared" si="1"/>
        <v>639735</v>
      </c>
      <c r="AP47" s="173">
        <f>0.4%+0.03%+0.08%+0.03%</f>
        <v>0.0054</v>
      </c>
      <c r="AQ47" s="275">
        <f t="shared" si="2"/>
        <v>0</v>
      </c>
      <c r="AR47" s="218"/>
      <c r="AS47" s="218"/>
      <c r="AT47" s="218"/>
      <c r="AU47" s="218"/>
      <c r="AV47" s="218"/>
      <c r="AW47" s="218"/>
      <c r="AX47" s="218"/>
      <c r="AY47" s="218"/>
      <c r="AZ47" s="218"/>
      <c r="BB47" s="218"/>
      <c r="BQ47" s="128">
        <v>240735</v>
      </c>
      <c r="BS47" s="128">
        <v>399000</v>
      </c>
      <c r="CI47" s="128" t="s">
        <v>376</v>
      </c>
      <c r="CK47" s="128" t="s">
        <v>377</v>
      </c>
    </row>
    <row r="48" s="128" customFormat="1" customHeight="1" spans="1:89">
      <c r="A48" s="272">
        <v>29</v>
      </c>
      <c r="B48" s="128"/>
      <c r="C48" s="184">
        <v>45780</v>
      </c>
      <c r="D48" s="128">
        <v>20250002457</v>
      </c>
      <c r="F48" s="1016" t="s">
        <v>3532</v>
      </c>
      <c r="G48" s="128" t="s">
        <v>3533</v>
      </c>
      <c r="H48" s="1016" t="s">
        <v>3534</v>
      </c>
      <c r="I48" s="276" t="s">
        <v>3535</v>
      </c>
      <c r="J48" s="128">
        <v>117.6</v>
      </c>
      <c r="K48" s="128">
        <v>117.6</v>
      </c>
      <c r="L48" s="128">
        <v>5850</v>
      </c>
      <c r="M48" s="274">
        <v>687960</v>
      </c>
      <c r="N48" s="218">
        <v>5850</v>
      </c>
      <c r="O48" s="168">
        <v>631155.96</v>
      </c>
      <c r="P48" s="1017" t="s">
        <v>3536</v>
      </c>
      <c r="Q48" s="211">
        <v>45827</v>
      </c>
      <c r="R48" s="218"/>
      <c r="S48" s="219"/>
      <c r="T48" s="272"/>
      <c r="U48" s="219" t="s">
        <v>677</v>
      </c>
      <c r="V48" s="218">
        <v>7609</v>
      </c>
      <c r="W48" s="219" t="s">
        <v>3537</v>
      </c>
      <c r="X48" s="218">
        <v>10000</v>
      </c>
      <c r="Y48" s="219" t="s">
        <v>3401</v>
      </c>
      <c r="Z48" s="218">
        <v>351</v>
      </c>
      <c r="AA48" s="219" t="s">
        <v>3486</v>
      </c>
      <c r="AB48" s="218">
        <v>50000</v>
      </c>
      <c r="AC48" s="128" t="s">
        <v>3538</v>
      </c>
      <c r="AD48" s="128">
        <v>50000</v>
      </c>
      <c r="AE48" s="128" t="s">
        <v>3133</v>
      </c>
      <c r="AF48" s="218">
        <f>120000+450000</f>
        <v>570000</v>
      </c>
      <c r="AG48" s="278" t="s">
        <v>3539</v>
      </c>
      <c r="AH48" s="218">
        <f t="shared" si="0"/>
        <v>687960</v>
      </c>
      <c r="AK48" s="179">
        <f t="shared" si="4"/>
        <v>0</v>
      </c>
      <c r="AL48" s="128">
        <v>13999625956</v>
      </c>
      <c r="AM48" s="177" t="s">
        <v>3408</v>
      </c>
      <c r="AO48" s="128">
        <f t="shared" si="1"/>
        <v>687960</v>
      </c>
      <c r="AP48" s="173">
        <f>0.7%+0.03%+0.12%+0.03%</f>
        <v>0.0088</v>
      </c>
      <c r="AQ48" s="275">
        <f t="shared" si="2"/>
        <v>0</v>
      </c>
      <c r="AR48" s="218"/>
      <c r="AS48" s="218"/>
      <c r="AT48" s="218"/>
      <c r="AU48" s="218"/>
      <c r="AV48" s="218"/>
      <c r="AW48" s="218"/>
      <c r="AX48" s="218"/>
      <c r="AY48" s="218"/>
      <c r="AZ48" s="218"/>
      <c r="BB48" s="218"/>
      <c r="BV48" s="128">
        <v>237960</v>
      </c>
      <c r="CE48" s="128">
        <v>450000</v>
      </c>
      <c r="CI48" s="128" t="s">
        <v>376</v>
      </c>
      <c r="CK48" s="128" t="s">
        <v>377</v>
      </c>
    </row>
    <row r="49" s="128" customFormat="1" customHeight="1" spans="1:89">
      <c r="A49" s="272">
        <v>30</v>
      </c>
      <c r="C49" s="184">
        <v>45966</v>
      </c>
      <c r="D49" s="128">
        <v>20250005664</v>
      </c>
      <c r="E49" s="128" t="s">
        <v>3540</v>
      </c>
      <c r="F49" s="1016" t="s">
        <v>3541</v>
      </c>
      <c r="G49" s="128" t="s">
        <v>3542</v>
      </c>
      <c r="I49" s="276" t="s">
        <v>3543</v>
      </c>
      <c r="J49" s="128">
        <v>117.6</v>
      </c>
      <c r="K49" s="128">
        <v>117.6</v>
      </c>
      <c r="M49" s="274">
        <v>727233</v>
      </c>
      <c r="N49" s="218">
        <v>5815.88</v>
      </c>
      <c r="O49" s="168"/>
      <c r="P49" s="279"/>
      <c r="Q49" s="211"/>
      <c r="R49" s="218"/>
      <c r="S49" s="219"/>
      <c r="T49" s="272"/>
      <c r="U49" s="219"/>
      <c r="V49" s="218">
        <v>140000</v>
      </c>
      <c r="W49" s="219">
        <v>45965</v>
      </c>
      <c r="X49" s="218">
        <v>60000</v>
      </c>
      <c r="Y49" s="211">
        <v>45966</v>
      </c>
      <c r="Z49" s="218">
        <v>200000</v>
      </c>
      <c r="AA49" s="219">
        <v>46009</v>
      </c>
      <c r="AB49" s="218">
        <f>95000+105000</f>
        <v>200000</v>
      </c>
      <c r="AC49" s="219">
        <v>45665</v>
      </c>
      <c r="AD49" s="218">
        <v>127233</v>
      </c>
      <c r="AE49" s="219">
        <v>46054</v>
      </c>
      <c r="AH49" s="218">
        <f t="shared" si="0"/>
        <v>727233</v>
      </c>
      <c r="AK49" s="179">
        <f t="shared" si="4"/>
        <v>0</v>
      </c>
      <c r="AM49" s="177"/>
      <c r="AO49" s="128">
        <f t="shared" si="1"/>
        <v>0</v>
      </c>
      <c r="AP49" s="173"/>
      <c r="AQ49" s="275">
        <f t="shared" si="2"/>
        <v>0</v>
      </c>
      <c r="AR49" s="218"/>
      <c r="AS49" s="218"/>
      <c r="AT49" s="218"/>
      <c r="AU49" s="218"/>
      <c r="AV49" s="218"/>
      <c r="AW49" s="218"/>
      <c r="AX49" s="218"/>
      <c r="AY49" s="218"/>
      <c r="AZ49" s="218"/>
      <c r="BB49" s="218"/>
      <c r="CI49" s="128" t="s">
        <v>376</v>
      </c>
      <c r="CK49" s="128" t="s">
        <v>377</v>
      </c>
    </row>
    <row r="50" s="128" customFormat="1" customHeight="1" spans="1:89">
      <c r="A50" s="272">
        <v>31</v>
      </c>
      <c r="B50" s="128"/>
      <c r="C50" s="184">
        <v>45566</v>
      </c>
      <c r="D50" s="128">
        <v>20240005506</v>
      </c>
      <c r="F50" s="128" t="s">
        <v>3544</v>
      </c>
      <c r="G50" s="128" t="s">
        <v>3545</v>
      </c>
      <c r="H50" s="1016" t="s">
        <v>3546</v>
      </c>
      <c r="I50" s="276" t="s">
        <v>3547</v>
      </c>
      <c r="J50" s="128">
        <v>117.6</v>
      </c>
      <c r="K50" s="128">
        <v>117.6</v>
      </c>
      <c r="L50" s="272">
        <v>5785.26</v>
      </c>
      <c r="M50" s="274">
        <v>680347</v>
      </c>
      <c r="N50" s="218">
        <v>5785.265</v>
      </c>
      <c r="O50" s="168">
        <v>624171.56</v>
      </c>
      <c r="P50" s="1017" t="s">
        <v>3548</v>
      </c>
      <c r="Q50" s="211">
        <v>45856</v>
      </c>
      <c r="R50" s="218"/>
      <c r="S50" s="219"/>
      <c r="T50" s="272"/>
      <c r="U50" s="219" t="s">
        <v>496</v>
      </c>
      <c r="V50" s="218">
        <v>110000</v>
      </c>
      <c r="W50" s="219" t="s">
        <v>3549</v>
      </c>
      <c r="X50" s="218">
        <v>140000</v>
      </c>
      <c r="Y50" s="219" t="s">
        <v>374</v>
      </c>
      <c r="Z50" s="218">
        <v>430000</v>
      </c>
      <c r="AA50" s="219" t="s">
        <v>507</v>
      </c>
      <c r="AB50" s="218">
        <v>347</v>
      </c>
      <c r="AC50" s="219" t="s">
        <v>3370</v>
      </c>
      <c r="AH50" s="218">
        <f t="shared" si="0"/>
        <v>680347</v>
      </c>
      <c r="AK50" s="179">
        <f t="shared" ref="AK50:AK62" si="5">M50-AH50</f>
        <v>0</v>
      </c>
      <c r="AL50" s="128">
        <v>18233138794</v>
      </c>
      <c r="AM50" s="177" t="s">
        <v>3550</v>
      </c>
      <c r="AO50" s="128">
        <f t="shared" si="1"/>
        <v>680000</v>
      </c>
      <c r="AP50" s="173">
        <f>0.4%+0.02%+0.1%</f>
        <v>0.0052</v>
      </c>
      <c r="AQ50" s="275">
        <f t="shared" si="2"/>
        <v>0</v>
      </c>
      <c r="AR50" s="218"/>
      <c r="AS50" s="218"/>
      <c r="AT50" s="218"/>
      <c r="AU50" s="218"/>
      <c r="AV50" s="218"/>
      <c r="AW50" s="218"/>
      <c r="AX50" s="218"/>
      <c r="AY50" s="218"/>
      <c r="AZ50" s="218"/>
      <c r="BB50" s="218"/>
      <c r="BN50" s="128">
        <v>250000</v>
      </c>
      <c r="BO50" s="128">
        <v>430000</v>
      </c>
      <c r="CI50" s="128" t="s">
        <v>376</v>
      </c>
      <c r="CK50" s="128" t="s">
        <v>377</v>
      </c>
    </row>
    <row r="51" s="128" customFormat="1" customHeight="1" spans="1:89">
      <c r="A51" s="272">
        <v>32</v>
      </c>
      <c r="C51" s="184">
        <v>45486</v>
      </c>
      <c r="D51" s="128">
        <v>20240003996</v>
      </c>
      <c r="F51" s="1016" t="s">
        <v>3551</v>
      </c>
      <c r="G51" s="128" t="s">
        <v>3552</v>
      </c>
      <c r="I51" s="276" t="s">
        <v>3553</v>
      </c>
      <c r="J51" s="128">
        <v>117.6</v>
      </c>
      <c r="K51" s="128">
        <v>117.6</v>
      </c>
      <c r="L51" s="272">
        <v>5938.4</v>
      </c>
      <c r="M51" s="274">
        <v>698356</v>
      </c>
      <c r="N51" s="218">
        <v>5885.88</v>
      </c>
      <c r="O51" s="168">
        <v>640693.58</v>
      </c>
      <c r="P51" s="1017" t="s">
        <v>3554</v>
      </c>
      <c r="Q51" s="211">
        <v>45856</v>
      </c>
      <c r="R51" s="218"/>
      <c r="S51" s="219"/>
      <c r="T51" s="272"/>
      <c r="U51" s="219" t="s">
        <v>373</v>
      </c>
      <c r="V51" s="218">
        <v>142000</v>
      </c>
      <c r="W51" s="219" t="s">
        <v>3555</v>
      </c>
      <c r="X51" s="218">
        <v>58000</v>
      </c>
      <c r="Y51" s="219" t="s">
        <v>3556</v>
      </c>
      <c r="Z51" s="218">
        <v>498000</v>
      </c>
      <c r="AA51" s="219" t="s">
        <v>474</v>
      </c>
      <c r="AB51" s="218">
        <v>356</v>
      </c>
      <c r="AC51" s="219" t="s">
        <v>3557</v>
      </c>
      <c r="AH51" s="218">
        <f t="shared" si="0"/>
        <v>698356</v>
      </c>
      <c r="AK51" s="179">
        <f t="shared" si="5"/>
        <v>0</v>
      </c>
      <c r="AL51" s="128">
        <v>19180421997</v>
      </c>
      <c r="AM51" s="177"/>
      <c r="AO51" s="128">
        <f t="shared" si="1"/>
        <v>698000</v>
      </c>
      <c r="AP51" s="173">
        <f>0.7%+0.04%+0.08%</f>
        <v>0.0082</v>
      </c>
      <c r="AQ51" s="275">
        <f t="shared" si="2"/>
        <v>0</v>
      </c>
      <c r="AR51" s="218"/>
      <c r="AS51" s="218"/>
      <c r="AT51" s="218"/>
      <c r="AU51" s="218"/>
      <c r="AV51" s="218"/>
      <c r="AW51" s="218"/>
      <c r="AX51" s="218"/>
      <c r="AY51" s="218"/>
      <c r="AZ51" s="218"/>
      <c r="BB51" s="218"/>
      <c r="BN51" s="128">
        <v>200000</v>
      </c>
      <c r="BO51" s="128">
        <v>498000</v>
      </c>
      <c r="CI51" s="128" t="s">
        <v>376</v>
      </c>
      <c r="CK51" s="128" t="s">
        <v>377</v>
      </c>
    </row>
    <row r="52" s="128" customFormat="1" customHeight="1" spans="1:89">
      <c r="A52" s="272">
        <v>33</v>
      </c>
      <c r="B52" s="128"/>
      <c r="C52" s="184">
        <v>45712</v>
      </c>
      <c r="D52" s="128">
        <v>20250000804</v>
      </c>
      <c r="F52" s="1016" t="s">
        <v>3558</v>
      </c>
      <c r="G52" s="177" t="s">
        <v>3559</v>
      </c>
      <c r="H52" s="1016" t="s">
        <v>3560</v>
      </c>
      <c r="I52" s="276" t="s">
        <v>3561</v>
      </c>
      <c r="J52" s="128">
        <v>117.6</v>
      </c>
      <c r="K52" s="128">
        <v>117.6</v>
      </c>
      <c r="L52" s="128">
        <v>5683.17</v>
      </c>
      <c r="M52" s="274">
        <v>668341</v>
      </c>
      <c r="N52" s="218">
        <v>5683.17</v>
      </c>
      <c r="O52" s="168">
        <v>613156.8</v>
      </c>
      <c r="P52" s="1017" t="s">
        <v>3562</v>
      </c>
      <c r="Q52" s="211">
        <v>45856</v>
      </c>
      <c r="R52" s="218"/>
      <c r="S52" s="219"/>
      <c r="T52" s="1017" t="s">
        <v>3563</v>
      </c>
      <c r="U52" s="219" t="s">
        <v>410</v>
      </c>
      <c r="V52" s="218">
        <v>5000</v>
      </c>
      <c r="W52" s="219" t="s">
        <v>3415</v>
      </c>
      <c r="X52" s="218">
        <v>100000</v>
      </c>
      <c r="Y52" s="219" t="s">
        <v>526</v>
      </c>
      <c r="Z52" s="218">
        <v>235000</v>
      </c>
      <c r="AA52" s="128" t="s">
        <v>489</v>
      </c>
      <c r="AB52" s="218">
        <v>200000</v>
      </c>
      <c r="AC52" s="219" t="s">
        <v>3525</v>
      </c>
      <c r="AD52" s="128">
        <v>128000</v>
      </c>
      <c r="AE52" s="128" t="s">
        <v>3564</v>
      </c>
      <c r="AF52" s="128">
        <v>341</v>
      </c>
      <c r="AG52" s="128" t="s">
        <v>2807</v>
      </c>
      <c r="AH52" s="218">
        <f t="shared" si="0"/>
        <v>668341</v>
      </c>
      <c r="AK52" s="179">
        <f t="shared" si="5"/>
        <v>0</v>
      </c>
      <c r="AL52" s="128">
        <v>15026342941</v>
      </c>
      <c r="AM52" s="177" t="s">
        <v>3480</v>
      </c>
      <c r="AO52" s="128">
        <f t="shared" si="1"/>
        <v>668341</v>
      </c>
      <c r="AP52" s="173">
        <f>0.6%+0.1%+0.03%</f>
        <v>0.0073</v>
      </c>
      <c r="AQ52" s="275">
        <f t="shared" si="2"/>
        <v>0</v>
      </c>
      <c r="AR52" s="218"/>
      <c r="AS52" s="218"/>
      <c r="AT52" s="218"/>
      <c r="AU52" s="218"/>
      <c r="AV52" s="218"/>
      <c r="AW52" s="218"/>
      <c r="AX52" s="218"/>
      <c r="AY52" s="218"/>
      <c r="AZ52" s="218"/>
      <c r="BB52" s="218"/>
      <c r="BT52" s="128">
        <v>668341</v>
      </c>
      <c r="CI52" s="128" t="s">
        <v>376</v>
      </c>
      <c r="CK52" s="128" t="s">
        <v>377</v>
      </c>
    </row>
    <row r="53" s="128" customFormat="1" customHeight="1" spans="1:89">
      <c r="A53" s="272">
        <v>34</v>
      </c>
      <c r="B53" s="128"/>
      <c r="C53" s="184">
        <v>45603</v>
      </c>
      <c r="D53" s="128">
        <v>20240006501</v>
      </c>
      <c r="F53" s="1016" t="s">
        <v>3565</v>
      </c>
      <c r="G53" s="128" t="s">
        <v>3566</v>
      </c>
      <c r="I53" s="276" t="s">
        <v>3567</v>
      </c>
      <c r="J53" s="128">
        <v>117.6</v>
      </c>
      <c r="K53" s="128">
        <v>117.6</v>
      </c>
      <c r="L53" s="128">
        <v>5870.34</v>
      </c>
      <c r="M53" s="274">
        <v>690352</v>
      </c>
      <c r="N53" s="218">
        <v>5950.88</v>
      </c>
      <c r="O53" s="168">
        <v>633350.46</v>
      </c>
      <c r="P53" s="1017" t="s">
        <v>3568</v>
      </c>
      <c r="Q53" s="211">
        <v>45856</v>
      </c>
      <c r="R53" s="218"/>
      <c r="S53" s="219"/>
      <c r="T53" s="272"/>
      <c r="U53" s="219" t="s">
        <v>373</v>
      </c>
      <c r="V53" s="218">
        <v>212000</v>
      </c>
      <c r="W53" s="219" t="s">
        <v>3569</v>
      </c>
      <c r="X53" s="218">
        <v>88000</v>
      </c>
      <c r="Y53" s="219" t="s">
        <v>787</v>
      </c>
      <c r="Z53" s="218">
        <v>390000</v>
      </c>
      <c r="AA53" s="219" t="s">
        <v>488</v>
      </c>
      <c r="AB53" s="218">
        <v>352</v>
      </c>
      <c r="AC53" s="219" t="s">
        <v>3370</v>
      </c>
      <c r="AH53" s="218">
        <f t="shared" si="0"/>
        <v>690352</v>
      </c>
      <c r="AK53" s="179">
        <f t="shared" si="5"/>
        <v>0</v>
      </c>
      <c r="AM53" s="177" t="s">
        <v>3402</v>
      </c>
      <c r="AO53" s="128">
        <f t="shared" si="1"/>
        <v>690000</v>
      </c>
      <c r="AP53" s="173">
        <f>0.5%+0.05%+0.08%+0.03%</f>
        <v>0.0066</v>
      </c>
      <c r="AQ53" s="275">
        <f t="shared" si="2"/>
        <v>0</v>
      </c>
      <c r="AR53" s="218"/>
      <c r="AS53" s="218"/>
      <c r="AT53" s="218"/>
      <c r="AU53" s="218"/>
      <c r="AV53" s="218"/>
      <c r="AW53" s="218"/>
      <c r="AX53" s="218"/>
      <c r="AY53" s="218"/>
      <c r="AZ53" s="218"/>
      <c r="BB53" s="218"/>
      <c r="BO53" s="128">
        <v>212000</v>
      </c>
      <c r="BQ53" s="128">
        <v>478000</v>
      </c>
      <c r="CI53" s="128" t="s">
        <v>376</v>
      </c>
      <c r="CK53" s="128" t="s">
        <v>377</v>
      </c>
    </row>
    <row r="54" s="128" customFormat="1" customHeight="1" spans="1:89">
      <c r="A54" s="272">
        <v>35</v>
      </c>
      <c r="B54" s="128"/>
      <c r="C54" s="184">
        <v>45566</v>
      </c>
      <c r="D54" s="128">
        <v>20240005501</v>
      </c>
      <c r="F54" s="128" t="s">
        <v>3570</v>
      </c>
      <c r="G54" s="128" t="s">
        <v>3571</v>
      </c>
      <c r="H54" s="1016" t="s">
        <v>3572</v>
      </c>
      <c r="I54" s="276" t="s">
        <v>3573</v>
      </c>
      <c r="J54" s="128">
        <v>117.6</v>
      </c>
      <c r="K54" s="128">
        <v>117.6</v>
      </c>
      <c r="L54" s="272">
        <v>5819.3</v>
      </c>
      <c r="M54" s="274">
        <v>684349</v>
      </c>
      <c r="N54" s="277">
        <v>5819.295</v>
      </c>
      <c r="O54" s="168">
        <v>627843.12</v>
      </c>
      <c r="P54" s="1017" t="s">
        <v>3574</v>
      </c>
      <c r="Q54" s="211">
        <v>45856</v>
      </c>
      <c r="R54" s="218"/>
      <c r="S54" s="219"/>
      <c r="T54" s="272"/>
      <c r="U54" s="219" t="s">
        <v>383</v>
      </c>
      <c r="V54" s="218">
        <v>20000</v>
      </c>
      <c r="W54" s="219" t="s">
        <v>3549</v>
      </c>
      <c r="X54" s="218">
        <v>217000</v>
      </c>
      <c r="Y54" s="219" t="s">
        <v>374</v>
      </c>
      <c r="Z54" s="128">
        <v>67000</v>
      </c>
      <c r="AA54" s="179" t="s">
        <v>487</v>
      </c>
      <c r="AB54" s="218">
        <v>380000</v>
      </c>
      <c r="AC54" s="219" t="s">
        <v>507</v>
      </c>
      <c r="AD54" s="218">
        <v>349</v>
      </c>
      <c r="AE54" s="219" t="s">
        <v>2807</v>
      </c>
      <c r="AH54" s="218">
        <f t="shared" si="0"/>
        <v>684349</v>
      </c>
      <c r="AK54" s="179">
        <f t="shared" si="5"/>
        <v>0</v>
      </c>
      <c r="AL54" s="128">
        <v>15026057540</v>
      </c>
      <c r="AM54" s="177"/>
      <c r="AO54" s="128">
        <f t="shared" si="1"/>
        <v>684000</v>
      </c>
      <c r="AP54" s="173">
        <f>0.6%+0.1%</f>
        <v>0.007</v>
      </c>
      <c r="AQ54" s="275">
        <f t="shared" si="2"/>
        <v>0</v>
      </c>
      <c r="AR54" s="218"/>
      <c r="AS54" s="218"/>
      <c r="AT54" s="218"/>
      <c r="AU54" s="218"/>
      <c r="AV54" s="218"/>
      <c r="AW54" s="218"/>
      <c r="AX54" s="218"/>
      <c r="AY54" s="218"/>
      <c r="AZ54" s="218"/>
      <c r="BB54" s="218"/>
      <c r="BN54" s="128">
        <v>304000</v>
      </c>
      <c r="BO54" s="128">
        <v>380000</v>
      </c>
      <c r="CI54" s="128" t="s">
        <v>376</v>
      </c>
      <c r="CK54" s="128" t="s">
        <v>377</v>
      </c>
    </row>
    <row r="55" s="128" customFormat="1" customHeight="1" spans="1:89">
      <c r="A55" s="272">
        <v>36</v>
      </c>
      <c r="B55" s="128"/>
      <c r="C55" s="184">
        <v>45566</v>
      </c>
      <c r="D55" s="128">
        <v>20240005494</v>
      </c>
      <c r="F55" s="1016" t="s">
        <v>3575</v>
      </c>
      <c r="G55" s="128" t="s">
        <v>3576</v>
      </c>
      <c r="I55" s="276" t="s">
        <v>3577</v>
      </c>
      <c r="J55" s="128">
        <v>117.6</v>
      </c>
      <c r="K55" s="128">
        <v>117.6</v>
      </c>
      <c r="L55" s="128">
        <v>5650</v>
      </c>
      <c r="M55" s="274">
        <v>664440</v>
      </c>
      <c r="N55" s="218">
        <v>5650</v>
      </c>
      <c r="O55" s="168">
        <v>609577.9</v>
      </c>
      <c r="P55" s="1017" t="s">
        <v>3578</v>
      </c>
      <c r="Q55" s="211">
        <v>45856</v>
      </c>
      <c r="R55" s="218"/>
      <c r="S55" s="219"/>
      <c r="T55" s="272"/>
      <c r="U55" s="219" t="s">
        <v>410</v>
      </c>
      <c r="V55" s="218">
        <v>20000</v>
      </c>
      <c r="W55" s="219" t="s">
        <v>3549</v>
      </c>
      <c r="X55" s="218">
        <f>150000+164101</f>
        <v>314101</v>
      </c>
      <c r="Y55" s="219" t="s">
        <v>374</v>
      </c>
      <c r="Z55" s="218">
        <v>330000</v>
      </c>
      <c r="AA55" s="219" t="s">
        <v>509</v>
      </c>
      <c r="AB55" s="218">
        <v>339</v>
      </c>
      <c r="AC55" s="219" t="s">
        <v>3370</v>
      </c>
      <c r="AH55" s="218">
        <f t="shared" si="0"/>
        <v>664440</v>
      </c>
      <c r="AK55" s="179">
        <f t="shared" si="5"/>
        <v>0</v>
      </c>
      <c r="AL55" s="128">
        <v>18106436811</v>
      </c>
      <c r="AM55" s="177" t="s">
        <v>3579</v>
      </c>
      <c r="AO55" s="128">
        <f t="shared" si="1"/>
        <v>664101</v>
      </c>
      <c r="AP55" s="173">
        <f>0.7%+0.1%</f>
        <v>0.008</v>
      </c>
      <c r="AQ55" s="275">
        <f t="shared" si="2"/>
        <v>0</v>
      </c>
      <c r="AR55" s="218"/>
      <c r="AS55" s="218"/>
      <c r="AT55" s="218"/>
      <c r="AU55" s="218"/>
      <c r="AV55" s="218"/>
      <c r="AW55" s="218"/>
      <c r="AX55" s="218"/>
      <c r="AY55" s="218"/>
      <c r="AZ55" s="218"/>
      <c r="BB55" s="218"/>
      <c r="BO55" s="128">
        <v>664101</v>
      </c>
      <c r="CI55" s="128" t="s">
        <v>376</v>
      </c>
      <c r="CK55" s="128" t="s">
        <v>377</v>
      </c>
    </row>
    <row r="56" s="128" customFormat="1" customHeight="1" spans="1:89">
      <c r="A56" s="272">
        <v>37</v>
      </c>
      <c r="B56" s="128"/>
      <c r="C56" s="184">
        <v>45620</v>
      </c>
      <c r="D56" s="128">
        <v>20240006776</v>
      </c>
      <c r="F56" s="1016" t="s">
        <v>3580</v>
      </c>
      <c r="G56" s="128" t="s">
        <v>3581</v>
      </c>
      <c r="I56" s="276" t="s">
        <v>3582</v>
      </c>
      <c r="J56" s="128">
        <v>117.6</v>
      </c>
      <c r="K56" s="128">
        <v>117.6</v>
      </c>
      <c r="L56" s="128">
        <v>5756.99</v>
      </c>
      <c r="M56" s="274">
        <v>677022</v>
      </c>
      <c r="N56" s="218">
        <v>6075.88</v>
      </c>
      <c r="O56" s="168">
        <v>621121.1</v>
      </c>
      <c r="P56" s="1017" t="s">
        <v>3583</v>
      </c>
      <c r="Q56" s="211">
        <v>45856</v>
      </c>
      <c r="R56" s="218"/>
      <c r="S56" s="219"/>
      <c r="T56" s="272"/>
      <c r="U56" s="219" t="s">
        <v>410</v>
      </c>
      <c r="V56" s="218">
        <v>85677</v>
      </c>
      <c r="W56" s="219" t="s">
        <v>3485</v>
      </c>
      <c r="X56" s="218">
        <v>50000</v>
      </c>
      <c r="Y56" s="219" t="s">
        <v>3584</v>
      </c>
      <c r="Z56" s="218">
        <v>541000</v>
      </c>
      <c r="AA56" s="219" t="s">
        <v>1209</v>
      </c>
      <c r="AB56" s="218">
        <v>345</v>
      </c>
      <c r="AC56" s="219" t="s">
        <v>3393</v>
      </c>
      <c r="AH56" s="218">
        <f t="shared" si="0"/>
        <v>677022</v>
      </c>
      <c r="AK56" s="179">
        <f t="shared" si="5"/>
        <v>0</v>
      </c>
      <c r="AL56" s="128">
        <v>13201019507</v>
      </c>
      <c r="AM56" s="177" t="s">
        <v>3585</v>
      </c>
      <c r="AO56" s="128">
        <f t="shared" si="1"/>
        <v>676677</v>
      </c>
      <c r="AP56" s="173">
        <f>0.6%+0.08%+0.03%</f>
        <v>0.0071</v>
      </c>
      <c r="AQ56" s="275">
        <f t="shared" si="2"/>
        <v>0</v>
      </c>
      <c r="AR56" s="218"/>
      <c r="AS56" s="218"/>
      <c r="AT56" s="218"/>
      <c r="AU56" s="218"/>
      <c r="AV56" s="218"/>
      <c r="AW56" s="218"/>
      <c r="AX56" s="218"/>
      <c r="AY56" s="218"/>
      <c r="AZ56" s="218"/>
      <c r="BB56" s="218"/>
      <c r="BR56" s="128">
        <v>135677</v>
      </c>
      <c r="BS56" s="128">
        <v>541000</v>
      </c>
      <c r="CI56" s="128" t="s">
        <v>376</v>
      </c>
      <c r="CK56" s="128" t="s">
        <v>377</v>
      </c>
    </row>
    <row r="57" s="128" customFormat="1" customHeight="1" spans="1:89">
      <c r="A57" s="272">
        <v>38</v>
      </c>
      <c r="B57" s="128"/>
      <c r="C57" s="184">
        <v>45656</v>
      </c>
      <c r="D57" s="128">
        <v>20240007530</v>
      </c>
      <c r="F57" s="1016" t="s">
        <v>3586</v>
      </c>
      <c r="G57" s="128" t="s">
        <v>3587</v>
      </c>
      <c r="H57" s="1016" t="s">
        <v>3588</v>
      </c>
      <c r="I57" s="276" t="s">
        <v>3589</v>
      </c>
      <c r="J57" s="128">
        <v>117.6</v>
      </c>
      <c r="K57" s="128">
        <v>117.6</v>
      </c>
      <c r="L57" s="128">
        <v>5615.1</v>
      </c>
      <c r="M57" s="274">
        <v>660337</v>
      </c>
      <c r="N57" s="218">
        <v>6020.88</v>
      </c>
      <c r="O57" s="168">
        <v>605813.76</v>
      </c>
      <c r="P57" s="1017" t="s">
        <v>3590</v>
      </c>
      <c r="Q57" s="211">
        <v>45999</v>
      </c>
      <c r="R57" s="218"/>
      <c r="S57" s="219"/>
      <c r="T57" s="272"/>
      <c r="U57" s="219" t="s">
        <v>840</v>
      </c>
      <c r="V57" s="218">
        <v>20000</v>
      </c>
      <c r="W57" s="219" t="s">
        <v>3591</v>
      </c>
      <c r="X57" s="218">
        <v>140000</v>
      </c>
      <c r="Y57" s="211" t="s">
        <v>2244</v>
      </c>
      <c r="Z57" s="218">
        <v>500000</v>
      </c>
      <c r="AA57" s="219" t="s">
        <v>1057</v>
      </c>
      <c r="AB57" s="218">
        <v>337</v>
      </c>
      <c r="AC57" s="219" t="s">
        <v>3370</v>
      </c>
      <c r="AH57" s="218">
        <f t="shared" si="0"/>
        <v>660337</v>
      </c>
      <c r="AK57" s="179">
        <f t="shared" si="5"/>
        <v>0</v>
      </c>
      <c r="AL57" s="128">
        <v>15099480279</v>
      </c>
      <c r="AM57" s="177" t="s">
        <v>3480</v>
      </c>
      <c r="AO57" s="128">
        <f t="shared" si="1"/>
        <v>660000</v>
      </c>
      <c r="AP57" s="169">
        <f>0.7%+0.12%+0.03%</f>
        <v>0.0085</v>
      </c>
      <c r="AQ57" s="275">
        <f t="shared" si="2"/>
        <v>0</v>
      </c>
      <c r="AR57" s="218"/>
      <c r="AS57" s="218"/>
      <c r="AT57" s="218"/>
      <c r="AU57" s="218"/>
      <c r="AV57" s="218"/>
      <c r="AW57" s="218"/>
      <c r="AX57" s="218"/>
      <c r="AY57" s="218"/>
      <c r="AZ57" s="218"/>
      <c r="BB57" s="218"/>
      <c r="BP57" s="128">
        <v>160000</v>
      </c>
      <c r="BS57" s="128">
        <v>500000</v>
      </c>
      <c r="CI57" s="128" t="s">
        <v>376</v>
      </c>
      <c r="CK57" s="128" t="s">
        <v>377</v>
      </c>
    </row>
    <row r="58" s="128" customFormat="1" customHeight="1" spans="1:89">
      <c r="A58" s="272">
        <v>39</v>
      </c>
      <c r="B58" s="128"/>
      <c r="C58" s="184">
        <v>45568</v>
      </c>
      <c r="D58" s="128">
        <v>20240005759</v>
      </c>
      <c r="F58" s="1016" t="s">
        <v>3592</v>
      </c>
      <c r="G58" s="128" t="s">
        <v>3593</v>
      </c>
      <c r="H58" s="1016" t="s">
        <v>3594</v>
      </c>
      <c r="I58" s="273" t="s">
        <v>3595</v>
      </c>
      <c r="J58" s="128">
        <v>117.6</v>
      </c>
      <c r="K58" s="128">
        <v>117.6</v>
      </c>
      <c r="L58" s="128">
        <v>5878.85</v>
      </c>
      <c r="M58" s="274">
        <v>691353</v>
      </c>
      <c r="N58" s="218">
        <v>5878.85</v>
      </c>
      <c r="O58" s="168">
        <v>634268.81</v>
      </c>
      <c r="P58" s="1017" t="s">
        <v>3596</v>
      </c>
      <c r="Q58" s="211">
        <v>45856</v>
      </c>
      <c r="R58" s="218"/>
      <c r="S58" s="219"/>
      <c r="T58" s="272"/>
      <c r="U58" s="219" t="s">
        <v>662</v>
      </c>
      <c r="V58" s="218">
        <v>10000</v>
      </c>
      <c r="W58" s="219" t="s">
        <v>374</v>
      </c>
      <c r="X58" s="218">
        <v>311000</v>
      </c>
      <c r="Y58" s="211" t="s">
        <v>888</v>
      </c>
      <c r="Z58" s="218">
        <v>70000</v>
      </c>
      <c r="AA58" s="219" t="s">
        <v>3597</v>
      </c>
      <c r="AB58" s="218">
        <v>300000</v>
      </c>
      <c r="AC58" s="219" t="s">
        <v>1243</v>
      </c>
      <c r="AD58" s="218">
        <v>353</v>
      </c>
      <c r="AE58" s="219" t="s">
        <v>957</v>
      </c>
      <c r="AH58" s="218">
        <f t="shared" si="0"/>
        <v>691353</v>
      </c>
      <c r="AK58" s="179">
        <f t="shared" si="5"/>
        <v>0</v>
      </c>
      <c r="AL58" s="128">
        <v>18699662558</v>
      </c>
      <c r="AM58" s="177"/>
      <c r="AO58" s="128">
        <f t="shared" si="1"/>
        <v>691000</v>
      </c>
      <c r="AP58" s="169">
        <f>0.6%+0.1%</f>
        <v>0.007</v>
      </c>
      <c r="AQ58" s="275">
        <f t="shared" si="2"/>
        <v>0</v>
      </c>
      <c r="AR58" s="218"/>
      <c r="AS58" s="218"/>
      <c r="AT58" s="218"/>
      <c r="AU58" s="218"/>
      <c r="AV58" s="218"/>
      <c r="AW58" s="218"/>
      <c r="AX58" s="218"/>
      <c r="AY58" s="218"/>
      <c r="AZ58" s="218"/>
      <c r="BB58" s="218"/>
      <c r="BN58" s="128">
        <v>321000</v>
      </c>
      <c r="BP58" s="128">
        <v>370000</v>
      </c>
      <c r="CI58" s="128" t="s">
        <v>376</v>
      </c>
      <c r="CK58" s="128" t="s">
        <v>377</v>
      </c>
    </row>
    <row r="59" s="128" customFormat="1" customHeight="1" spans="1:89">
      <c r="A59" s="272">
        <v>40</v>
      </c>
      <c r="B59" s="128"/>
      <c r="C59" s="184">
        <v>45740</v>
      </c>
      <c r="D59" s="128">
        <v>20250001569</v>
      </c>
      <c r="F59" s="1016" t="s">
        <v>3598</v>
      </c>
      <c r="G59" s="128" t="s">
        <v>3599</v>
      </c>
      <c r="H59" s="1016" t="s">
        <v>1072</v>
      </c>
      <c r="I59" s="273" t="s">
        <v>3600</v>
      </c>
      <c r="J59" s="128">
        <v>117.6</v>
      </c>
      <c r="K59" s="128">
        <v>117.6</v>
      </c>
      <c r="L59" s="128">
        <v>5785.26</v>
      </c>
      <c r="M59" s="274">
        <v>680347</v>
      </c>
      <c r="N59" s="218">
        <v>5785.26</v>
      </c>
      <c r="O59" s="168">
        <v>624171.56</v>
      </c>
      <c r="P59" s="1017" t="s">
        <v>3601</v>
      </c>
      <c r="Q59" s="211">
        <v>45951</v>
      </c>
      <c r="R59" s="218"/>
      <c r="S59" s="219"/>
      <c r="T59" s="272"/>
      <c r="U59" s="219" t="s">
        <v>410</v>
      </c>
      <c r="V59" s="218">
        <v>20000</v>
      </c>
      <c r="W59" s="219" t="s">
        <v>3602</v>
      </c>
      <c r="X59" s="218">
        <v>64000</v>
      </c>
      <c r="Y59" s="211" t="s">
        <v>1057</v>
      </c>
      <c r="Z59" s="218">
        <v>52000</v>
      </c>
      <c r="AA59" s="219" t="s">
        <v>3525</v>
      </c>
      <c r="AB59" s="218">
        <v>347</v>
      </c>
      <c r="AC59" s="219">
        <v>45948</v>
      </c>
      <c r="AD59" s="218">
        <v>544000</v>
      </c>
      <c r="AE59" s="219">
        <v>45972</v>
      </c>
      <c r="AH59" s="218">
        <f t="shared" si="0"/>
        <v>680347</v>
      </c>
      <c r="AK59" s="179">
        <f t="shared" si="5"/>
        <v>0</v>
      </c>
      <c r="AL59" s="128">
        <v>18690138021</v>
      </c>
      <c r="AM59" s="177" t="s">
        <v>3480</v>
      </c>
      <c r="AO59" s="128">
        <f t="shared" si="1"/>
        <v>680347</v>
      </c>
      <c r="AP59" s="173">
        <f>0.7%+0.08%+0.03%</f>
        <v>0.0081</v>
      </c>
      <c r="AQ59" s="275">
        <f t="shared" si="2"/>
        <v>0</v>
      </c>
      <c r="AR59" s="218"/>
      <c r="AS59" s="218"/>
      <c r="AT59" s="218"/>
      <c r="AU59" s="218"/>
      <c r="AV59" s="218"/>
      <c r="AW59" s="218"/>
      <c r="AX59" s="218"/>
      <c r="AY59" s="218"/>
      <c r="AZ59" s="218"/>
      <c r="BB59" s="218"/>
      <c r="BT59" s="128">
        <v>136000</v>
      </c>
      <c r="CA59" s="128">
        <v>544347</v>
      </c>
      <c r="CI59" s="128" t="s">
        <v>376</v>
      </c>
      <c r="CK59" s="128" t="s">
        <v>377</v>
      </c>
    </row>
    <row r="60" s="128" customFormat="1" customHeight="1" spans="1:89">
      <c r="A60" s="272">
        <v>41</v>
      </c>
      <c r="B60" s="128"/>
      <c r="C60" s="184">
        <v>45936</v>
      </c>
      <c r="D60" s="128">
        <v>20250005131</v>
      </c>
      <c r="F60" s="1016" t="s">
        <v>3603</v>
      </c>
      <c r="G60" s="128" t="s">
        <v>3604</v>
      </c>
      <c r="I60" s="276" t="s">
        <v>3605</v>
      </c>
      <c r="J60" s="128">
        <v>117.6</v>
      </c>
      <c r="K60" s="128">
        <v>117.6</v>
      </c>
      <c r="L60" s="128">
        <v>5770.99</v>
      </c>
      <c r="M60" s="274">
        <v>678669</v>
      </c>
      <c r="N60" s="218">
        <v>5770.88</v>
      </c>
      <c r="O60" s="168">
        <v>622632.11</v>
      </c>
      <c r="P60" s="1017" t="s">
        <v>3606</v>
      </c>
      <c r="Q60" s="211">
        <v>45939</v>
      </c>
      <c r="R60" s="218"/>
      <c r="S60" s="219"/>
      <c r="T60" s="272"/>
      <c r="U60" s="219" t="s">
        <v>687</v>
      </c>
      <c r="V60" s="218">
        <f>10000+100000+93669</f>
        <v>203669</v>
      </c>
      <c r="W60" s="219" t="s">
        <v>3607</v>
      </c>
      <c r="X60" s="218">
        <f>75000+400000</f>
        <v>475000</v>
      </c>
      <c r="Y60" s="219" t="s">
        <v>3608</v>
      </c>
      <c r="AA60" s="179"/>
      <c r="AB60" s="218"/>
      <c r="AH60" s="218">
        <f t="shared" si="0"/>
        <v>678669</v>
      </c>
      <c r="AK60" s="179">
        <f t="shared" si="5"/>
        <v>0</v>
      </c>
      <c r="AM60" s="177" t="s">
        <v>3402</v>
      </c>
      <c r="AO60" s="128">
        <f t="shared" si="1"/>
        <v>678669</v>
      </c>
      <c r="AP60" s="173">
        <f>0.7%+0.02%+0.08%+0.03%</f>
        <v>0.0083</v>
      </c>
      <c r="AQ60" s="275">
        <f t="shared" si="2"/>
        <v>0</v>
      </c>
      <c r="AR60" s="218"/>
      <c r="AS60" s="218"/>
      <c r="AT60" s="218"/>
      <c r="AU60" s="218"/>
      <c r="AV60" s="218"/>
      <c r="AW60" s="218"/>
      <c r="AX60" s="218"/>
      <c r="AY60" s="218"/>
      <c r="AZ60" s="218"/>
      <c r="BB60" s="218"/>
      <c r="BZ60" s="128">
        <v>678669</v>
      </c>
      <c r="CI60" s="128" t="s">
        <v>3376</v>
      </c>
      <c r="CK60" s="128" t="s">
        <v>3609</v>
      </c>
    </row>
    <row r="61" s="128" customFormat="1" customHeight="1" spans="1:89">
      <c r="A61" s="272">
        <v>42</v>
      </c>
      <c r="B61" s="128"/>
      <c r="C61" s="184">
        <v>45900</v>
      </c>
      <c r="D61" s="128">
        <v>20250004468</v>
      </c>
      <c r="F61" s="1016" t="s">
        <v>3610</v>
      </c>
      <c r="G61" s="128" t="s">
        <v>3611</v>
      </c>
      <c r="I61" s="273" t="s">
        <v>3612</v>
      </c>
      <c r="J61" s="128">
        <v>117.6</v>
      </c>
      <c r="K61" s="128">
        <v>117.6</v>
      </c>
      <c r="L61" s="128">
        <v>6051.58</v>
      </c>
      <c r="M61" s="274">
        <v>711666</v>
      </c>
      <c r="N61" s="218">
        <v>6051.58</v>
      </c>
      <c r="O61" s="168">
        <v>652904.59</v>
      </c>
      <c r="P61" s="1017" t="s">
        <v>3613</v>
      </c>
      <c r="Q61" s="211">
        <v>45972</v>
      </c>
      <c r="R61" s="218"/>
      <c r="S61" s="219"/>
      <c r="T61" s="272"/>
      <c r="U61" s="219" t="s">
        <v>486</v>
      </c>
      <c r="V61" s="218">
        <v>1666</v>
      </c>
      <c r="W61" s="219">
        <v>45885</v>
      </c>
      <c r="X61" s="218">
        <v>300000</v>
      </c>
      <c r="Y61" s="219">
        <v>45971</v>
      </c>
      <c r="Z61" s="218">
        <v>410000</v>
      </c>
      <c r="AA61" s="219">
        <v>46027</v>
      </c>
      <c r="AB61" s="218"/>
      <c r="AH61" s="218">
        <f t="shared" si="0"/>
        <v>711666</v>
      </c>
      <c r="AK61" s="179">
        <f t="shared" si="5"/>
        <v>0</v>
      </c>
      <c r="AM61" s="177" t="s">
        <v>3614</v>
      </c>
      <c r="AO61" s="128">
        <f t="shared" si="1"/>
        <v>711666</v>
      </c>
      <c r="AP61" s="173">
        <f>0.7%+0.04%+0.08%+0.03%</f>
        <v>0.0085</v>
      </c>
      <c r="AQ61" s="275">
        <f t="shared" si="2"/>
        <v>0</v>
      </c>
      <c r="AR61" s="218"/>
      <c r="AS61" s="218"/>
      <c r="AT61" s="218"/>
      <c r="AU61" s="218"/>
      <c r="AV61" s="218"/>
      <c r="AW61" s="218"/>
      <c r="AX61" s="218"/>
      <c r="AY61" s="218"/>
      <c r="AZ61" s="218"/>
      <c r="BB61" s="218"/>
      <c r="CA61" s="128">
        <v>301666</v>
      </c>
      <c r="CC61" s="128">
        <v>410000</v>
      </c>
      <c r="CI61" s="128" t="s">
        <v>2825</v>
      </c>
      <c r="CK61" s="128" t="s">
        <v>377</v>
      </c>
    </row>
    <row r="62" s="101" customFormat="1" customHeight="1" spans="1:89">
      <c r="A62" s="199">
        <v>43</v>
      </c>
      <c r="B62" s="101"/>
      <c r="C62" s="200"/>
      <c r="I62" s="271" t="s">
        <v>3615</v>
      </c>
      <c r="J62" s="101">
        <v>117.6</v>
      </c>
      <c r="M62" s="235"/>
      <c r="N62" s="202">
        <v>6647.5</v>
      </c>
      <c r="O62" s="158"/>
      <c r="P62" s="203"/>
      <c r="Q62" s="205"/>
      <c r="R62" s="202"/>
      <c r="S62" s="204"/>
      <c r="T62" s="199"/>
      <c r="U62" s="204" t="s">
        <v>687</v>
      </c>
      <c r="X62" s="202"/>
      <c r="Y62" s="205"/>
      <c r="AA62" s="201"/>
      <c r="AB62" s="202"/>
      <c r="AH62" s="218">
        <f t="shared" si="0"/>
        <v>0</v>
      </c>
      <c r="AK62" s="201">
        <f t="shared" si="5"/>
        <v>0</v>
      </c>
      <c r="AM62" s="200"/>
      <c r="AO62" s="101">
        <f t="shared" si="1"/>
        <v>0</v>
      </c>
      <c r="AP62" s="207"/>
      <c r="AQ62" s="268">
        <f t="shared" si="2"/>
        <v>0</v>
      </c>
      <c r="AR62" s="202"/>
      <c r="AS62" s="202"/>
      <c r="AT62" s="202"/>
      <c r="AU62" s="202"/>
      <c r="AV62" s="202"/>
      <c r="AW62" s="202"/>
      <c r="AX62" s="202"/>
      <c r="AY62" s="202"/>
      <c r="AZ62" s="202"/>
      <c r="BB62" s="202"/>
    </row>
    <row r="63" s="101" customFormat="1" customHeight="1" spans="1:89">
      <c r="A63" s="199">
        <v>44</v>
      </c>
      <c r="C63" s="200"/>
      <c r="I63" s="266" t="s">
        <v>3616</v>
      </c>
      <c r="J63" s="101">
        <v>117.6</v>
      </c>
      <c r="M63" s="235"/>
      <c r="N63" s="202">
        <v>7092.5</v>
      </c>
      <c r="O63" s="158"/>
      <c r="P63" s="203"/>
      <c r="Q63" s="205"/>
      <c r="R63" s="202"/>
      <c r="S63" s="204"/>
      <c r="T63" s="199"/>
      <c r="U63" s="219"/>
      <c r="V63" s="202"/>
      <c r="X63" s="202"/>
      <c r="Y63" s="205"/>
      <c r="AA63" s="201"/>
      <c r="AB63" s="202"/>
      <c r="AH63" s="202">
        <f t="shared" si="0"/>
        <v>0</v>
      </c>
      <c r="AK63" s="201"/>
      <c r="AM63" s="200"/>
      <c r="AO63" s="101">
        <f t="shared" si="1"/>
        <v>0</v>
      </c>
      <c r="AP63" s="207"/>
      <c r="AQ63" s="268">
        <f t="shared" si="2"/>
        <v>0</v>
      </c>
      <c r="AR63" s="202"/>
      <c r="AS63" s="202"/>
      <c r="AT63" s="202"/>
      <c r="AU63" s="202"/>
      <c r="AV63" s="202"/>
      <c r="AW63" s="202"/>
      <c r="AX63" s="202"/>
      <c r="AY63" s="202"/>
      <c r="AZ63" s="202"/>
      <c r="BB63" s="202"/>
    </row>
    <row r="64" s="101" customFormat="1" customHeight="1" spans="1:89">
      <c r="A64" s="199">
        <v>45</v>
      </c>
      <c r="C64" s="200"/>
      <c r="I64" s="101" t="s">
        <v>3617</v>
      </c>
      <c r="J64" s="101">
        <v>118.97</v>
      </c>
      <c r="M64" s="235"/>
      <c r="N64" s="202">
        <v>7795.5</v>
      </c>
      <c r="O64" s="158"/>
      <c r="P64" s="203"/>
      <c r="Q64" s="205"/>
      <c r="R64" s="202"/>
      <c r="S64" s="204"/>
      <c r="T64" s="199"/>
      <c r="U64" s="219"/>
      <c r="V64" s="202"/>
      <c r="X64" s="202"/>
      <c r="Y64" s="205"/>
      <c r="AA64" s="201"/>
      <c r="AB64" s="202"/>
      <c r="AH64" s="202">
        <f t="shared" si="0"/>
        <v>0</v>
      </c>
      <c r="AK64" s="201"/>
      <c r="AM64" s="200"/>
      <c r="AO64" s="101">
        <f t="shared" si="1"/>
        <v>0</v>
      </c>
      <c r="AP64" s="207"/>
      <c r="AQ64" s="268">
        <f t="shared" si="2"/>
        <v>0</v>
      </c>
      <c r="AR64" s="202"/>
      <c r="AS64" s="202"/>
      <c r="AT64" s="202"/>
      <c r="AU64" s="202"/>
      <c r="AV64" s="202"/>
      <c r="AW64" s="202"/>
      <c r="AX64" s="202"/>
      <c r="AY64" s="202"/>
      <c r="AZ64" s="202"/>
      <c r="BB64" s="202"/>
    </row>
    <row r="65" s="101" customFormat="1" customHeight="1" spans="1:89">
      <c r="A65" s="199">
        <v>46</v>
      </c>
      <c r="C65" s="200"/>
      <c r="E65" s="101" t="s">
        <v>3618</v>
      </c>
      <c r="I65" s="101" t="s">
        <v>3619</v>
      </c>
      <c r="J65" s="101">
        <v>119.56</v>
      </c>
      <c r="M65" s="235"/>
      <c r="N65" s="202">
        <v>7382.5</v>
      </c>
      <c r="O65" s="158"/>
      <c r="P65" s="203"/>
      <c r="Q65" s="205"/>
      <c r="R65" s="202"/>
      <c r="S65" s="204"/>
      <c r="T65" s="199"/>
      <c r="U65" s="219"/>
      <c r="V65" s="202"/>
      <c r="X65" s="202"/>
      <c r="Y65" s="205"/>
      <c r="AA65" s="201"/>
      <c r="AB65" s="202"/>
      <c r="AH65" s="202">
        <f t="shared" si="0"/>
        <v>0</v>
      </c>
      <c r="AK65" s="201"/>
      <c r="AM65" s="200"/>
      <c r="AO65" s="101">
        <f t="shared" si="1"/>
        <v>0</v>
      </c>
      <c r="AP65" s="207"/>
      <c r="AQ65" s="268">
        <f t="shared" si="2"/>
        <v>0</v>
      </c>
      <c r="AR65" s="202"/>
      <c r="AS65" s="202"/>
      <c r="AT65" s="202"/>
      <c r="AU65" s="202"/>
      <c r="AV65" s="202"/>
      <c r="AW65" s="202"/>
      <c r="AX65" s="202"/>
      <c r="AY65" s="202"/>
      <c r="AZ65" s="202"/>
      <c r="BB65" s="202"/>
    </row>
    <row r="66" s="101" customFormat="1" customHeight="1" spans="1:89">
      <c r="A66" s="199">
        <v>47</v>
      </c>
      <c r="C66" s="200"/>
      <c r="I66" s="101" t="s">
        <v>3620</v>
      </c>
      <c r="J66" s="101">
        <v>117.6</v>
      </c>
      <c r="M66" s="235"/>
      <c r="N66" s="202">
        <v>5725.6</v>
      </c>
      <c r="O66" s="158"/>
      <c r="P66" s="203"/>
      <c r="Q66" s="205"/>
      <c r="R66" s="202"/>
      <c r="S66" s="204"/>
      <c r="T66" s="199"/>
      <c r="U66" s="219"/>
      <c r="V66" s="202"/>
      <c r="X66" s="202"/>
      <c r="Y66" s="205"/>
      <c r="AA66" s="201"/>
      <c r="AB66" s="202"/>
      <c r="AH66" s="202">
        <f t="shared" si="0"/>
        <v>0</v>
      </c>
      <c r="AK66" s="201"/>
      <c r="AM66" s="200"/>
      <c r="AO66" s="101">
        <f t="shared" si="1"/>
        <v>0</v>
      </c>
      <c r="AP66" s="207"/>
      <c r="AQ66" s="268">
        <f t="shared" si="2"/>
        <v>0</v>
      </c>
      <c r="AR66" s="202"/>
      <c r="AS66" s="202"/>
      <c r="AT66" s="202"/>
      <c r="AU66" s="202"/>
      <c r="AV66" s="202"/>
      <c r="AW66" s="202"/>
      <c r="AX66" s="202"/>
      <c r="AY66" s="202"/>
      <c r="AZ66" s="202"/>
      <c r="BB66" s="202"/>
    </row>
    <row r="67" s="128" customFormat="1" customHeight="1" spans="1:89">
      <c r="A67" s="272">
        <v>48</v>
      </c>
      <c r="C67" s="184">
        <v>45792</v>
      </c>
      <c r="D67" s="128">
        <v>20250002746</v>
      </c>
      <c r="E67" s="128" t="s">
        <v>3621</v>
      </c>
      <c r="F67" s="1016" t="s">
        <v>3622</v>
      </c>
      <c r="G67" s="128" t="s">
        <v>3623</v>
      </c>
      <c r="I67" s="128" t="s">
        <v>3624</v>
      </c>
      <c r="J67" s="128">
        <v>117.97</v>
      </c>
      <c r="K67" s="128">
        <v>117.97</v>
      </c>
      <c r="L67" s="128">
        <v>5700</v>
      </c>
      <c r="M67" s="274">
        <v>672429</v>
      </c>
      <c r="N67" s="218">
        <v>5690.6</v>
      </c>
      <c r="O67" s="168">
        <v>616907.34</v>
      </c>
      <c r="P67" s="1017" t="s">
        <v>3625</v>
      </c>
      <c r="Q67" s="211">
        <v>45804</v>
      </c>
      <c r="R67" s="218"/>
      <c r="S67" s="219"/>
      <c r="T67" s="272"/>
      <c r="U67" s="219"/>
      <c r="V67" s="218">
        <f>62087+342</f>
        <v>62429</v>
      </c>
      <c r="W67" s="219" t="s">
        <v>3153</v>
      </c>
      <c r="X67" s="218">
        <v>170000</v>
      </c>
      <c r="Y67" s="211" t="s">
        <v>547</v>
      </c>
      <c r="Z67" s="218">
        <v>440000</v>
      </c>
      <c r="AA67" s="219" t="s">
        <v>3626</v>
      </c>
      <c r="AB67" s="218"/>
      <c r="AH67" s="218">
        <f t="shared" si="0"/>
        <v>672429</v>
      </c>
      <c r="AK67" s="179">
        <f>M67-AH67</f>
        <v>0</v>
      </c>
      <c r="AL67" s="128">
        <v>15276255932</v>
      </c>
      <c r="AM67" s="177"/>
      <c r="AO67" s="128">
        <f t="shared" si="1"/>
        <v>0</v>
      </c>
      <c r="AP67" s="173"/>
      <c r="AQ67" s="275">
        <f t="shared" si="2"/>
        <v>0</v>
      </c>
      <c r="AR67" s="218"/>
      <c r="AS67" s="218"/>
      <c r="AT67" s="218"/>
      <c r="AU67" s="218"/>
      <c r="AV67" s="218"/>
      <c r="AW67" s="218"/>
      <c r="AX67" s="218"/>
      <c r="AY67" s="218"/>
      <c r="AZ67" s="218"/>
      <c r="BB67" s="218"/>
      <c r="CI67" s="128" t="s">
        <v>376</v>
      </c>
      <c r="CK67" s="128" t="s">
        <v>377</v>
      </c>
    </row>
    <row r="68" s="128" customFormat="1" customHeight="1" spans="1:89">
      <c r="A68" s="272">
        <v>49</v>
      </c>
      <c r="B68" s="128"/>
      <c r="C68" s="184">
        <v>45754</v>
      </c>
      <c r="D68" s="128">
        <v>20250001850</v>
      </c>
      <c r="E68" s="128" t="s">
        <v>3627</v>
      </c>
      <c r="F68" s="1016" t="s">
        <v>3628</v>
      </c>
      <c r="G68" s="128" t="s">
        <v>3629</v>
      </c>
      <c r="I68" s="128" t="s">
        <v>3630</v>
      </c>
      <c r="J68" s="128">
        <v>117.6</v>
      </c>
      <c r="K68" s="128">
        <v>117.6</v>
      </c>
      <c r="L68" s="128">
        <v>5700</v>
      </c>
      <c r="M68" s="274">
        <f>342+669978</f>
        <v>670320</v>
      </c>
      <c r="N68" s="218">
        <v>5700</v>
      </c>
      <c r="O68" s="168">
        <v>614972.48</v>
      </c>
      <c r="P68" s="1017" t="s">
        <v>3631</v>
      </c>
      <c r="Q68" s="211">
        <v>45856</v>
      </c>
      <c r="R68" s="218"/>
      <c r="S68" s="219"/>
      <c r="T68" s="272"/>
      <c r="U68" s="219"/>
      <c r="V68" s="218">
        <v>209978</v>
      </c>
      <c r="W68" s="219" t="s">
        <v>3223</v>
      </c>
      <c r="X68" s="218">
        <v>460000</v>
      </c>
      <c r="Y68" s="211" t="s">
        <v>3632</v>
      </c>
      <c r="Z68" s="128">
        <v>342</v>
      </c>
      <c r="AA68" s="179" t="s">
        <v>3401</v>
      </c>
      <c r="AB68" s="218"/>
      <c r="AH68" s="218">
        <f t="shared" si="0"/>
        <v>670320</v>
      </c>
      <c r="AK68" s="179">
        <f>M68-AH68</f>
        <v>0</v>
      </c>
      <c r="AM68" s="177" t="s">
        <v>3402</v>
      </c>
      <c r="AO68" s="128">
        <f t="shared" si="1"/>
        <v>0</v>
      </c>
      <c r="AP68" s="173"/>
      <c r="AQ68" s="275">
        <f t="shared" si="2"/>
        <v>0</v>
      </c>
      <c r="AR68" s="218"/>
      <c r="AS68" s="218"/>
      <c r="AT68" s="218"/>
      <c r="AU68" s="218"/>
      <c r="AV68" s="218"/>
      <c r="AW68" s="218"/>
      <c r="AX68" s="218"/>
      <c r="AY68" s="218"/>
      <c r="AZ68" s="218"/>
      <c r="BB68" s="218"/>
      <c r="CI68" s="128" t="s">
        <v>376</v>
      </c>
      <c r="CK68" s="128" t="s">
        <v>377</v>
      </c>
    </row>
    <row r="69" s="101" customFormat="1" customHeight="1" spans="1:89">
      <c r="A69" s="199">
        <v>50</v>
      </c>
      <c r="C69" s="200"/>
      <c r="I69" s="101" t="s">
        <v>3633</v>
      </c>
      <c r="J69" s="101">
        <v>117.97</v>
      </c>
      <c r="M69" s="235"/>
      <c r="N69" s="202">
        <v>5740.88</v>
      </c>
      <c r="O69" s="158"/>
      <c r="P69" s="272"/>
      <c r="Q69" s="205"/>
      <c r="R69" s="202"/>
      <c r="S69" s="204"/>
      <c r="T69" s="199"/>
      <c r="U69" s="219"/>
      <c r="V69" s="202"/>
      <c r="X69" s="202"/>
      <c r="Y69" s="205"/>
      <c r="AA69" s="201"/>
      <c r="AB69" s="202"/>
      <c r="AH69" s="202">
        <f t="shared" ref="AH69:AH98" si="6">V69+X69+Z69+AB69+AD69+AF69</f>
        <v>0</v>
      </c>
      <c r="AK69" s="201"/>
      <c r="AM69" s="200"/>
      <c r="AO69" s="101">
        <f t="shared" ref="AO69:AO101" si="7">SUM(AZ69:CF69)</f>
        <v>0</v>
      </c>
      <c r="AP69" s="207"/>
      <c r="AQ69" s="268">
        <f t="shared" ref="AQ69:AQ98" si="8">AR69+AS69+AT69+AU69+AV69+AW69+AX69+AY69</f>
        <v>0</v>
      </c>
      <c r="AR69" s="202"/>
      <c r="AS69" s="202"/>
      <c r="AT69" s="202"/>
      <c r="AU69" s="202"/>
      <c r="AV69" s="202"/>
      <c r="AW69" s="202"/>
      <c r="AX69" s="202"/>
      <c r="AY69" s="202"/>
      <c r="AZ69" s="202"/>
      <c r="BB69" s="202"/>
    </row>
    <row r="70" s="128" customFormat="1" customHeight="1" spans="1:89">
      <c r="A70" s="272">
        <v>51</v>
      </c>
      <c r="B70" s="128"/>
      <c r="C70" s="184">
        <v>45796</v>
      </c>
      <c r="D70" s="128">
        <v>20250002393</v>
      </c>
      <c r="F70" s="1016" t="s">
        <v>3634</v>
      </c>
      <c r="G70" s="128" t="s">
        <v>3635</v>
      </c>
      <c r="I70" s="128" t="s">
        <v>3636</v>
      </c>
      <c r="J70" s="128">
        <v>117.6</v>
      </c>
      <c r="K70" s="128">
        <v>117.6</v>
      </c>
      <c r="L70" s="128">
        <v>5790.44</v>
      </c>
      <c r="M70" s="274">
        <v>680956</v>
      </c>
      <c r="N70" s="218">
        <v>5790.44</v>
      </c>
      <c r="O70" s="168">
        <v>624730.28</v>
      </c>
      <c r="P70" s="1017" t="s">
        <v>3637</v>
      </c>
      <c r="Q70" s="211">
        <v>45856</v>
      </c>
      <c r="R70" s="218"/>
      <c r="S70" s="219"/>
      <c r="T70" s="272"/>
      <c r="U70" s="219" t="s">
        <v>677</v>
      </c>
      <c r="V70" s="218">
        <f>20609+347</f>
        <v>20956</v>
      </c>
      <c r="W70" s="219" t="s">
        <v>791</v>
      </c>
      <c r="X70" s="218">
        <v>90000</v>
      </c>
      <c r="Y70" s="211" t="s">
        <v>3638</v>
      </c>
      <c r="Z70" s="128">
        <v>30000</v>
      </c>
      <c r="AA70" s="179" t="s">
        <v>3639</v>
      </c>
      <c r="AB70" s="218">
        <v>540000</v>
      </c>
      <c r="AC70" s="219" t="s">
        <v>957</v>
      </c>
      <c r="AH70" s="218">
        <f t="shared" si="6"/>
        <v>680956</v>
      </c>
      <c r="AK70" s="179">
        <f>M70-AH70</f>
        <v>0</v>
      </c>
      <c r="AL70" s="128">
        <v>17806291715</v>
      </c>
      <c r="AM70" s="177" t="s">
        <v>3640</v>
      </c>
      <c r="AO70" s="128">
        <f t="shared" si="7"/>
        <v>680956</v>
      </c>
      <c r="AP70" s="173">
        <f>0.4%+0.02%+0.08%+0.03%</f>
        <v>0.0053</v>
      </c>
      <c r="AQ70" s="275">
        <f t="shared" si="8"/>
        <v>0</v>
      </c>
      <c r="AR70" s="218"/>
      <c r="AS70" s="218"/>
      <c r="AT70" s="218"/>
      <c r="AU70" s="218"/>
      <c r="AV70" s="218"/>
      <c r="AW70" s="218"/>
      <c r="AX70" s="218"/>
      <c r="AY70" s="218"/>
      <c r="AZ70" s="218"/>
      <c r="BB70" s="218"/>
      <c r="BU70" s="128">
        <v>140956</v>
      </c>
      <c r="BV70" s="128">
        <v>540000</v>
      </c>
      <c r="CI70" s="128" t="s">
        <v>376</v>
      </c>
      <c r="CK70" s="128" t="s">
        <v>377</v>
      </c>
    </row>
    <row r="71" s="128" customFormat="1" customHeight="1" spans="1:89">
      <c r="A71" s="272">
        <v>52</v>
      </c>
      <c r="C71" s="184">
        <v>45823</v>
      </c>
      <c r="D71" s="128">
        <v>20250003109</v>
      </c>
      <c r="E71" s="177" t="s">
        <v>3641</v>
      </c>
      <c r="F71" s="1016" t="s">
        <v>3642</v>
      </c>
      <c r="G71" s="128" t="s">
        <v>3643</v>
      </c>
      <c r="I71" s="128" t="s">
        <v>3644</v>
      </c>
      <c r="J71" s="128">
        <v>117.97</v>
      </c>
      <c r="K71" s="128">
        <v>117.97</v>
      </c>
      <c r="L71" s="128">
        <v>5773.94</v>
      </c>
      <c r="M71" s="274">
        <v>681152</v>
      </c>
      <c r="N71" s="218">
        <v>5770.88</v>
      </c>
      <c r="O71" s="168">
        <v>624910.09</v>
      </c>
      <c r="P71" s="1017" t="s">
        <v>3645</v>
      </c>
      <c r="Q71" s="211">
        <v>45846</v>
      </c>
      <c r="R71" s="218"/>
      <c r="S71" s="219"/>
      <c r="T71" s="272"/>
      <c r="U71" s="219"/>
      <c r="V71" s="218">
        <v>230805</v>
      </c>
      <c r="W71" s="219" t="s">
        <v>1129</v>
      </c>
      <c r="X71" s="218">
        <v>347</v>
      </c>
      <c r="Y71" s="219">
        <v>45846</v>
      </c>
      <c r="Z71" s="128">
        <v>450000</v>
      </c>
      <c r="AA71" s="179" t="s">
        <v>3646</v>
      </c>
      <c r="AB71" s="218"/>
      <c r="AH71" s="218">
        <f t="shared" si="6"/>
        <v>681152</v>
      </c>
      <c r="AK71" s="179">
        <f>M71-AH71</f>
        <v>0</v>
      </c>
      <c r="AM71" s="177"/>
      <c r="AO71" s="128">
        <f t="shared" si="7"/>
        <v>0</v>
      </c>
      <c r="AP71" s="173"/>
      <c r="AQ71" s="275">
        <f t="shared" si="8"/>
        <v>0</v>
      </c>
      <c r="AR71" s="218"/>
      <c r="AS71" s="218"/>
      <c r="AT71" s="218"/>
      <c r="AU71" s="218"/>
      <c r="AV71" s="218"/>
      <c r="AW71" s="218"/>
      <c r="AX71" s="218"/>
      <c r="AY71" s="218"/>
      <c r="AZ71" s="218"/>
      <c r="BB71" s="218"/>
      <c r="CI71" s="128" t="s">
        <v>376</v>
      </c>
      <c r="CK71" s="128" t="s">
        <v>377</v>
      </c>
    </row>
    <row r="72" s="128" customFormat="1" customHeight="1" spans="1:89">
      <c r="A72" s="272">
        <v>53</v>
      </c>
      <c r="B72" s="128"/>
      <c r="C72" s="184">
        <v>45743</v>
      </c>
      <c r="D72" s="128">
        <v>20250001667</v>
      </c>
      <c r="F72" s="1016" t="s">
        <v>3647</v>
      </c>
      <c r="G72" s="128" t="s">
        <v>3648</v>
      </c>
      <c r="H72" s="1016" t="s">
        <v>3649</v>
      </c>
      <c r="I72" s="128" t="s">
        <v>3650</v>
      </c>
      <c r="J72" s="128">
        <v>117.6</v>
      </c>
      <c r="K72" s="128">
        <v>117.6</v>
      </c>
      <c r="L72" s="128">
        <v>5874.48</v>
      </c>
      <c r="M72" s="274">
        <v>690838</v>
      </c>
      <c r="N72" s="218">
        <v>5874.48</v>
      </c>
      <c r="O72" s="168">
        <v>633796.33</v>
      </c>
      <c r="P72" s="1017" t="s">
        <v>3651</v>
      </c>
      <c r="Q72" s="211">
        <v>45856</v>
      </c>
      <c r="R72" s="218"/>
      <c r="S72" s="219"/>
      <c r="T72" s="272"/>
      <c r="U72" s="219" t="s">
        <v>410</v>
      </c>
      <c r="V72" s="218">
        <v>20000</v>
      </c>
      <c r="W72" s="219" t="s">
        <v>3652</v>
      </c>
      <c r="X72" s="218">
        <v>118486</v>
      </c>
      <c r="Y72" s="211" t="s">
        <v>3653</v>
      </c>
      <c r="Z72" s="218">
        <v>552000</v>
      </c>
      <c r="AA72" s="219" t="s">
        <v>3469</v>
      </c>
      <c r="AB72" s="218">
        <v>352</v>
      </c>
      <c r="AC72" s="128" t="s">
        <v>3370</v>
      </c>
      <c r="AH72" s="218">
        <f t="shared" si="6"/>
        <v>690838</v>
      </c>
      <c r="AK72" s="179">
        <f t="shared" ref="AK72:AK85" si="9">M72-AH72</f>
        <v>0</v>
      </c>
      <c r="AL72" s="128">
        <v>15209902158</v>
      </c>
      <c r="AM72" s="177" t="s">
        <v>3654</v>
      </c>
      <c r="AO72" s="128">
        <f t="shared" si="7"/>
        <v>690486</v>
      </c>
      <c r="AP72" s="173">
        <f>0.7%+0.08%+0.03%</f>
        <v>0.0081</v>
      </c>
      <c r="AQ72" s="275">
        <f t="shared" si="8"/>
        <v>0</v>
      </c>
      <c r="AR72" s="218"/>
      <c r="AS72" s="218"/>
      <c r="AT72" s="218"/>
      <c r="AU72" s="218"/>
      <c r="AV72" s="218"/>
      <c r="AW72" s="218"/>
      <c r="AX72" s="218"/>
      <c r="AY72" s="218"/>
      <c r="AZ72" s="218"/>
      <c r="BB72" s="218"/>
      <c r="BS72" s="128">
        <v>138486</v>
      </c>
      <c r="BT72" s="128">
        <v>552000</v>
      </c>
      <c r="CI72" s="128" t="s">
        <v>376</v>
      </c>
      <c r="CK72" s="128" t="s">
        <v>377</v>
      </c>
    </row>
    <row r="73" s="128" customFormat="1" customHeight="1" spans="1:89">
      <c r="A73" s="272">
        <v>54</v>
      </c>
      <c r="B73" s="128"/>
      <c r="C73" s="184">
        <v>45832</v>
      </c>
      <c r="D73" s="128">
        <v>20250003396</v>
      </c>
      <c r="F73" s="1016" t="s">
        <v>3655</v>
      </c>
      <c r="G73" s="177" t="s">
        <v>3656</v>
      </c>
      <c r="H73" s="1016" t="s">
        <v>3657</v>
      </c>
      <c r="I73" s="128" t="s">
        <v>3658</v>
      </c>
      <c r="J73" s="128">
        <v>117.97</v>
      </c>
      <c r="K73" s="128">
        <v>117.97</v>
      </c>
      <c r="L73" s="128">
        <v>5800</v>
      </c>
      <c r="M73" s="274">
        <v>684226</v>
      </c>
      <c r="N73" s="218">
        <v>5800</v>
      </c>
      <c r="O73" s="168">
        <v>627730.28</v>
      </c>
      <c r="P73" s="1017" t="s">
        <v>3659</v>
      </c>
      <c r="Q73" s="211">
        <v>45887</v>
      </c>
      <c r="R73" s="218"/>
      <c r="S73" s="211"/>
      <c r="T73" s="272"/>
      <c r="U73" s="219" t="s">
        <v>373</v>
      </c>
      <c r="V73" s="218">
        <f>20000-20000</f>
        <v>0</v>
      </c>
      <c r="W73" s="219" t="s">
        <v>3660</v>
      </c>
      <c r="X73" s="218">
        <v>10000</v>
      </c>
      <c r="Y73" s="219" t="s">
        <v>1161</v>
      </c>
      <c r="Z73" s="128">
        <f>348+10878+80000</f>
        <v>91226</v>
      </c>
      <c r="AA73" s="179" t="s">
        <v>3661</v>
      </c>
      <c r="AB73" s="218">
        <v>43000</v>
      </c>
      <c r="AC73" s="219">
        <v>45855</v>
      </c>
      <c r="AD73" s="218">
        <v>540000</v>
      </c>
      <c r="AE73" s="211">
        <v>45873</v>
      </c>
      <c r="AH73" s="218">
        <f t="shared" si="6"/>
        <v>684226</v>
      </c>
      <c r="AK73" s="179">
        <f t="shared" si="9"/>
        <v>0</v>
      </c>
      <c r="AM73" s="177" t="s">
        <v>3402</v>
      </c>
      <c r="AO73" s="128">
        <f t="shared" si="7"/>
        <v>684226</v>
      </c>
      <c r="AP73" s="173">
        <f>0.7%+0.05%+0.08%+0.03%</f>
        <v>0.0086</v>
      </c>
      <c r="AQ73" s="275">
        <f t="shared" si="8"/>
        <v>0</v>
      </c>
      <c r="AR73" s="218"/>
      <c r="AS73" s="218"/>
      <c r="AT73" s="218"/>
      <c r="AU73" s="218"/>
      <c r="AV73" s="218"/>
      <c r="AW73" s="218"/>
      <c r="AX73" s="218"/>
      <c r="AY73" s="218"/>
      <c r="AZ73" s="218"/>
      <c r="BB73" s="218"/>
      <c r="BV73" s="128">
        <v>101226</v>
      </c>
      <c r="BX73" s="128">
        <v>583000</v>
      </c>
      <c r="CI73" s="128" t="s">
        <v>376</v>
      </c>
      <c r="CK73" s="128" t="s">
        <v>377</v>
      </c>
    </row>
    <row r="74" s="128" customFormat="1" customHeight="1" spans="1:89">
      <c r="A74" s="272">
        <v>55</v>
      </c>
      <c r="B74" s="128"/>
      <c r="C74" s="184">
        <v>45831</v>
      </c>
      <c r="D74" s="128">
        <v>20250003340</v>
      </c>
      <c r="F74" s="1016" t="s">
        <v>3662</v>
      </c>
      <c r="G74" s="128" t="s">
        <v>3663</v>
      </c>
      <c r="H74" s="1016" t="s">
        <v>3664</v>
      </c>
      <c r="I74" s="128" t="s">
        <v>3665</v>
      </c>
      <c r="J74" s="128">
        <v>117.6</v>
      </c>
      <c r="K74" s="128">
        <v>117.6</v>
      </c>
      <c r="L74" s="128">
        <v>5900</v>
      </c>
      <c r="M74" s="274">
        <v>693840</v>
      </c>
      <c r="N74" s="218">
        <v>5900</v>
      </c>
      <c r="O74" s="168">
        <v>636225.69</v>
      </c>
      <c r="P74" s="1017" t="s">
        <v>3666</v>
      </c>
      <c r="Q74" s="211">
        <v>45868</v>
      </c>
      <c r="R74" s="218"/>
      <c r="S74" s="219"/>
      <c r="T74" s="272"/>
      <c r="U74" s="219" t="s">
        <v>662</v>
      </c>
      <c r="V74" s="218">
        <v>20000</v>
      </c>
      <c r="W74" s="219" t="s">
        <v>3667</v>
      </c>
      <c r="X74" s="218">
        <f>50000+43486</f>
        <v>93486</v>
      </c>
      <c r="Y74" s="219" t="s">
        <v>3668</v>
      </c>
      <c r="Z74" s="218">
        <v>354</v>
      </c>
      <c r="AA74" s="219">
        <v>45839</v>
      </c>
      <c r="AB74" s="218">
        <v>580000</v>
      </c>
      <c r="AC74" s="219">
        <v>45883</v>
      </c>
      <c r="AH74" s="218">
        <f t="shared" si="6"/>
        <v>693840</v>
      </c>
      <c r="AK74" s="179">
        <f t="shared" si="9"/>
        <v>0</v>
      </c>
      <c r="AL74" s="128">
        <v>15693597064</v>
      </c>
      <c r="AM74" s="177" t="s">
        <v>3402</v>
      </c>
      <c r="AO74" s="128">
        <f t="shared" si="7"/>
        <v>693840</v>
      </c>
      <c r="AP74" s="173">
        <f>0.5%+0.08%+0.03%</f>
        <v>0.0061</v>
      </c>
      <c r="AQ74" s="275">
        <f t="shared" si="8"/>
        <v>0</v>
      </c>
      <c r="AR74" s="218"/>
      <c r="AS74" s="218"/>
      <c r="AT74" s="218"/>
      <c r="AU74" s="218"/>
      <c r="AV74" s="218"/>
      <c r="AW74" s="218"/>
      <c r="AX74" s="218"/>
      <c r="AY74" s="218"/>
      <c r="AZ74" s="218"/>
      <c r="BB74" s="218"/>
      <c r="BV74" s="128">
        <v>113486</v>
      </c>
      <c r="BW74" s="128"/>
      <c r="BX74" s="128">
        <v>580354</v>
      </c>
      <c r="CI74" s="128" t="s">
        <v>2825</v>
      </c>
      <c r="CK74" s="128" t="s">
        <v>377</v>
      </c>
    </row>
    <row r="75" s="128" customFormat="1" customHeight="1" spans="1:89">
      <c r="A75" s="272">
        <v>56</v>
      </c>
      <c r="B75" s="128"/>
      <c r="C75" s="184">
        <v>45931</v>
      </c>
      <c r="D75" s="128">
        <v>20250004864</v>
      </c>
      <c r="F75" s="1016" t="s">
        <v>3669</v>
      </c>
      <c r="G75" s="128" t="s">
        <v>3670</v>
      </c>
      <c r="H75" s="1016" t="s">
        <v>3671</v>
      </c>
      <c r="I75" s="128" t="s">
        <v>3672</v>
      </c>
      <c r="J75" s="128">
        <v>117.97</v>
      </c>
      <c r="K75" s="128">
        <v>117.97</v>
      </c>
      <c r="L75" s="128">
        <v>5350</v>
      </c>
      <c r="M75" s="274">
        <v>631140</v>
      </c>
      <c r="N75" s="218">
        <f>5555.084-300</f>
        <v>5255.084</v>
      </c>
      <c r="O75" s="168">
        <v>579027.52</v>
      </c>
      <c r="P75" s="1017" t="s">
        <v>3673</v>
      </c>
      <c r="Q75" s="211">
        <v>45940</v>
      </c>
      <c r="R75" s="218"/>
      <c r="S75" s="219"/>
      <c r="T75" s="272"/>
      <c r="U75" s="219" t="s">
        <v>486</v>
      </c>
      <c r="V75" s="218">
        <f>10000-10000</f>
        <v>0</v>
      </c>
      <c r="W75" s="219" t="s">
        <v>3674</v>
      </c>
      <c r="X75" s="218">
        <f>20000+181140</f>
        <v>201140</v>
      </c>
      <c r="Y75" s="219" t="s">
        <v>3675</v>
      </c>
      <c r="Z75" s="218">
        <v>430000</v>
      </c>
      <c r="AA75" s="219">
        <v>45958</v>
      </c>
      <c r="AB75" s="218"/>
      <c r="AH75" s="218">
        <f t="shared" si="6"/>
        <v>631140</v>
      </c>
      <c r="AK75" s="179">
        <f t="shared" si="9"/>
        <v>0</v>
      </c>
      <c r="AL75" s="128">
        <v>17326372276</v>
      </c>
      <c r="AM75" s="280" t="s">
        <v>3480</v>
      </c>
      <c r="AO75" s="128">
        <f t="shared" si="7"/>
        <v>631140</v>
      </c>
      <c r="AP75" s="173">
        <f>0.7%+0.04%+0.08%+0.03%</f>
        <v>0.0085</v>
      </c>
      <c r="AQ75" s="275">
        <f t="shared" si="8"/>
        <v>0</v>
      </c>
      <c r="AR75" s="218"/>
      <c r="AS75" s="218"/>
      <c r="AT75" s="218"/>
      <c r="AU75" s="218"/>
      <c r="AV75" s="218"/>
      <c r="AW75" s="218"/>
      <c r="AX75" s="218"/>
      <c r="AY75" s="218"/>
      <c r="AZ75" s="218"/>
      <c r="BB75" s="218"/>
      <c r="BZ75" s="128">
        <v>631140</v>
      </c>
      <c r="CI75" s="128" t="s">
        <v>3376</v>
      </c>
      <c r="CK75" s="128" t="s">
        <v>3676</v>
      </c>
    </row>
    <row r="76" s="128" customFormat="1" customHeight="1" spans="1:89">
      <c r="A76" s="272">
        <v>57</v>
      </c>
      <c r="B76" s="128"/>
      <c r="C76" s="184">
        <v>45778</v>
      </c>
      <c r="D76" s="128">
        <v>20250002262</v>
      </c>
      <c r="F76" s="1016" t="s">
        <v>3677</v>
      </c>
      <c r="G76" s="128" t="s">
        <v>3678</v>
      </c>
      <c r="I76" s="128" t="s">
        <v>3679</v>
      </c>
      <c r="J76" s="128">
        <v>117.6</v>
      </c>
      <c r="K76" s="128">
        <v>117.6</v>
      </c>
      <c r="L76" s="128">
        <v>5700.19</v>
      </c>
      <c r="M76" s="274">
        <v>670342</v>
      </c>
      <c r="N76" s="218">
        <v>5700.19</v>
      </c>
      <c r="O76" s="168">
        <v>614992.66</v>
      </c>
      <c r="P76" s="1017" t="s">
        <v>3680</v>
      </c>
      <c r="Q76" s="211">
        <v>45825</v>
      </c>
      <c r="R76" s="218"/>
      <c r="S76" s="219"/>
      <c r="T76" s="272"/>
      <c r="U76" s="219" t="s">
        <v>383</v>
      </c>
      <c r="V76" s="218">
        <v>10000</v>
      </c>
      <c r="W76" s="219" t="s">
        <v>3223</v>
      </c>
      <c r="X76" s="218">
        <f>342+75000</f>
        <v>75342</v>
      </c>
      <c r="Y76" s="219" t="s">
        <v>3681</v>
      </c>
      <c r="Z76" s="128">
        <v>55000</v>
      </c>
      <c r="AA76" s="179" t="s">
        <v>3538</v>
      </c>
      <c r="AB76" s="218">
        <v>530000</v>
      </c>
      <c r="AC76" s="219" t="s">
        <v>3682</v>
      </c>
      <c r="AH76" s="218">
        <f t="shared" si="6"/>
        <v>670342</v>
      </c>
      <c r="AK76" s="179">
        <f t="shared" si="9"/>
        <v>0</v>
      </c>
      <c r="AL76" s="128">
        <v>13596680508</v>
      </c>
      <c r="AM76" s="177" t="s">
        <v>3480</v>
      </c>
      <c r="AO76" s="128">
        <f t="shared" si="7"/>
        <v>670342</v>
      </c>
      <c r="AP76" s="173">
        <f>0.7%+0.08%+0.03%</f>
        <v>0.0081</v>
      </c>
      <c r="AQ76" s="275">
        <f t="shared" si="8"/>
        <v>0</v>
      </c>
      <c r="AR76" s="218"/>
      <c r="AS76" s="218"/>
      <c r="AT76" s="218"/>
      <c r="AU76" s="218"/>
      <c r="AV76" s="218"/>
      <c r="AW76" s="218"/>
      <c r="AX76" s="218"/>
      <c r="AY76" s="218"/>
      <c r="AZ76" s="218"/>
      <c r="BB76" s="218"/>
      <c r="BU76" s="128">
        <v>140342</v>
      </c>
      <c r="BV76" s="128">
        <v>530000</v>
      </c>
      <c r="CI76" s="128" t="s">
        <v>376</v>
      </c>
      <c r="CK76" s="128" t="s">
        <v>377</v>
      </c>
    </row>
    <row r="77" s="128" customFormat="1" customHeight="1" spans="1:89">
      <c r="A77" s="272">
        <v>58</v>
      </c>
      <c r="B77" s="128"/>
      <c r="C77" s="184">
        <v>45778</v>
      </c>
      <c r="D77" s="128">
        <v>20250002223</v>
      </c>
      <c r="F77" s="1016" t="s">
        <v>3683</v>
      </c>
      <c r="G77" s="128" t="s">
        <v>3684</v>
      </c>
      <c r="H77" s="1016" t="s">
        <v>3685</v>
      </c>
      <c r="I77" s="128" t="s">
        <v>3686</v>
      </c>
      <c r="J77" s="128">
        <v>117.97</v>
      </c>
      <c r="K77" s="128">
        <v>117.97</v>
      </c>
      <c r="L77" s="128">
        <v>5894.326</v>
      </c>
      <c r="M77" s="274">
        <v>695354</v>
      </c>
      <c r="N77" s="218">
        <v>5894.326</v>
      </c>
      <c r="O77" s="168">
        <v>637939.45</v>
      </c>
      <c r="P77" s="1017" t="s">
        <v>3687</v>
      </c>
      <c r="Q77" s="211">
        <v>45856</v>
      </c>
      <c r="R77" s="218"/>
      <c r="S77" s="219"/>
      <c r="T77" s="272"/>
      <c r="U77" s="219" t="s">
        <v>486</v>
      </c>
      <c r="V77" s="218">
        <v>20000</v>
      </c>
      <c r="W77" s="219" t="s">
        <v>3688</v>
      </c>
      <c r="X77" s="218">
        <v>675000</v>
      </c>
      <c r="Y77" s="211" t="s">
        <v>1146</v>
      </c>
      <c r="Z77" s="218">
        <v>354</v>
      </c>
      <c r="AA77" s="219" t="s">
        <v>3681</v>
      </c>
      <c r="AB77" s="218"/>
      <c r="AH77" s="218">
        <f t="shared" si="6"/>
        <v>695354</v>
      </c>
      <c r="AK77" s="179">
        <f t="shared" si="9"/>
        <v>0</v>
      </c>
      <c r="AL77" s="128">
        <v>18099774887</v>
      </c>
      <c r="AM77" s="177" t="s">
        <v>3402</v>
      </c>
      <c r="AO77" s="128">
        <f t="shared" si="7"/>
        <v>695354</v>
      </c>
      <c r="AP77" s="173">
        <f>0.4%+0.02%+0.08%+0.03%</f>
        <v>0.0053</v>
      </c>
      <c r="AQ77" s="275">
        <f t="shared" si="8"/>
        <v>0</v>
      </c>
      <c r="AR77" s="218"/>
      <c r="AS77" s="218"/>
      <c r="AT77" s="218"/>
      <c r="AU77" s="218"/>
      <c r="AV77" s="218"/>
      <c r="AW77" s="218"/>
      <c r="AX77" s="218"/>
      <c r="AY77" s="218"/>
      <c r="AZ77" s="218"/>
      <c r="BB77" s="218"/>
      <c r="BU77" s="128">
        <v>695354</v>
      </c>
      <c r="CI77" s="128" t="s">
        <v>376</v>
      </c>
      <c r="CK77" s="128" t="s">
        <v>377</v>
      </c>
    </row>
    <row r="78" s="128" customFormat="1" customHeight="1" spans="1:89">
      <c r="A78" s="272">
        <v>59</v>
      </c>
      <c r="B78" s="128"/>
      <c r="C78" s="184">
        <v>45819</v>
      </c>
      <c r="D78" s="128">
        <v>20250003053</v>
      </c>
      <c r="F78" s="1016" t="s">
        <v>3689</v>
      </c>
      <c r="G78" s="128" t="s">
        <v>3690</v>
      </c>
      <c r="H78" s="1016" t="s">
        <v>3691</v>
      </c>
      <c r="I78" s="128" t="s">
        <v>3692</v>
      </c>
      <c r="J78" s="128">
        <v>117.6</v>
      </c>
      <c r="K78" s="128">
        <v>117.6</v>
      </c>
      <c r="L78" s="128">
        <v>6000</v>
      </c>
      <c r="M78" s="274">
        <v>705600</v>
      </c>
      <c r="N78" s="218">
        <v>6000</v>
      </c>
      <c r="O78" s="168">
        <v>647339.45</v>
      </c>
      <c r="P78" s="1017" t="s">
        <v>3693</v>
      </c>
      <c r="Q78" s="211">
        <v>45910</v>
      </c>
      <c r="R78" s="218"/>
      <c r="S78" s="219"/>
      <c r="T78" s="272"/>
      <c r="U78" s="219" t="s">
        <v>840</v>
      </c>
      <c r="V78" s="218">
        <v>20000</v>
      </c>
      <c r="W78" s="219" t="s">
        <v>3694</v>
      </c>
      <c r="X78" s="218">
        <v>53240</v>
      </c>
      <c r="Y78" s="219" t="s">
        <v>3695</v>
      </c>
      <c r="Z78" s="128">
        <v>72000</v>
      </c>
      <c r="AA78" s="179" t="s">
        <v>3696</v>
      </c>
      <c r="AB78" s="218">
        <v>360</v>
      </c>
      <c r="AC78" s="219">
        <v>45848</v>
      </c>
      <c r="AD78" s="128">
        <v>560000</v>
      </c>
      <c r="AE78" s="128" t="s">
        <v>3646</v>
      </c>
      <c r="AH78" s="218">
        <f t="shared" si="6"/>
        <v>705600</v>
      </c>
      <c r="AK78" s="179">
        <f t="shared" si="9"/>
        <v>0</v>
      </c>
      <c r="AL78" s="128">
        <v>15739367090</v>
      </c>
      <c r="AM78" s="177" t="s">
        <v>3640</v>
      </c>
      <c r="AO78" s="128">
        <f t="shared" si="7"/>
        <v>705240</v>
      </c>
      <c r="AP78" s="173">
        <f>0.4%+0.08%+0.03%</f>
        <v>0.0051</v>
      </c>
      <c r="AQ78" s="275">
        <f t="shared" si="8"/>
        <v>0</v>
      </c>
      <c r="AR78" s="218"/>
      <c r="AS78" s="218"/>
      <c r="AT78" s="218"/>
      <c r="AU78" s="218"/>
      <c r="AV78" s="218"/>
      <c r="AW78" s="218"/>
      <c r="AX78" s="218"/>
      <c r="AY78" s="218"/>
      <c r="AZ78" s="218"/>
      <c r="BB78" s="218"/>
      <c r="BV78" s="128">
        <v>145240</v>
      </c>
      <c r="BW78" s="128">
        <v>560000</v>
      </c>
      <c r="CI78" s="128" t="s">
        <v>376</v>
      </c>
      <c r="CK78" s="128" t="s">
        <v>377</v>
      </c>
    </row>
    <row r="79" s="128" customFormat="1" customHeight="1" spans="1:89">
      <c r="A79" s="272">
        <v>60</v>
      </c>
      <c r="B79" s="128"/>
      <c r="C79" s="184">
        <v>45810</v>
      </c>
      <c r="D79" s="128">
        <v>20250002980</v>
      </c>
      <c r="F79" s="1016" t="s">
        <v>3697</v>
      </c>
      <c r="G79" s="128" t="s">
        <v>3698</v>
      </c>
      <c r="H79" s="1016" t="s">
        <v>3699</v>
      </c>
      <c r="I79" s="128" t="s">
        <v>3700</v>
      </c>
      <c r="J79" s="128">
        <v>117.97</v>
      </c>
      <c r="K79" s="128">
        <v>117.97</v>
      </c>
      <c r="L79" s="128">
        <v>5936.73</v>
      </c>
      <c r="M79" s="274">
        <v>700356</v>
      </c>
      <c r="N79" s="218">
        <v>5936.73</v>
      </c>
      <c r="O79" s="168">
        <v>642528.44</v>
      </c>
      <c r="P79" s="1017" t="s">
        <v>3701</v>
      </c>
      <c r="Q79" s="211">
        <v>45827</v>
      </c>
      <c r="R79" s="218"/>
      <c r="S79" s="219"/>
      <c r="T79" s="272"/>
      <c r="U79" s="219" t="s">
        <v>524</v>
      </c>
      <c r="V79" s="218">
        <v>20000</v>
      </c>
      <c r="W79" s="219" t="s">
        <v>3702</v>
      </c>
      <c r="X79" s="218">
        <v>85000</v>
      </c>
      <c r="Y79" s="211" t="s">
        <v>3703</v>
      </c>
      <c r="Z79" s="218">
        <v>356</v>
      </c>
      <c r="AA79" s="219" t="s">
        <v>957</v>
      </c>
      <c r="AB79" s="218">
        <v>595000</v>
      </c>
      <c r="AC79" s="128" t="s">
        <v>3696</v>
      </c>
      <c r="AH79" s="218">
        <f t="shared" si="6"/>
        <v>700356</v>
      </c>
      <c r="AK79" s="179">
        <f t="shared" si="9"/>
        <v>0</v>
      </c>
      <c r="AL79" s="128">
        <v>17339883754</v>
      </c>
      <c r="AM79" s="177" t="s">
        <v>3640</v>
      </c>
      <c r="AO79" s="128">
        <f t="shared" si="7"/>
        <v>700356</v>
      </c>
      <c r="AP79" s="169">
        <f>0.7%+0.03%+0.08%+0.03%</f>
        <v>0.0084</v>
      </c>
      <c r="AQ79" s="275">
        <f t="shared" si="8"/>
        <v>0</v>
      </c>
      <c r="AR79" s="218"/>
      <c r="AS79" s="218"/>
      <c r="AT79" s="218"/>
      <c r="AU79" s="218"/>
      <c r="AV79" s="218"/>
      <c r="AW79" s="218"/>
      <c r="AX79" s="218"/>
      <c r="AY79" s="218"/>
      <c r="AZ79" s="218"/>
      <c r="BB79" s="218"/>
      <c r="BV79" s="128">
        <v>700356</v>
      </c>
      <c r="CI79" s="128" t="s">
        <v>376</v>
      </c>
      <c r="CK79" s="128" t="s">
        <v>377</v>
      </c>
    </row>
    <row r="80" s="128" customFormat="1" customHeight="1" spans="1:89">
      <c r="A80" s="272">
        <v>61</v>
      </c>
      <c r="B80" s="128"/>
      <c r="C80" s="184">
        <v>45934</v>
      </c>
      <c r="D80" s="128">
        <v>20250005076</v>
      </c>
      <c r="F80" s="1016" t="s">
        <v>3704</v>
      </c>
      <c r="G80" s="128" t="s">
        <v>3705</v>
      </c>
      <c r="H80" s="1016" t="s">
        <v>3706</v>
      </c>
      <c r="I80" s="128" t="s">
        <v>3707</v>
      </c>
      <c r="J80" s="128">
        <v>117.6</v>
      </c>
      <c r="K80" s="128">
        <v>117.6</v>
      </c>
      <c r="L80" s="128">
        <v>5900</v>
      </c>
      <c r="M80" s="274">
        <v>693840</v>
      </c>
      <c r="N80" s="218">
        <v>5900</v>
      </c>
      <c r="O80" s="168">
        <v>636550.46</v>
      </c>
      <c r="P80" s="1017" t="s">
        <v>3708</v>
      </c>
      <c r="Q80" s="211">
        <v>45940</v>
      </c>
      <c r="R80" s="218"/>
      <c r="S80" s="219"/>
      <c r="T80" s="272"/>
      <c r="U80" s="219" t="s">
        <v>2278</v>
      </c>
      <c r="V80" s="218">
        <v>10000</v>
      </c>
      <c r="W80" s="219" t="s">
        <v>3709</v>
      </c>
      <c r="X80" s="218">
        <v>393840</v>
      </c>
      <c r="Y80" s="219">
        <v>45934</v>
      </c>
      <c r="Z80" s="218">
        <v>290000</v>
      </c>
      <c r="AA80" s="219">
        <v>45996</v>
      </c>
      <c r="AB80" s="218"/>
      <c r="AH80" s="218">
        <f t="shared" si="6"/>
        <v>693840</v>
      </c>
      <c r="AK80" s="179">
        <f t="shared" si="9"/>
        <v>0</v>
      </c>
      <c r="AM80" s="177" t="s">
        <v>3640</v>
      </c>
      <c r="AO80" s="128">
        <f t="shared" si="7"/>
        <v>693840</v>
      </c>
      <c r="AP80" s="173">
        <f>0.7%+0.04%+0.08%+0.03%</f>
        <v>0.0085</v>
      </c>
      <c r="AQ80" s="275">
        <f t="shared" si="8"/>
        <v>0</v>
      </c>
      <c r="AR80" s="218"/>
      <c r="AS80" s="218"/>
      <c r="AT80" s="218"/>
      <c r="AU80" s="218"/>
      <c r="AV80" s="218"/>
      <c r="AW80" s="218"/>
      <c r="AX80" s="218"/>
      <c r="AY80" s="218"/>
      <c r="AZ80" s="218"/>
      <c r="BB80" s="218"/>
      <c r="BZ80" s="128">
        <v>693840</v>
      </c>
      <c r="CI80" s="128" t="s">
        <v>3376</v>
      </c>
      <c r="CK80" s="128" t="s">
        <v>377</v>
      </c>
    </row>
    <row r="81" s="128" customFormat="1" customHeight="1" spans="1:89">
      <c r="A81" s="272">
        <v>62</v>
      </c>
      <c r="B81" s="128"/>
      <c r="C81" s="184">
        <v>45845</v>
      </c>
      <c r="D81" s="128">
        <v>20250003608</v>
      </c>
      <c r="F81" s="128" t="s">
        <v>3710</v>
      </c>
      <c r="G81" s="128" t="s">
        <v>3711</v>
      </c>
      <c r="H81" s="1016" t="s">
        <v>3712</v>
      </c>
      <c r="I81" s="128" t="s">
        <v>3713</v>
      </c>
      <c r="J81" s="128">
        <v>117.97</v>
      </c>
      <c r="K81" s="128">
        <v>117.97</v>
      </c>
      <c r="L81" s="128">
        <v>5936.73</v>
      </c>
      <c r="M81" s="274">
        <v>700356</v>
      </c>
      <c r="N81" s="218">
        <v>5936.73</v>
      </c>
      <c r="O81" s="168">
        <v>642528.44</v>
      </c>
      <c r="P81" s="1017" t="s">
        <v>3714</v>
      </c>
      <c r="Q81" s="211">
        <v>45863</v>
      </c>
      <c r="R81" s="218"/>
      <c r="S81" s="219"/>
      <c r="T81" s="272"/>
      <c r="U81" s="219" t="s">
        <v>373</v>
      </c>
      <c r="V81" s="218">
        <v>20000</v>
      </c>
      <c r="W81" s="219" t="s">
        <v>3715</v>
      </c>
      <c r="X81" s="218">
        <f>356+120000</f>
        <v>120356</v>
      </c>
      <c r="Y81" s="219">
        <v>45843</v>
      </c>
      <c r="Z81" s="128">
        <v>560000</v>
      </c>
      <c r="AA81" s="179" t="s">
        <v>3716</v>
      </c>
      <c r="AB81" s="218"/>
      <c r="AH81" s="218">
        <f t="shared" si="6"/>
        <v>700356</v>
      </c>
      <c r="AK81" s="179">
        <f t="shared" si="9"/>
        <v>0</v>
      </c>
      <c r="AL81" s="128">
        <v>13349352127</v>
      </c>
      <c r="AM81" s="177" t="s">
        <v>3402</v>
      </c>
      <c r="AO81" s="128">
        <f t="shared" si="7"/>
        <v>700356</v>
      </c>
      <c r="AP81" s="173">
        <f>0.7%+0.05%+0.08%+0.03%</f>
        <v>0.0086</v>
      </c>
      <c r="AQ81" s="275">
        <f t="shared" si="8"/>
        <v>0</v>
      </c>
      <c r="AR81" s="218"/>
      <c r="AS81" s="218"/>
      <c r="AT81" s="218"/>
      <c r="AU81" s="218"/>
      <c r="AV81" s="218"/>
      <c r="AW81" s="218"/>
      <c r="AX81" s="218"/>
      <c r="AY81" s="218"/>
      <c r="AZ81" s="218"/>
      <c r="BB81" s="218"/>
      <c r="BW81" s="128">
        <v>700356</v>
      </c>
      <c r="CI81" s="128" t="s">
        <v>2825</v>
      </c>
      <c r="CK81" s="128" t="s">
        <v>377</v>
      </c>
    </row>
    <row r="82" s="128" customFormat="1" customHeight="1" spans="1:89">
      <c r="A82" s="272">
        <v>63</v>
      </c>
      <c r="B82" s="128"/>
      <c r="C82" s="184">
        <v>45936</v>
      </c>
      <c r="D82" s="128">
        <v>20250005116</v>
      </c>
      <c r="F82" s="1016" t="s">
        <v>3717</v>
      </c>
      <c r="G82" s="128" t="s">
        <v>3718</v>
      </c>
      <c r="I82" s="128" t="s">
        <v>3719</v>
      </c>
      <c r="J82" s="128">
        <v>117.6</v>
      </c>
      <c r="K82" s="128">
        <v>117.6</v>
      </c>
      <c r="L82" s="128">
        <v>5400</v>
      </c>
      <c r="M82" s="274">
        <v>635040</v>
      </c>
      <c r="N82" s="218">
        <v>5400</v>
      </c>
      <c r="O82" s="168">
        <v>582605.5</v>
      </c>
      <c r="P82" s="1017" t="s">
        <v>3720</v>
      </c>
      <c r="Q82" s="211">
        <v>45951</v>
      </c>
      <c r="R82" s="218"/>
      <c r="S82" s="219"/>
      <c r="T82" s="272"/>
      <c r="U82" s="272" t="s">
        <v>687</v>
      </c>
      <c r="V82" s="218">
        <f>20000+60000+57040</f>
        <v>137040</v>
      </c>
      <c r="W82" s="219" t="s">
        <v>3721</v>
      </c>
      <c r="X82" s="218">
        <v>148000</v>
      </c>
      <c r="Y82" s="219">
        <v>45946</v>
      </c>
      <c r="Z82" s="218">
        <v>350000</v>
      </c>
      <c r="AA82" s="219">
        <v>46000</v>
      </c>
      <c r="AB82" s="218"/>
      <c r="AH82" s="218">
        <f t="shared" si="6"/>
        <v>635040</v>
      </c>
      <c r="AK82" s="179">
        <f t="shared" si="9"/>
        <v>0</v>
      </c>
      <c r="AM82" s="280" t="s">
        <v>3480</v>
      </c>
      <c r="AO82" s="128">
        <f t="shared" si="7"/>
        <v>635040</v>
      </c>
      <c r="AP82" s="173">
        <f>0.7%+0.02%+0.08%+0.03%</f>
        <v>0.0083</v>
      </c>
      <c r="AQ82" s="275">
        <f t="shared" si="8"/>
        <v>0</v>
      </c>
      <c r="AR82" s="218"/>
      <c r="AS82" s="218"/>
      <c r="AT82" s="218"/>
      <c r="AU82" s="218"/>
      <c r="AV82" s="218"/>
      <c r="AW82" s="218"/>
      <c r="AX82" s="218"/>
      <c r="AY82" s="218"/>
      <c r="AZ82" s="218"/>
      <c r="BB82" s="218"/>
      <c r="BZ82" s="128">
        <v>285040</v>
      </c>
      <c r="CB82" s="128">
        <v>350000</v>
      </c>
      <c r="CI82" s="128" t="s">
        <v>3376</v>
      </c>
      <c r="CK82" s="128" t="s">
        <v>377</v>
      </c>
    </row>
    <row r="83" s="128" customFormat="1" customHeight="1" spans="1:89">
      <c r="A83" s="272">
        <v>64</v>
      </c>
      <c r="C83" s="184">
        <v>45911</v>
      </c>
      <c r="D83" s="128">
        <v>20250004613</v>
      </c>
      <c r="E83" s="128" t="s">
        <v>3722</v>
      </c>
      <c r="F83" s="1016" t="s">
        <v>3723</v>
      </c>
      <c r="G83" s="128" t="s">
        <v>3724</v>
      </c>
      <c r="I83" s="128" t="s">
        <v>3725</v>
      </c>
      <c r="J83" s="128">
        <v>117.97</v>
      </c>
      <c r="K83" s="128">
        <v>117.97</v>
      </c>
      <c r="L83" s="128">
        <v>6405</v>
      </c>
      <c r="M83" s="274">
        <v>755598</v>
      </c>
      <c r="N83" s="218">
        <v>6020.88</v>
      </c>
      <c r="O83" s="168">
        <v>693209.17</v>
      </c>
      <c r="P83" s="1017" t="s">
        <v>3726</v>
      </c>
      <c r="Q83" s="211">
        <v>46035</v>
      </c>
      <c r="R83" s="218"/>
      <c r="S83" s="219"/>
      <c r="T83" s="272"/>
      <c r="U83" s="219"/>
      <c r="V83" s="218">
        <v>255598</v>
      </c>
      <c r="W83" s="219">
        <v>45911</v>
      </c>
      <c r="X83" s="218">
        <v>150000</v>
      </c>
      <c r="Y83" s="219">
        <v>45995</v>
      </c>
      <c r="Z83" s="128">
        <v>20000</v>
      </c>
      <c r="AA83" s="179" t="s">
        <v>3727</v>
      </c>
      <c r="AB83" s="218">
        <v>330000</v>
      </c>
      <c r="AC83" s="219">
        <v>46050</v>
      </c>
      <c r="AH83" s="218">
        <f t="shared" si="6"/>
        <v>755598</v>
      </c>
      <c r="AK83" s="179">
        <f t="shared" si="9"/>
        <v>0</v>
      </c>
      <c r="AM83" s="177"/>
      <c r="AO83" s="128">
        <f t="shared" si="7"/>
        <v>0</v>
      </c>
      <c r="AP83" s="173"/>
      <c r="AQ83" s="275">
        <f t="shared" si="8"/>
        <v>0</v>
      </c>
      <c r="AR83" s="218"/>
      <c r="AS83" s="218"/>
      <c r="AT83" s="218"/>
      <c r="AU83" s="218"/>
      <c r="AV83" s="218"/>
      <c r="AW83" s="218"/>
      <c r="AX83" s="218"/>
      <c r="AY83" s="218"/>
      <c r="AZ83" s="218"/>
      <c r="BB83" s="218"/>
      <c r="CI83" s="128" t="s">
        <v>2825</v>
      </c>
      <c r="CK83" s="128" t="s">
        <v>377</v>
      </c>
    </row>
    <row r="84" s="128" customFormat="1" customHeight="1" spans="1:89">
      <c r="A84" s="272">
        <v>65</v>
      </c>
      <c r="B84" s="128"/>
      <c r="C84" s="184">
        <v>45650</v>
      </c>
      <c r="D84" s="128">
        <v>20240007421</v>
      </c>
      <c r="E84" s="128" t="s">
        <v>366</v>
      </c>
      <c r="F84" s="128" t="s">
        <v>3728</v>
      </c>
      <c r="G84" s="128" t="s">
        <v>3729</v>
      </c>
      <c r="I84" s="128" t="s">
        <v>3730</v>
      </c>
      <c r="J84" s="128">
        <v>117.6</v>
      </c>
      <c r="K84" s="128">
        <v>117.6</v>
      </c>
      <c r="L84" s="128">
        <v>6883</v>
      </c>
      <c r="M84" s="274">
        <v>809441</v>
      </c>
      <c r="N84" s="218">
        <v>7082.5</v>
      </c>
      <c r="O84" s="168">
        <v>742606.42</v>
      </c>
      <c r="P84" s="1017" t="s">
        <v>3731</v>
      </c>
      <c r="Q84" s="211">
        <v>45856</v>
      </c>
      <c r="R84" s="218"/>
      <c r="S84" s="219"/>
      <c r="T84" s="272"/>
      <c r="U84" s="219"/>
      <c r="V84" s="218">
        <v>119028</v>
      </c>
      <c r="W84" s="219" t="s">
        <v>620</v>
      </c>
      <c r="X84" s="218">
        <v>60000</v>
      </c>
      <c r="Y84" s="219" t="s">
        <v>3732</v>
      </c>
      <c r="Z84" s="128">
        <v>630000</v>
      </c>
      <c r="AA84" s="179" t="s">
        <v>622</v>
      </c>
      <c r="AB84" s="218">
        <v>413</v>
      </c>
      <c r="AC84" s="219" t="s">
        <v>3370</v>
      </c>
      <c r="AH84" s="218">
        <f t="shared" si="6"/>
        <v>809441</v>
      </c>
      <c r="AK84" s="179">
        <f t="shared" si="9"/>
        <v>0</v>
      </c>
      <c r="AM84" s="177"/>
      <c r="AO84" s="128">
        <f t="shared" si="7"/>
        <v>0</v>
      </c>
      <c r="AP84" s="173"/>
      <c r="AQ84" s="275">
        <f t="shared" si="8"/>
        <v>0</v>
      </c>
      <c r="AR84" s="218"/>
      <c r="AS84" s="218"/>
      <c r="AT84" s="218"/>
      <c r="AU84" s="218"/>
      <c r="AV84" s="218"/>
      <c r="AW84" s="218"/>
      <c r="AX84" s="218"/>
      <c r="AY84" s="218"/>
      <c r="AZ84" s="218"/>
      <c r="BB84" s="218"/>
      <c r="CI84" s="128" t="s">
        <v>376</v>
      </c>
      <c r="CK84" s="128" t="s">
        <v>377</v>
      </c>
    </row>
    <row r="85" s="128" customFormat="1" customHeight="1" spans="1:89">
      <c r="A85" s="272">
        <v>66</v>
      </c>
      <c r="C85" s="184">
        <v>46115</v>
      </c>
      <c r="D85" s="128">
        <v>20260001531</v>
      </c>
      <c r="E85" s="128" t="s">
        <v>132</v>
      </c>
      <c r="F85" s="1016" t="s">
        <v>133</v>
      </c>
      <c r="G85" s="128" t="s">
        <v>134</v>
      </c>
      <c r="I85" s="128" t="s">
        <v>135</v>
      </c>
      <c r="J85" s="128">
        <v>117.97</v>
      </c>
      <c r="K85" s="128">
        <v>117.97</v>
      </c>
      <c r="L85" s="128"/>
      <c r="M85" s="274">
        <v>884461</v>
      </c>
      <c r="N85" s="218">
        <v>7047.5</v>
      </c>
      <c r="O85" s="168">
        <v>811432.11</v>
      </c>
      <c r="P85" s="1017" t="s">
        <v>3733</v>
      </c>
      <c r="Q85" s="211">
        <v>46120</v>
      </c>
      <c r="R85" s="218"/>
      <c r="S85" s="219"/>
      <c r="T85" s="272"/>
      <c r="U85" s="219"/>
      <c r="V85" s="218">
        <f>884011+450</f>
        <v>884461</v>
      </c>
      <c r="W85" s="219" t="s">
        <v>3734</v>
      </c>
      <c r="X85" s="218"/>
      <c r="Y85" s="211"/>
      <c r="AA85" s="179"/>
      <c r="AB85" s="218"/>
      <c r="AH85" s="218">
        <f t="shared" si="6"/>
        <v>884461</v>
      </c>
      <c r="AK85" s="179">
        <f t="shared" si="9"/>
        <v>0</v>
      </c>
      <c r="AM85" s="177"/>
      <c r="AO85" s="128">
        <f t="shared" si="7"/>
        <v>0</v>
      </c>
      <c r="AP85" s="173"/>
      <c r="AQ85" s="275">
        <f t="shared" si="8"/>
        <v>0</v>
      </c>
      <c r="AR85" s="218"/>
      <c r="AS85" s="218"/>
      <c r="AT85" s="218"/>
      <c r="AU85" s="218"/>
      <c r="AV85" s="218"/>
      <c r="AW85" s="218"/>
      <c r="AX85" s="218"/>
      <c r="AY85" s="218"/>
      <c r="AZ85" s="218"/>
      <c r="BB85" s="218"/>
      <c r="CI85" s="128" t="s">
        <v>376</v>
      </c>
      <c r="CK85" s="128" t="s">
        <v>377</v>
      </c>
    </row>
    <row r="86" s="101" customFormat="1" customHeight="1" spans="1:89">
      <c r="C86" s="200"/>
      <c r="I86" s="269" t="s">
        <v>3735</v>
      </c>
      <c r="J86" s="281">
        <v>34.92</v>
      </c>
      <c r="M86" s="235"/>
      <c r="N86" s="202">
        <v>82329</v>
      </c>
      <c r="O86" s="158"/>
      <c r="P86" s="203"/>
      <c r="Q86" s="205"/>
      <c r="R86" s="202"/>
      <c r="S86" s="204"/>
      <c r="T86" s="199"/>
      <c r="U86" s="219"/>
      <c r="V86" s="202"/>
      <c r="X86" s="202"/>
      <c r="Y86" s="205"/>
      <c r="AA86" s="201"/>
      <c r="AB86" s="202"/>
      <c r="AH86" s="202">
        <f t="shared" si="6"/>
        <v>0</v>
      </c>
      <c r="AK86" s="201">
        <f t="shared" ref="AK86:AK104" si="10">M86-AH86</f>
        <v>0</v>
      </c>
      <c r="AM86" s="200"/>
      <c r="AO86" s="101">
        <f t="shared" si="7"/>
        <v>0</v>
      </c>
      <c r="AP86" s="207">
        <v>0.02</v>
      </c>
      <c r="AQ86" s="268">
        <f t="shared" si="8"/>
        <v>0</v>
      </c>
      <c r="AR86" s="202"/>
      <c r="AS86" s="202"/>
      <c r="AT86" s="202"/>
      <c r="AU86" s="202"/>
      <c r="AV86" s="202"/>
      <c r="AW86" s="202"/>
      <c r="AX86" s="202"/>
      <c r="AY86" s="202"/>
      <c r="AZ86" s="202"/>
      <c r="BB86" s="202"/>
    </row>
    <row r="87" s="101" customFormat="1" customHeight="1" spans="1:89">
      <c r="C87" s="200"/>
      <c r="I87" s="266" t="s">
        <v>3736</v>
      </c>
      <c r="J87" s="281">
        <v>39.57</v>
      </c>
      <c r="M87" s="235"/>
      <c r="N87" s="202">
        <v>93287</v>
      </c>
      <c r="O87" s="158"/>
      <c r="P87" s="203"/>
      <c r="Q87" s="205"/>
      <c r="R87" s="202"/>
      <c r="S87" s="204"/>
      <c r="T87" s="199"/>
      <c r="U87" s="219"/>
      <c r="V87" s="202"/>
      <c r="X87" s="202"/>
      <c r="Y87" s="205"/>
      <c r="AA87" s="201"/>
      <c r="AB87" s="202"/>
      <c r="AH87" s="202">
        <f t="shared" si="6"/>
        <v>0</v>
      </c>
      <c r="AK87" s="201">
        <f t="shared" si="10"/>
        <v>0</v>
      </c>
      <c r="AM87" s="200"/>
      <c r="AO87" s="101">
        <f t="shared" si="7"/>
        <v>0</v>
      </c>
      <c r="AP87" s="207">
        <v>0.02</v>
      </c>
      <c r="AQ87" s="268">
        <f t="shared" si="8"/>
        <v>0</v>
      </c>
      <c r="AR87" s="202"/>
      <c r="AS87" s="202"/>
      <c r="AT87" s="202"/>
      <c r="AU87" s="202"/>
      <c r="AV87" s="202"/>
      <c r="AW87" s="202"/>
      <c r="AX87" s="202"/>
      <c r="AY87" s="202"/>
      <c r="AZ87" s="202"/>
      <c r="BB87" s="202"/>
    </row>
    <row r="88" s="101" customFormat="1" customHeight="1" spans="1:89">
      <c r="C88" s="200"/>
      <c r="I88" s="269" t="s">
        <v>3737</v>
      </c>
      <c r="J88" s="281">
        <v>38.6</v>
      </c>
      <c r="M88" s="235"/>
      <c r="N88" s="202">
        <v>91012</v>
      </c>
      <c r="O88" s="158"/>
      <c r="P88" s="203"/>
      <c r="Q88" s="205"/>
      <c r="R88" s="202"/>
      <c r="S88" s="204"/>
      <c r="T88" s="199"/>
      <c r="U88" s="219"/>
      <c r="V88" s="202"/>
      <c r="X88" s="202"/>
      <c r="Y88" s="205"/>
      <c r="AA88" s="201"/>
      <c r="AB88" s="202"/>
      <c r="AH88" s="202">
        <f t="shared" si="6"/>
        <v>0</v>
      </c>
      <c r="AK88" s="201">
        <f t="shared" si="10"/>
        <v>0</v>
      </c>
      <c r="AM88" s="200"/>
      <c r="AO88" s="101">
        <f t="shared" si="7"/>
        <v>0</v>
      </c>
      <c r="AP88" s="207">
        <v>0.02</v>
      </c>
      <c r="AQ88" s="268">
        <f t="shared" si="8"/>
        <v>0</v>
      </c>
      <c r="AR88" s="202"/>
      <c r="AS88" s="202"/>
      <c r="AT88" s="202"/>
      <c r="AU88" s="202"/>
      <c r="AV88" s="202"/>
      <c r="AW88" s="202"/>
      <c r="AX88" s="202"/>
      <c r="AY88" s="202"/>
      <c r="AZ88" s="202"/>
      <c r="BB88" s="202"/>
    </row>
    <row r="89" s="101" customFormat="1" customHeight="1" spans="1:89">
      <c r="C89" s="200"/>
      <c r="I89" s="266" t="s">
        <v>3738</v>
      </c>
      <c r="J89" s="281">
        <v>38.99</v>
      </c>
      <c r="M89" s="235"/>
      <c r="N89" s="202">
        <v>91922</v>
      </c>
      <c r="O89" s="158"/>
      <c r="P89" s="203"/>
      <c r="Q89" s="205"/>
      <c r="R89" s="202"/>
      <c r="S89" s="204"/>
      <c r="T89" s="199"/>
      <c r="U89" s="219"/>
      <c r="V89" s="202"/>
      <c r="X89" s="202"/>
      <c r="Y89" s="205"/>
      <c r="AA89" s="201"/>
      <c r="AB89" s="202"/>
      <c r="AH89" s="202">
        <f t="shared" si="6"/>
        <v>0</v>
      </c>
      <c r="AK89" s="201">
        <f t="shared" si="10"/>
        <v>0</v>
      </c>
      <c r="AM89" s="200"/>
      <c r="AO89" s="101">
        <f t="shared" si="7"/>
        <v>0</v>
      </c>
      <c r="AP89" s="207">
        <v>0.02</v>
      </c>
      <c r="AQ89" s="268">
        <f t="shared" si="8"/>
        <v>0</v>
      </c>
      <c r="AR89" s="202"/>
      <c r="AS89" s="202"/>
      <c r="AT89" s="202"/>
      <c r="AU89" s="202"/>
      <c r="AV89" s="202"/>
      <c r="AW89" s="202"/>
      <c r="AX89" s="202"/>
      <c r="AY89" s="202"/>
      <c r="AZ89" s="202"/>
      <c r="BB89" s="202"/>
    </row>
    <row r="90" s="101" customFormat="1" customHeight="1" spans="1:89">
      <c r="C90" s="200"/>
      <c r="I90" s="269" t="s">
        <v>3739</v>
      </c>
      <c r="J90" s="281">
        <v>32.99</v>
      </c>
      <c r="M90" s="235"/>
      <c r="N90" s="202">
        <v>77780</v>
      </c>
      <c r="O90" s="158"/>
      <c r="P90" s="203"/>
      <c r="Q90" s="205"/>
      <c r="R90" s="202"/>
      <c r="S90" s="204"/>
      <c r="T90" s="199"/>
      <c r="U90" s="219"/>
      <c r="V90" s="202"/>
      <c r="X90" s="202"/>
      <c r="Y90" s="205"/>
      <c r="AA90" s="201"/>
      <c r="AB90" s="202"/>
      <c r="AH90" s="202">
        <f t="shared" si="6"/>
        <v>0</v>
      </c>
      <c r="AK90" s="201">
        <f t="shared" si="10"/>
        <v>0</v>
      </c>
      <c r="AM90" s="200"/>
      <c r="AO90" s="101">
        <f t="shared" si="7"/>
        <v>0</v>
      </c>
      <c r="AP90" s="207">
        <v>0.02</v>
      </c>
      <c r="AQ90" s="268">
        <f t="shared" si="8"/>
        <v>0</v>
      </c>
      <c r="AR90" s="202"/>
      <c r="AS90" s="202"/>
      <c r="AT90" s="202"/>
      <c r="AU90" s="202"/>
      <c r="AV90" s="202"/>
      <c r="AW90" s="202"/>
      <c r="AX90" s="202"/>
      <c r="AY90" s="202"/>
      <c r="AZ90" s="202"/>
      <c r="BB90" s="202"/>
    </row>
    <row r="91" s="101" customFormat="1" customHeight="1" spans="1:89">
      <c r="C91" s="200"/>
      <c r="G91" s="101" t="s">
        <v>3740</v>
      </c>
      <c r="I91" s="269" t="s">
        <v>3741</v>
      </c>
      <c r="J91" s="281">
        <v>22.57</v>
      </c>
      <c r="M91" s="235">
        <v>53218</v>
      </c>
      <c r="N91" s="202">
        <v>53218</v>
      </c>
      <c r="O91" s="158"/>
      <c r="P91" s="203"/>
      <c r="Q91" s="205"/>
      <c r="R91" s="202"/>
      <c r="S91" s="204"/>
      <c r="T91" s="199"/>
      <c r="U91" s="219"/>
      <c r="V91" s="202">
        <v>53218</v>
      </c>
      <c r="W91" s="204" t="s">
        <v>3742</v>
      </c>
      <c r="X91" s="202"/>
      <c r="Y91" s="205"/>
      <c r="AA91" s="201"/>
      <c r="AB91" s="202"/>
      <c r="AH91" s="202">
        <f t="shared" si="6"/>
        <v>53218</v>
      </c>
      <c r="AK91" s="201">
        <f t="shared" si="10"/>
        <v>0</v>
      </c>
      <c r="AM91" s="200"/>
      <c r="AO91" s="101">
        <f t="shared" si="7"/>
        <v>53218</v>
      </c>
      <c r="AP91" s="207">
        <v>0.02</v>
      </c>
      <c r="AQ91" s="268">
        <f t="shared" si="8"/>
        <v>0</v>
      </c>
      <c r="AR91" s="202"/>
      <c r="AS91" s="202"/>
      <c r="AT91" s="202"/>
      <c r="AU91" s="202"/>
      <c r="AV91" s="202"/>
      <c r="AW91" s="202"/>
      <c r="AX91" s="202"/>
      <c r="AY91" s="202"/>
      <c r="AZ91" s="202"/>
      <c r="BB91" s="202"/>
      <c r="BU91" s="101">
        <v>53218</v>
      </c>
    </row>
    <row r="92" s="101" customFormat="1" customHeight="1" spans="1:89">
      <c r="C92" s="200"/>
      <c r="I92" s="269" t="s">
        <v>3743</v>
      </c>
      <c r="J92" s="281">
        <v>17.68</v>
      </c>
      <c r="M92" s="235"/>
      <c r="N92" s="202">
        <v>41681</v>
      </c>
      <c r="O92" s="158"/>
      <c r="P92" s="203"/>
      <c r="Q92" s="205"/>
      <c r="R92" s="202"/>
      <c r="S92" s="204"/>
      <c r="T92" s="199"/>
      <c r="U92" s="219"/>
      <c r="V92" s="202"/>
      <c r="X92" s="202"/>
      <c r="Y92" s="205"/>
      <c r="AA92" s="201"/>
      <c r="AB92" s="202"/>
      <c r="AH92" s="202">
        <f t="shared" si="6"/>
        <v>0</v>
      </c>
      <c r="AK92" s="201">
        <f t="shared" si="10"/>
        <v>0</v>
      </c>
      <c r="AM92" s="200"/>
      <c r="AO92" s="101">
        <f t="shared" si="7"/>
        <v>0</v>
      </c>
      <c r="AP92" s="207">
        <v>0.02</v>
      </c>
      <c r="AQ92" s="268">
        <f t="shared" si="8"/>
        <v>0</v>
      </c>
      <c r="AR92" s="202"/>
      <c r="AS92" s="202"/>
      <c r="AT92" s="202"/>
      <c r="AU92" s="202"/>
      <c r="AV92" s="202"/>
      <c r="AW92" s="202"/>
      <c r="AX92" s="202"/>
      <c r="AY92" s="202"/>
      <c r="AZ92" s="202"/>
      <c r="BB92" s="202"/>
    </row>
    <row r="93" s="101" customFormat="1" customHeight="1" spans="1:89">
      <c r="C93" s="200"/>
      <c r="G93" s="101" t="s">
        <v>3744</v>
      </c>
      <c r="I93" s="269" t="s">
        <v>3745</v>
      </c>
      <c r="J93" s="281">
        <v>15.4</v>
      </c>
      <c r="M93" s="235">
        <v>36306</v>
      </c>
      <c r="N93" s="202">
        <v>36306</v>
      </c>
      <c r="O93" s="158"/>
      <c r="P93" s="203"/>
      <c r="Q93" s="205"/>
      <c r="R93" s="202"/>
      <c r="S93" s="204"/>
      <c r="T93" s="199"/>
      <c r="U93" s="219"/>
      <c r="V93" s="202">
        <v>36306</v>
      </c>
      <c r="W93" s="204" t="s">
        <v>791</v>
      </c>
      <c r="X93" s="202"/>
      <c r="Y93" s="205"/>
      <c r="AA93" s="201"/>
      <c r="AB93" s="202"/>
      <c r="AH93" s="202">
        <f t="shared" si="6"/>
        <v>36306</v>
      </c>
      <c r="AK93" s="201">
        <f t="shared" si="10"/>
        <v>0</v>
      </c>
      <c r="AM93" s="200"/>
      <c r="AO93" s="101">
        <f t="shared" si="7"/>
        <v>36306</v>
      </c>
      <c r="AP93" s="207">
        <v>0.02</v>
      </c>
      <c r="AQ93" s="268">
        <f t="shared" si="8"/>
        <v>0</v>
      </c>
      <c r="AR93" s="202"/>
      <c r="AS93" s="202"/>
      <c r="AT93" s="202"/>
      <c r="AU93" s="202"/>
      <c r="AV93" s="202"/>
      <c r="AW93" s="202"/>
      <c r="AX93" s="202"/>
      <c r="AY93" s="202"/>
      <c r="AZ93" s="202"/>
      <c r="BB93" s="202"/>
      <c r="BU93" s="101">
        <v>36306</v>
      </c>
    </row>
    <row r="94" s="101" customFormat="1" customHeight="1" spans="1:89">
      <c r="C94" s="200"/>
      <c r="I94" s="269" t="s">
        <v>3746</v>
      </c>
      <c r="J94" s="281">
        <v>18.82</v>
      </c>
      <c r="M94" s="235"/>
      <c r="N94" s="202">
        <v>44369</v>
      </c>
      <c r="O94" s="158"/>
      <c r="P94" s="203"/>
      <c r="Q94" s="205"/>
      <c r="R94" s="202"/>
      <c r="S94" s="204"/>
      <c r="T94" s="199"/>
      <c r="U94" s="219"/>
      <c r="V94" s="202"/>
      <c r="X94" s="202"/>
      <c r="Y94" s="205"/>
      <c r="AA94" s="201"/>
      <c r="AB94" s="202"/>
      <c r="AH94" s="202">
        <f t="shared" si="6"/>
        <v>0</v>
      </c>
      <c r="AK94" s="201">
        <f t="shared" si="10"/>
        <v>0</v>
      </c>
      <c r="AM94" s="200"/>
      <c r="AO94" s="101">
        <f t="shared" si="7"/>
        <v>0</v>
      </c>
      <c r="AP94" s="207">
        <v>0.02</v>
      </c>
      <c r="AQ94" s="268">
        <f t="shared" si="8"/>
        <v>0</v>
      </c>
      <c r="AR94" s="202"/>
      <c r="AS94" s="202"/>
      <c r="AT94" s="202"/>
      <c r="AU94" s="202"/>
      <c r="AV94" s="202"/>
      <c r="AW94" s="202"/>
      <c r="AX94" s="202"/>
      <c r="AY94" s="202"/>
      <c r="AZ94" s="202"/>
      <c r="BB94" s="202"/>
    </row>
    <row r="95" s="101" customFormat="1" customHeight="1" spans="1:89">
      <c r="C95" s="200"/>
      <c r="G95" s="101" t="s">
        <v>3747</v>
      </c>
      <c r="I95" s="269" t="s">
        <v>3748</v>
      </c>
      <c r="J95" s="281">
        <v>10.8</v>
      </c>
      <c r="M95" s="235"/>
      <c r="N95" s="202">
        <v>25472</v>
      </c>
      <c r="O95" s="158"/>
      <c r="P95" s="203"/>
      <c r="Q95" s="205"/>
      <c r="R95" s="202"/>
      <c r="S95" s="204"/>
      <c r="T95" s="199"/>
      <c r="U95" s="219"/>
      <c r="V95" s="202">
        <v>1000</v>
      </c>
      <c r="W95" s="204" t="s">
        <v>3749</v>
      </c>
      <c r="X95" s="202"/>
      <c r="Y95" s="205"/>
      <c r="AA95" s="201"/>
      <c r="AB95" s="202"/>
      <c r="AH95" s="202">
        <f t="shared" si="6"/>
        <v>1000</v>
      </c>
      <c r="AK95" s="201">
        <f t="shared" si="10"/>
        <v>-1000</v>
      </c>
      <c r="AM95" s="200"/>
      <c r="AO95" s="101">
        <f t="shared" si="7"/>
        <v>0</v>
      </c>
      <c r="AP95" s="207">
        <v>0.02</v>
      </c>
      <c r="AQ95" s="268">
        <f t="shared" si="8"/>
        <v>0</v>
      </c>
      <c r="AR95" s="202"/>
      <c r="AS95" s="202"/>
      <c r="AT95" s="202"/>
      <c r="AU95" s="202"/>
      <c r="AV95" s="202"/>
      <c r="AW95" s="202"/>
      <c r="AX95" s="202"/>
      <c r="AY95" s="202"/>
      <c r="AZ95" s="202"/>
      <c r="BB95" s="202"/>
    </row>
    <row r="96" s="101" customFormat="1" customHeight="1" spans="1:89">
      <c r="C96" s="200"/>
      <c r="I96" s="269" t="s">
        <v>3750</v>
      </c>
      <c r="J96" s="281">
        <v>111.7</v>
      </c>
      <c r="M96" s="235"/>
      <c r="N96" s="202">
        <v>263361</v>
      </c>
      <c r="O96" s="158"/>
      <c r="P96" s="203"/>
      <c r="Q96" s="205"/>
      <c r="R96" s="202"/>
      <c r="S96" s="204"/>
      <c r="T96" s="199"/>
      <c r="U96" s="219"/>
      <c r="V96" s="202"/>
      <c r="X96" s="202"/>
      <c r="Y96" s="205"/>
      <c r="AA96" s="201"/>
      <c r="AB96" s="202"/>
      <c r="AH96" s="202">
        <f t="shared" si="6"/>
        <v>0</v>
      </c>
      <c r="AK96" s="201">
        <f t="shared" si="10"/>
        <v>0</v>
      </c>
      <c r="AM96" s="200"/>
      <c r="AO96" s="101">
        <f t="shared" si="7"/>
        <v>0</v>
      </c>
      <c r="AP96" s="207">
        <v>0.02</v>
      </c>
      <c r="AQ96" s="268">
        <f t="shared" si="8"/>
        <v>0</v>
      </c>
      <c r="AR96" s="202"/>
      <c r="AS96" s="202"/>
      <c r="AT96" s="202"/>
      <c r="AU96" s="202"/>
      <c r="AV96" s="202"/>
      <c r="AW96" s="202"/>
      <c r="AX96" s="202"/>
      <c r="AY96" s="202"/>
      <c r="AZ96" s="202"/>
      <c r="BB96" s="202"/>
    </row>
    <row r="97" s="101" customFormat="1" customHeight="1" spans="1:94">
      <c r="C97" s="200"/>
      <c r="G97" s="101" t="s">
        <v>3751</v>
      </c>
      <c r="I97" s="269" t="s">
        <v>3752</v>
      </c>
      <c r="J97" s="281">
        <v>16.87</v>
      </c>
      <c r="M97" s="235">
        <v>39779</v>
      </c>
      <c r="N97" s="202">
        <v>39779</v>
      </c>
      <c r="O97" s="158"/>
      <c r="P97" s="203"/>
      <c r="Q97" s="205"/>
      <c r="R97" s="202"/>
      <c r="S97" s="204"/>
      <c r="T97" s="199"/>
      <c r="U97" s="219"/>
      <c r="V97" s="202">
        <v>39779</v>
      </c>
      <c r="W97" s="204" t="s">
        <v>1161</v>
      </c>
      <c r="X97" s="202"/>
      <c r="Y97" s="205"/>
      <c r="AA97" s="201"/>
      <c r="AB97" s="202"/>
      <c r="AH97" s="202">
        <f t="shared" si="6"/>
        <v>39779</v>
      </c>
      <c r="AK97" s="201">
        <f t="shared" si="10"/>
        <v>0</v>
      </c>
      <c r="AM97" s="200"/>
      <c r="AO97" s="101">
        <f t="shared" si="7"/>
        <v>39779</v>
      </c>
      <c r="AP97" s="207">
        <v>0.02</v>
      </c>
      <c r="AQ97" s="268">
        <f t="shared" si="8"/>
        <v>0</v>
      </c>
      <c r="AR97" s="202"/>
      <c r="AS97" s="202"/>
      <c r="AT97" s="202"/>
      <c r="AU97" s="202"/>
      <c r="AV97" s="202"/>
      <c r="AW97" s="202"/>
      <c r="AX97" s="202"/>
      <c r="AY97" s="202"/>
      <c r="AZ97" s="202"/>
      <c r="BB97" s="202"/>
      <c r="BV97" s="101">
        <v>39779</v>
      </c>
    </row>
    <row r="98" s="101" customFormat="1" customHeight="1" spans="1:94">
      <c r="C98" s="200"/>
      <c r="I98" s="269" t="s">
        <v>3753</v>
      </c>
      <c r="J98" s="281">
        <v>14.28</v>
      </c>
      <c r="M98" s="235"/>
      <c r="N98" s="202" t="s">
        <v>3345</v>
      </c>
      <c r="O98" s="158"/>
      <c r="P98" s="203"/>
      <c r="Q98" s="205"/>
      <c r="R98" s="202"/>
      <c r="S98" s="204"/>
      <c r="T98" s="199"/>
      <c r="U98" s="219"/>
      <c r="V98" s="202"/>
      <c r="X98" s="202"/>
      <c r="Y98" s="205"/>
      <c r="AA98" s="201"/>
      <c r="AB98" s="202"/>
      <c r="AH98" s="202">
        <f t="shared" si="6"/>
        <v>0</v>
      </c>
      <c r="AK98" s="201">
        <f t="shared" si="10"/>
        <v>0</v>
      </c>
      <c r="AM98" s="200"/>
      <c r="AO98" s="101">
        <f t="shared" si="7"/>
        <v>0</v>
      </c>
      <c r="AP98" s="207">
        <v>0.02</v>
      </c>
      <c r="AQ98" s="268">
        <f t="shared" si="8"/>
        <v>0</v>
      </c>
      <c r="AR98" s="202"/>
      <c r="AS98" s="202"/>
      <c r="AT98" s="202"/>
      <c r="AU98" s="202"/>
      <c r="AV98" s="202"/>
      <c r="AW98" s="202"/>
      <c r="AX98" s="202"/>
      <c r="AY98" s="202"/>
      <c r="AZ98" s="202"/>
      <c r="BB98" s="202"/>
    </row>
    <row r="99" s="101" customFormat="1" customHeight="1" spans="1:94">
      <c r="C99" s="200"/>
      <c r="I99" s="282" t="s">
        <v>3754</v>
      </c>
      <c r="J99" s="267">
        <v>391.9</v>
      </c>
      <c r="M99" s="235"/>
      <c r="N99" s="202" t="s">
        <v>3345</v>
      </c>
      <c r="O99" s="158"/>
      <c r="P99" s="203"/>
      <c r="Q99" s="205"/>
      <c r="R99" s="202"/>
      <c r="S99" s="204"/>
      <c r="T99" s="199"/>
      <c r="U99" s="219"/>
      <c r="V99" s="202"/>
      <c r="X99" s="202"/>
      <c r="Y99" s="205"/>
      <c r="AA99" s="201"/>
      <c r="AB99" s="202"/>
      <c r="AH99" s="202"/>
      <c r="AK99" s="201">
        <f t="shared" si="10"/>
        <v>0</v>
      </c>
      <c r="AM99" s="200"/>
      <c r="AO99" s="101">
        <f t="shared" si="7"/>
        <v>0</v>
      </c>
      <c r="AP99" s="207">
        <v>0.02</v>
      </c>
      <c r="AQ99" s="268"/>
      <c r="AR99" s="202"/>
      <c r="AS99" s="202"/>
      <c r="AT99" s="202"/>
      <c r="AU99" s="202"/>
      <c r="AV99" s="202"/>
      <c r="AW99" s="202"/>
      <c r="AX99" s="202"/>
      <c r="AY99" s="202"/>
      <c r="AZ99" s="202"/>
      <c r="BB99" s="202"/>
    </row>
    <row r="100" s="101" customFormat="1" customHeight="1" spans="1:94">
      <c r="C100" s="200"/>
      <c r="G100" s="101" t="s">
        <v>3755</v>
      </c>
      <c r="I100" s="282" t="s">
        <v>3756</v>
      </c>
      <c r="J100" s="281">
        <v>20.2</v>
      </c>
      <c r="M100" s="235">
        <v>47635</v>
      </c>
      <c r="N100" s="202">
        <v>47635</v>
      </c>
      <c r="O100" s="158"/>
      <c r="P100" s="203"/>
      <c r="Q100" s="205"/>
      <c r="R100" s="202"/>
      <c r="S100" s="204"/>
      <c r="T100" s="199"/>
      <c r="U100" s="219"/>
      <c r="V100" s="202">
        <v>47635</v>
      </c>
      <c r="W100" s="204" t="s">
        <v>3757</v>
      </c>
      <c r="X100" s="202"/>
      <c r="Y100" s="205"/>
      <c r="AA100" s="201"/>
      <c r="AB100" s="202"/>
      <c r="AH100" s="202">
        <f>V100+X100+Z100+AB100+AD100+AF100</f>
        <v>47635</v>
      </c>
      <c r="AK100" s="201">
        <f t="shared" si="10"/>
        <v>0</v>
      </c>
      <c r="AM100" s="200"/>
      <c r="AO100" s="101">
        <f t="shared" si="7"/>
        <v>47635</v>
      </c>
      <c r="AP100" s="207">
        <v>0.02</v>
      </c>
      <c r="AQ100" s="268"/>
      <c r="AR100" s="202"/>
      <c r="AS100" s="202"/>
      <c r="AT100" s="202"/>
      <c r="AU100" s="202"/>
      <c r="AV100" s="202"/>
      <c r="AW100" s="202"/>
      <c r="AX100" s="202"/>
      <c r="AY100" s="202"/>
      <c r="AZ100" s="202"/>
      <c r="BB100" s="202"/>
      <c r="BU100" s="101">
        <v>47635</v>
      </c>
    </row>
    <row r="101" s="101" customFormat="1" customHeight="1" spans="1:94">
      <c r="C101" s="200"/>
      <c r="I101" s="282" t="s">
        <v>3758</v>
      </c>
      <c r="J101" s="281">
        <v>73.38</v>
      </c>
      <c r="M101" s="235"/>
      <c r="N101" s="202" t="s">
        <v>3345</v>
      </c>
      <c r="O101" s="158"/>
      <c r="P101" s="203"/>
      <c r="Q101" s="205"/>
      <c r="R101" s="202"/>
      <c r="S101" s="204"/>
      <c r="T101" s="199"/>
      <c r="U101" s="219"/>
      <c r="V101" s="202"/>
      <c r="X101" s="202"/>
      <c r="Y101" s="205"/>
      <c r="AA101" s="201"/>
      <c r="AB101" s="202"/>
      <c r="AH101" s="202">
        <f t="shared" ref="AH101:AH134" si="11">V101+X101+Z101+AB101+AD101+AF101</f>
        <v>0</v>
      </c>
      <c r="AK101" s="201">
        <f t="shared" si="10"/>
        <v>0</v>
      </c>
      <c r="AM101" s="200"/>
      <c r="AO101" s="101">
        <f t="shared" si="7"/>
        <v>0</v>
      </c>
      <c r="AP101" s="207">
        <v>0.02</v>
      </c>
      <c r="AQ101" s="268">
        <f t="shared" ref="AQ101:AQ134" si="12">AR101+AS101+AT101+AU101+AV101+AW101+AX101+AY101</f>
        <v>0</v>
      </c>
      <c r="AR101" s="202"/>
      <c r="AS101" s="202"/>
      <c r="AT101" s="202"/>
      <c r="AU101" s="202"/>
      <c r="AV101" s="202"/>
      <c r="AW101" s="202"/>
      <c r="AX101" s="202"/>
      <c r="AY101" s="202"/>
      <c r="AZ101" s="202"/>
      <c r="BB101" s="202"/>
    </row>
    <row r="102" s="101" customFormat="1" customHeight="1" spans="1:94">
      <c r="C102" s="200"/>
      <c r="I102" s="282" t="s">
        <v>3759</v>
      </c>
      <c r="J102" s="270">
        <v>71.98</v>
      </c>
      <c r="M102" s="235"/>
      <c r="N102" s="202" t="s">
        <v>3345</v>
      </c>
      <c r="O102" s="158"/>
      <c r="P102" s="203"/>
      <c r="Q102" s="205"/>
      <c r="R102" s="202"/>
      <c r="S102" s="204"/>
      <c r="T102" s="199"/>
      <c r="U102" s="219"/>
      <c r="V102" s="202"/>
      <c r="X102" s="202"/>
      <c r="Y102" s="205"/>
      <c r="AA102" s="201"/>
      <c r="AB102" s="202"/>
      <c r="AH102" s="202">
        <f t="shared" si="11"/>
        <v>0</v>
      </c>
      <c r="AK102" s="201">
        <f t="shared" si="10"/>
        <v>0</v>
      </c>
      <c r="AM102" s="200"/>
      <c r="AO102" s="101">
        <f t="shared" ref="AO101:AO134" si="13">SUM(AZ102:CF102)</f>
        <v>0</v>
      </c>
      <c r="AP102" s="207">
        <v>0.02</v>
      </c>
      <c r="AQ102" s="268">
        <f t="shared" si="12"/>
        <v>0</v>
      </c>
      <c r="AR102" s="202"/>
      <c r="AS102" s="202"/>
      <c r="AT102" s="202"/>
      <c r="AU102" s="202"/>
      <c r="AV102" s="202"/>
      <c r="AW102" s="202"/>
      <c r="AX102" s="202"/>
      <c r="AY102" s="202"/>
      <c r="AZ102" s="202"/>
      <c r="BB102" s="202"/>
    </row>
    <row r="103" s="128" customFormat="1" customHeight="1" spans="1:94">
      <c r="A103" s="272">
        <v>67</v>
      </c>
      <c r="C103" s="184">
        <v>45403</v>
      </c>
      <c r="D103" s="128">
        <v>20240002219</v>
      </c>
      <c r="F103" s="1016" t="s">
        <v>3760</v>
      </c>
      <c r="G103" s="177" t="s">
        <v>3761</v>
      </c>
      <c r="H103" s="1016" t="s">
        <v>3762</v>
      </c>
      <c r="I103" s="128" t="s">
        <v>3763</v>
      </c>
      <c r="J103" s="128">
        <v>102.67</v>
      </c>
      <c r="K103" s="128">
        <v>102.67</v>
      </c>
      <c r="L103" s="128">
        <v>4967.37</v>
      </c>
      <c r="M103" s="274">
        <v>510000</v>
      </c>
      <c r="N103" s="218">
        <v>4895</v>
      </c>
      <c r="O103" s="168">
        <v>467889.9</v>
      </c>
      <c r="P103" s="1017" t="s">
        <v>3764</v>
      </c>
      <c r="Q103" s="211">
        <v>45827</v>
      </c>
      <c r="R103" s="218"/>
      <c r="S103" s="219"/>
      <c r="T103" s="272"/>
      <c r="U103" s="219" t="s">
        <v>3765</v>
      </c>
      <c r="V103" s="218">
        <f>10000-10000</f>
        <v>0</v>
      </c>
      <c r="W103" s="219" t="s">
        <v>682</v>
      </c>
      <c r="X103" s="218">
        <v>10000</v>
      </c>
      <c r="Y103" s="219" t="s">
        <v>3766</v>
      </c>
      <c r="Z103" s="218">
        <v>143000</v>
      </c>
      <c r="AA103" s="219" t="s">
        <v>3767</v>
      </c>
      <c r="AB103" s="218">
        <v>357000</v>
      </c>
      <c r="AC103" s="219" t="s">
        <v>827</v>
      </c>
      <c r="AH103" s="218">
        <f t="shared" si="11"/>
        <v>510000</v>
      </c>
      <c r="AK103" s="179">
        <f t="shared" si="10"/>
        <v>0</v>
      </c>
      <c r="AL103" s="128">
        <v>18799828687</v>
      </c>
      <c r="AM103" s="177"/>
      <c r="AO103" s="128">
        <f t="shared" si="13"/>
        <v>510000</v>
      </c>
      <c r="AP103" s="173">
        <f>0.7%+0.04%+0.12%</f>
        <v>0.0086</v>
      </c>
      <c r="AQ103" s="275">
        <f t="shared" si="12"/>
        <v>0</v>
      </c>
      <c r="AR103" s="218"/>
      <c r="AS103" s="218"/>
      <c r="AT103" s="218"/>
      <c r="AU103" s="218"/>
      <c r="AV103" s="218"/>
      <c r="AW103" s="218"/>
      <c r="AX103" s="218"/>
      <c r="AY103" s="218"/>
      <c r="AZ103" s="218"/>
      <c r="BB103" s="218"/>
      <c r="BH103" s="128">
        <v>153000</v>
      </c>
      <c r="BI103" s="128">
        <v>357000</v>
      </c>
      <c r="CI103" s="128" t="s">
        <v>376</v>
      </c>
      <c r="CJ103" s="128" t="s">
        <v>387</v>
      </c>
      <c r="CK103" s="128" t="s">
        <v>377</v>
      </c>
    </row>
    <row r="104" s="128" customFormat="1" customHeight="1" spans="1:94">
      <c r="A104" s="272">
        <v>68</v>
      </c>
      <c r="B104" s="128"/>
      <c r="C104" s="184">
        <v>46006</v>
      </c>
      <c r="D104" s="128">
        <v>20250006402</v>
      </c>
      <c r="F104" s="1016" t="s">
        <v>3768</v>
      </c>
      <c r="G104" s="128" t="s">
        <v>3769</v>
      </c>
      <c r="H104" s="1016" t="s">
        <v>3770</v>
      </c>
      <c r="I104" s="128" t="s">
        <v>3771</v>
      </c>
      <c r="J104" s="128">
        <v>86.14</v>
      </c>
      <c r="K104" s="128">
        <v>86.14</v>
      </c>
      <c r="L104" s="128">
        <v>6570.7</v>
      </c>
      <c r="M104" s="274">
        <v>566000</v>
      </c>
      <c r="N104" s="218">
        <v>6570.7</v>
      </c>
      <c r="O104" s="168">
        <v>519266.06</v>
      </c>
      <c r="P104" s="1017" t="s">
        <v>3772</v>
      </c>
      <c r="Q104" s="211">
        <v>46010</v>
      </c>
      <c r="R104" s="218"/>
      <c r="S104" s="211"/>
      <c r="T104" s="272"/>
      <c r="U104" s="219" t="s">
        <v>400</v>
      </c>
      <c r="V104" s="218">
        <v>20000</v>
      </c>
      <c r="W104" s="211">
        <v>45870</v>
      </c>
      <c r="X104" s="218">
        <v>66000</v>
      </c>
      <c r="Y104" s="211">
        <v>46006</v>
      </c>
      <c r="Z104" s="218">
        <v>480000</v>
      </c>
      <c r="AA104" s="211">
        <v>46031</v>
      </c>
      <c r="AB104" s="218"/>
      <c r="AH104" s="218">
        <f t="shared" si="11"/>
        <v>566000</v>
      </c>
      <c r="AK104" s="179">
        <f t="shared" si="10"/>
        <v>0</v>
      </c>
      <c r="AM104" s="177" t="s">
        <v>3640</v>
      </c>
      <c r="AO104" s="128">
        <f t="shared" si="13"/>
        <v>566000</v>
      </c>
      <c r="AP104" s="173">
        <f>0.4%+0.02%+0.08%+0.03%</f>
        <v>0.0053</v>
      </c>
      <c r="AQ104" s="275">
        <f t="shared" si="12"/>
        <v>0</v>
      </c>
      <c r="AR104" s="218"/>
      <c r="AS104" s="218"/>
      <c r="AT104" s="218"/>
      <c r="AU104" s="218"/>
      <c r="AV104" s="218"/>
      <c r="AW104" s="218"/>
      <c r="AX104" s="218"/>
      <c r="AY104" s="218"/>
      <c r="AZ104" s="218"/>
      <c r="BB104" s="218"/>
      <c r="CB104" s="128">
        <v>86000</v>
      </c>
      <c r="CC104" s="128">
        <v>480000</v>
      </c>
      <c r="CI104" s="128" t="s">
        <v>3376</v>
      </c>
      <c r="CK104" s="183" t="s">
        <v>3773</v>
      </c>
    </row>
    <row r="105" s="101" customFormat="1" customHeight="1" spans="1:94">
      <c r="A105" s="199">
        <v>69</v>
      </c>
      <c r="B105" s="101"/>
      <c r="C105" s="283"/>
      <c r="I105" s="101" t="s">
        <v>3774</v>
      </c>
      <c r="J105" s="101">
        <v>153.46</v>
      </c>
      <c r="M105" s="235"/>
      <c r="N105" s="202">
        <v>4905</v>
      </c>
      <c r="O105" s="158"/>
      <c r="P105" s="199"/>
      <c r="Q105" s="205"/>
      <c r="R105" s="202"/>
      <c r="S105" s="204"/>
      <c r="T105" s="199"/>
      <c r="U105" s="219"/>
      <c r="V105" s="202"/>
      <c r="X105" s="202"/>
      <c r="Y105" s="205"/>
      <c r="AA105" s="201"/>
      <c r="AB105" s="202"/>
      <c r="AH105" s="202">
        <f t="shared" si="11"/>
        <v>0</v>
      </c>
      <c r="AK105" s="201"/>
      <c r="AM105" s="200"/>
      <c r="AO105" s="101">
        <f t="shared" si="13"/>
        <v>0</v>
      </c>
      <c r="AP105" s="207"/>
      <c r="AQ105" s="268">
        <f t="shared" si="12"/>
        <v>0</v>
      </c>
      <c r="AR105" s="202"/>
      <c r="AS105" s="202"/>
      <c r="AT105" s="202"/>
      <c r="AU105" s="202"/>
      <c r="AV105" s="202"/>
      <c r="AW105" s="202"/>
      <c r="AX105" s="202"/>
      <c r="AY105" s="202"/>
      <c r="AZ105" s="202"/>
      <c r="BB105" s="202"/>
    </row>
    <row r="106" s="128" customFormat="1" customHeight="1" spans="1:94">
      <c r="A106" s="272">
        <v>70</v>
      </c>
      <c r="C106" s="184">
        <v>45416</v>
      </c>
      <c r="D106" s="128">
        <v>20240002551</v>
      </c>
      <c r="F106" s="1016" t="s">
        <v>3775</v>
      </c>
      <c r="G106" s="128" t="s">
        <v>3776</v>
      </c>
      <c r="H106" s="1016" t="s">
        <v>3777</v>
      </c>
      <c r="I106" s="128" t="s">
        <v>3778</v>
      </c>
      <c r="J106" s="128">
        <v>115.78</v>
      </c>
      <c r="K106" s="128">
        <v>115.78</v>
      </c>
      <c r="L106" s="128">
        <v>5052.7</v>
      </c>
      <c r="M106" s="274">
        <v>585000</v>
      </c>
      <c r="N106" s="218">
        <v>4925</v>
      </c>
      <c r="O106" s="168">
        <v>536697.25</v>
      </c>
      <c r="P106" s="1017" t="s">
        <v>3779</v>
      </c>
      <c r="Q106" s="211">
        <v>45827</v>
      </c>
      <c r="R106" s="218"/>
      <c r="S106" s="219"/>
      <c r="T106" s="272"/>
      <c r="U106" s="219" t="s">
        <v>662</v>
      </c>
      <c r="V106" s="218">
        <v>20000</v>
      </c>
      <c r="W106" s="219" t="s">
        <v>3780</v>
      </c>
      <c r="X106" s="218">
        <f>115000+170000</f>
        <v>285000</v>
      </c>
      <c r="Y106" s="211" t="s">
        <v>384</v>
      </c>
      <c r="Z106" s="218">
        <v>280000</v>
      </c>
      <c r="AA106" s="219" t="s">
        <v>555</v>
      </c>
      <c r="AB106" s="218"/>
      <c r="AC106" s="219"/>
      <c r="AH106" s="218">
        <f t="shared" si="11"/>
        <v>585000</v>
      </c>
      <c r="AK106" s="179">
        <f>M106-AH106</f>
        <v>0</v>
      </c>
      <c r="AL106" s="128">
        <v>19999463937</v>
      </c>
      <c r="AM106" s="177"/>
      <c r="AO106" s="128">
        <f t="shared" si="13"/>
        <v>585000</v>
      </c>
      <c r="AP106" s="173">
        <f>0.7%+0.12%</f>
        <v>0.0082</v>
      </c>
      <c r="AQ106" s="275">
        <f t="shared" si="12"/>
        <v>0</v>
      </c>
      <c r="AR106" s="218"/>
      <c r="AS106" s="218"/>
      <c r="AT106" s="218"/>
      <c r="AU106" s="218"/>
      <c r="AV106" s="218"/>
      <c r="AW106" s="218"/>
      <c r="AX106" s="218"/>
      <c r="AY106" s="218"/>
      <c r="AZ106" s="218"/>
      <c r="BB106" s="218"/>
      <c r="BI106" s="128">
        <v>585000</v>
      </c>
      <c r="CI106" s="128" t="s">
        <v>376</v>
      </c>
      <c r="CJ106" s="128" t="s">
        <v>387</v>
      </c>
      <c r="CK106" s="128" t="s">
        <v>377</v>
      </c>
    </row>
    <row r="107" s="128" customFormat="1" customHeight="1" spans="1:94">
      <c r="A107" s="272">
        <v>71</v>
      </c>
      <c r="C107" s="184">
        <v>45746</v>
      </c>
      <c r="D107" s="128">
        <v>20250001730</v>
      </c>
      <c r="F107" s="1016" t="s">
        <v>3781</v>
      </c>
      <c r="G107" s="128" t="s">
        <v>3782</v>
      </c>
      <c r="I107" s="128" t="s">
        <v>3783</v>
      </c>
      <c r="J107" s="128">
        <v>86.14</v>
      </c>
      <c r="K107" s="128">
        <v>86.14</v>
      </c>
      <c r="L107" s="128">
        <v>4875.78</v>
      </c>
      <c r="M107" s="274">
        <v>420000</v>
      </c>
      <c r="N107" s="218">
        <v>4875.78</v>
      </c>
      <c r="O107" s="168">
        <v>385321.1</v>
      </c>
      <c r="P107" s="1017" t="s">
        <v>3784</v>
      </c>
      <c r="Q107" s="211">
        <v>45827</v>
      </c>
      <c r="R107" s="218"/>
      <c r="S107" s="219"/>
      <c r="T107" s="272"/>
      <c r="U107" s="219" t="s">
        <v>840</v>
      </c>
      <c r="V107" s="218">
        <v>30000</v>
      </c>
      <c r="W107" s="219" t="s">
        <v>3785</v>
      </c>
      <c r="X107" s="218">
        <v>4000</v>
      </c>
      <c r="Y107" s="219" t="s">
        <v>3786</v>
      </c>
      <c r="Z107" s="218">
        <v>50000</v>
      </c>
      <c r="AA107" s="219" t="s">
        <v>913</v>
      </c>
      <c r="AB107" s="218">
        <v>336000</v>
      </c>
      <c r="AC107" s="219" t="s">
        <v>2807</v>
      </c>
      <c r="AH107" s="218">
        <f t="shared" si="11"/>
        <v>420000</v>
      </c>
      <c r="AK107" s="179">
        <f>M107-AH107</f>
        <v>0</v>
      </c>
      <c r="AL107" s="128">
        <v>15999025712</v>
      </c>
      <c r="AM107" s="177"/>
      <c r="AO107" s="128">
        <f t="shared" si="13"/>
        <v>420000</v>
      </c>
      <c r="AP107" s="173">
        <f>0.4%+0.12%</f>
        <v>0.0052</v>
      </c>
      <c r="AQ107" s="275">
        <f t="shared" si="12"/>
        <v>0</v>
      </c>
      <c r="AR107" s="218"/>
      <c r="AS107" s="218"/>
      <c r="AT107" s="218"/>
      <c r="AU107" s="218"/>
      <c r="AV107" s="218"/>
      <c r="AW107" s="218"/>
      <c r="AX107" s="218"/>
      <c r="AY107" s="218"/>
      <c r="AZ107" s="218"/>
      <c r="BB107" s="218"/>
      <c r="BT107" s="128">
        <v>420000</v>
      </c>
      <c r="CI107" s="128" t="s">
        <v>376</v>
      </c>
      <c r="CK107" s="128" t="s">
        <v>377</v>
      </c>
    </row>
    <row r="108" s="128" customFormat="1" customHeight="1" spans="1:94">
      <c r="A108" s="272">
        <v>72</v>
      </c>
      <c r="C108" s="184">
        <v>45455</v>
      </c>
      <c r="D108" s="128">
        <v>20240003446</v>
      </c>
      <c r="F108" s="1016" t="s">
        <v>3787</v>
      </c>
      <c r="G108" s="128" t="s">
        <v>3788</v>
      </c>
      <c r="H108" s="1016" t="s">
        <v>3789</v>
      </c>
      <c r="I108" s="128" t="s">
        <v>3790</v>
      </c>
      <c r="J108" s="128">
        <v>153.46</v>
      </c>
      <c r="K108" s="128">
        <v>153.46</v>
      </c>
      <c r="L108" s="128">
        <v>5035</v>
      </c>
      <c r="M108" s="274">
        <v>772671</v>
      </c>
      <c r="N108" s="218">
        <v>4935</v>
      </c>
      <c r="O108" s="168">
        <v>708872.48</v>
      </c>
      <c r="P108" s="1017" t="s">
        <v>3791</v>
      </c>
      <c r="Q108" s="211">
        <v>45827</v>
      </c>
      <c r="R108" s="218"/>
      <c r="S108" s="219"/>
      <c r="T108" s="272"/>
      <c r="U108" s="219" t="s">
        <v>486</v>
      </c>
      <c r="V108" s="218">
        <v>10000</v>
      </c>
      <c r="W108" s="219" t="s">
        <v>3792</v>
      </c>
      <c r="X108" s="218">
        <v>112671</v>
      </c>
      <c r="Y108" s="211" t="s">
        <v>3793</v>
      </c>
      <c r="Z108" s="128">
        <v>650000</v>
      </c>
      <c r="AA108" s="179" t="s">
        <v>3794</v>
      </c>
      <c r="AB108" s="218"/>
      <c r="AH108" s="218">
        <f t="shared" si="11"/>
        <v>772671</v>
      </c>
      <c r="AK108" s="179">
        <f>M108-AH108</f>
        <v>0</v>
      </c>
      <c r="AL108" s="128">
        <v>18139079120</v>
      </c>
      <c r="AM108" s="177"/>
      <c r="AO108" s="128">
        <f t="shared" si="13"/>
        <v>772671</v>
      </c>
      <c r="AP108" s="173">
        <f>0.7%+0.02%+0.08%</f>
        <v>0.008</v>
      </c>
      <c r="AQ108" s="275">
        <f t="shared" si="12"/>
        <v>0</v>
      </c>
      <c r="AR108" s="218"/>
      <c r="AS108" s="218"/>
      <c r="AT108" s="218"/>
      <c r="AU108" s="218"/>
      <c r="AV108" s="218"/>
      <c r="AW108" s="218"/>
      <c r="AX108" s="218"/>
      <c r="AY108" s="218"/>
      <c r="AZ108" s="218"/>
      <c r="BB108" s="218"/>
      <c r="BJ108" s="128">
        <v>772671</v>
      </c>
      <c r="CI108" s="128" t="s">
        <v>376</v>
      </c>
      <c r="CJ108" s="128" t="s">
        <v>387</v>
      </c>
      <c r="CK108" s="128" t="s">
        <v>377</v>
      </c>
      <c r="CP108" s="128">
        <f>CN108-CO108</f>
        <v>0</v>
      </c>
    </row>
    <row r="109" s="128" customFormat="1" customHeight="1" spans="1:94">
      <c r="A109" s="272">
        <v>73</v>
      </c>
      <c r="C109" s="184">
        <v>45624</v>
      </c>
      <c r="D109" s="128">
        <v>20240006861</v>
      </c>
      <c r="F109" s="1016" t="s">
        <v>3795</v>
      </c>
      <c r="G109" s="128" t="s">
        <v>3358</v>
      </c>
      <c r="H109" s="1016" t="s">
        <v>3796</v>
      </c>
      <c r="I109" s="128" t="s">
        <v>3797</v>
      </c>
      <c r="J109" s="128">
        <v>115.78</v>
      </c>
      <c r="K109" s="128">
        <v>115.78</v>
      </c>
      <c r="L109" s="128">
        <v>5068</v>
      </c>
      <c r="M109" s="274">
        <v>586773</v>
      </c>
      <c r="N109" s="218">
        <v>4968</v>
      </c>
      <c r="O109" s="168">
        <v>538323.8</v>
      </c>
      <c r="P109" s="1017" t="s">
        <v>3798</v>
      </c>
      <c r="Q109" s="211">
        <v>45827</v>
      </c>
      <c r="R109" s="218"/>
      <c r="S109" s="219"/>
      <c r="T109" s="1017" t="s">
        <v>3799</v>
      </c>
      <c r="U109" s="219" t="s">
        <v>393</v>
      </c>
      <c r="V109" s="218">
        <v>2000</v>
      </c>
      <c r="W109" s="219" t="s">
        <v>1128</v>
      </c>
      <c r="X109" s="218">
        <v>18000</v>
      </c>
      <c r="Y109" s="211" t="s">
        <v>630</v>
      </c>
      <c r="Z109" s="218">
        <v>20000</v>
      </c>
      <c r="AA109" s="219" t="s">
        <v>3800</v>
      </c>
      <c r="AB109" s="218">
        <v>47773</v>
      </c>
      <c r="AC109" s="219">
        <v>45550</v>
      </c>
      <c r="AD109" s="218">
        <v>30000</v>
      </c>
      <c r="AE109" s="219" t="s">
        <v>1022</v>
      </c>
      <c r="AF109" s="218">
        <f>28000+101000+340000</f>
        <v>469000</v>
      </c>
      <c r="AG109" s="219" t="s">
        <v>3591</v>
      </c>
      <c r="AH109" s="218">
        <f t="shared" si="11"/>
        <v>586773</v>
      </c>
      <c r="AK109" s="179">
        <f>M109-AH109</f>
        <v>0</v>
      </c>
      <c r="AL109" s="128">
        <v>15099483259</v>
      </c>
      <c r="AM109" s="177"/>
      <c r="AO109" s="128">
        <f t="shared" si="13"/>
        <v>586773</v>
      </c>
      <c r="AP109" s="173">
        <f>0.4%+0.02%+0.08%+0.03%</f>
        <v>0.0053</v>
      </c>
      <c r="AQ109" s="275">
        <f t="shared" si="12"/>
        <v>0</v>
      </c>
      <c r="AR109" s="218"/>
      <c r="AS109" s="218"/>
      <c r="AT109" s="218"/>
      <c r="AU109" s="218"/>
      <c r="AV109" s="218"/>
      <c r="AW109" s="218"/>
      <c r="AX109" s="218"/>
      <c r="AY109" s="218"/>
      <c r="AZ109" s="218"/>
      <c r="BB109" s="218"/>
      <c r="BO109" s="128">
        <v>117773</v>
      </c>
      <c r="BP109" s="128">
        <v>469000</v>
      </c>
      <c r="CI109" s="128" t="s">
        <v>376</v>
      </c>
      <c r="CK109" s="128" t="s">
        <v>377</v>
      </c>
    </row>
    <row r="110" s="128" customFormat="1" customHeight="1" spans="1:94">
      <c r="A110" s="272">
        <v>74</v>
      </c>
      <c r="C110" s="184">
        <v>45385</v>
      </c>
      <c r="D110" s="128">
        <v>20240001879</v>
      </c>
      <c r="F110" s="1016" t="s">
        <v>3801</v>
      </c>
      <c r="G110" s="128" t="s">
        <v>3802</v>
      </c>
      <c r="H110" s="1016" t="s">
        <v>3803</v>
      </c>
      <c r="I110" s="128" t="s">
        <v>3804</v>
      </c>
      <c r="J110" s="128">
        <v>86.14</v>
      </c>
      <c r="K110" s="128">
        <v>86.14</v>
      </c>
      <c r="L110" s="128">
        <v>5026.7</v>
      </c>
      <c r="M110" s="274">
        <v>433000</v>
      </c>
      <c r="N110" s="218">
        <v>4998</v>
      </c>
      <c r="O110" s="168">
        <v>397247.71</v>
      </c>
      <c r="P110" s="1017" t="s">
        <v>3805</v>
      </c>
      <c r="Q110" s="211">
        <v>45827</v>
      </c>
      <c r="R110" s="218"/>
      <c r="S110" s="219"/>
      <c r="T110" s="272"/>
      <c r="U110" s="219" t="s">
        <v>383</v>
      </c>
      <c r="V110" s="218">
        <v>10000</v>
      </c>
      <c r="W110" s="219" t="s">
        <v>3766</v>
      </c>
      <c r="X110" s="218">
        <v>83000</v>
      </c>
      <c r="Y110" s="219" t="s">
        <v>1360</v>
      </c>
      <c r="Z110" s="128">
        <v>340000</v>
      </c>
      <c r="AA110" s="179" t="s">
        <v>3806</v>
      </c>
      <c r="AB110" s="218"/>
      <c r="AH110" s="218">
        <f t="shared" si="11"/>
        <v>433000</v>
      </c>
      <c r="AK110" s="179">
        <f>M110-AH110</f>
        <v>0</v>
      </c>
      <c r="AL110" s="128">
        <v>19199168756</v>
      </c>
      <c r="AM110" s="177"/>
      <c r="AO110" s="128">
        <f t="shared" si="13"/>
        <v>433000</v>
      </c>
      <c r="AP110" s="173">
        <f>0.6%+0.12%</f>
        <v>0.0072</v>
      </c>
      <c r="AQ110" s="275">
        <f t="shared" si="12"/>
        <v>0</v>
      </c>
      <c r="AR110" s="218"/>
      <c r="AS110" s="218"/>
      <c r="AT110" s="218"/>
      <c r="AU110" s="218"/>
      <c r="AV110" s="218"/>
      <c r="AW110" s="218"/>
      <c r="AX110" s="218"/>
      <c r="AY110" s="218"/>
      <c r="AZ110" s="218"/>
      <c r="BB110" s="218"/>
      <c r="BH110" s="128">
        <v>433000</v>
      </c>
      <c r="CI110" s="128" t="s">
        <v>376</v>
      </c>
      <c r="CJ110" s="128" t="s">
        <v>387</v>
      </c>
      <c r="CK110" s="128" t="s">
        <v>377</v>
      </c>
    </row>
    <row r="111" s="128" customFormat="1" customHeight="1" spans="1:94">
      <c r="A111" s="272">
        <v>75</v>
      </c>
      <c r="C111" s="184">
        <v>45303</v>
      </c>
      <c r="D111" s="128">
        <v>20240000294</v>
      </c>
      <c r="F111" s="1016" t="s">
        <v>3807</v>
      </c>
      <c r="G111" s="128" t="s">
        <v>3808</v>
      </c>
      <c r="H111" s="1016" t="s">
        <v>3809</v>
      </c>
      <c r="I111" s="128" t="s">
        <v>3810</v>
      </c>
      <c r="J111" s="128">
        <v>153.46</v>
      </c>
      <c r="K111" s="128">
        <v>153.46</v>
      </c>
      <c r="L111" s="128">
        <v>5000</v>
      </c>
      <c r="M111" s="274">
        <v>767300</v>
      </c>
      <c r="N111" s="218">
        <v>4978</v>
      </c>
      <c r="O111" s="168">
        <v>703944.95</v>
      </c>
      <c r="P111" s="1017" t="s">
        <v>3811</v>
      </c>
      <c r="Q111" s="211">
        <v>45827</v>
      </c>
      <c r="R111" s="218"/>
      <c r="S111" s="219"/>
      <c r="T111" s="272"/>
      <c r="U111" s="219" t="s">
        <v>410</v>
      </c>
      <c r="V111" s="218">
        <v>20000</v>
      </c>
      <c r="W111" s="219" t="s">
        <v>726</v>
      </c>
      <c r="X111" s="218">
        <v>132300</v>
      </c>
      <c r="Y111" s="211" t="s">
        <v>3812</v>
      </c>
      <c r="Z111" s="128">
        <v>39000</v>
      </c>
      <c r="AA111" s="179" t="s">
        <v>2888</v>
      </c>
      <c r="AB111" s="218">
        <v>576000</v>
      </c>
      <c r="AC111" s="219" t="s">
        <v>553</v>
      </c>
      <c r="AH111" s="218">
        <f t="shared" si="11"/>
        <v>767300</v>
      </c>
      <c r="AK111" s="179">
        <f t="shared" ref="AK111:AK117" si="14">M111-AH111</f>
        <v>0</v>
      </c>
      <c r="AL111" s="128">
        <v>17881704475</v>
      </c>
      <c r="AM111" s="177"/>
      <c r="AO111" s="128">
        <f t="shared" si="13"/>
        <v>767300</v>
      </c>
      <c r="AP111" s="173">
        <f>0.7%+0.04%+0.12%</f>
        <v>0.0086</v>
      </c>
      <c r="AQ111" s="275">
        <f t="shared" si="12"/>
        <v>0</v>
      </c>
      <c r="AR111" s="218"/>
      <c r="AS111" s="218"/>
      <c r="AT111" s="218"/>
      <c r="AU111" s="218"/>
      <c r="AV111" s="218"/>
      <c r="AW111" s="218"/>
      <c r="AX111" s="218"/>
      <c r="AY111" s="218"/>
      <c r="AZ111" s="218"/>
      <c r="BB111" s="218"/>
      <c r="BE111" s="128">
        <v>191300</v>
      </c>
      <c r="BG111" s="128">
        <v>576000</v>
      </c>
      <c r="CI111" s="128" t="s">
        <v>376</v>
      </c>
      <c r="CJ111" s="128" t="s">
        <v>387</v>
      </c>
      <c r="CK111" s="128" t="s">
        <v>377</v>
      </c>
    </row>
    <row r="112" s="128" customFormat="1" customHeight="1" spans="1:94">
      <c r="A112" s="272">
        <v>76</v>
      </c>
      <c r="C112" s="184">
        <v>45353</v>
      </c>
      <c r="D112" s="128">
        <v>20240001102</v>
      </c>
      <c r="F112" s="1016" t="s">
        <v>3813</v>
      </c>
      <c r="G112" s="128" t="s">
        <v>3814</v>
      </c>
      <c r="H112" s="1016" t="s">
        <v>3815</v>
      </c>
      <c r="I112" s="128" t="s">
        <v>3816</v>
      </c>
      <c r="J112" s="128">
        <v>115.78</v>
      </c>
      <c r="K112" s="128">
        <v>115.78</v>
      </c>
      <c r="L112" s="128">
        <f>M112/K112</f>
        <v>5095.87148039385</v>
      </c>
      <c r="M112" s="274">
        <v>590000</v>
      </c>
      <c r="N112" s="218">
        <v>5004</v>
      </c>
      <c r="O112" s="168">
        <v>541284.4</v>
      </c>
      <c r="P112" s="1017" t="s">
        <v>3817</v>
      </c>
      <c r="Q112" s="211">
        <v>45838</v>
      </c>
      <c r="R112" s="218"/>
      <c r="S112" s="219"/>
      <c r="T112" s="272"/>
      <c r="U112" s="219" t="s">
        <v>677</v>
      </c>
      <c r="V112" s="218">
        <v>10000</v>
      </c>
      <c r="W112" s="219" t="s">
        <v>3818</v>
      </c>
      <c r="X112" s="218">
        <v>108000</v>
      </c>
      <c r="Y112" s="219" t="s">
        <v>3819</v>
      </c>
      <c r="Z112" s="128">
        <v>472000</v>
      </c>
      <c r="AA112" s="179" t="s">
        <v>440</v>
      </c>
      <c r="AB112" s="218"/>
      <c r="AH112" s="218">
        <f t="shared" si="11"/>
        <v>590000</v>
      </c>
      <c r="AK112" s="179">
        <f t="shared" si="14"/>
        <v>0</v>
      </c>
      <c r="AL112" s="128">
        <v>13667567161</v>
      </c>
      <c r="AM112" s="177"/>
      <c r="AO112" s="128">
        <f t="shared" si="13"/>
        <v>590000</v>
      </c>
      <c r="AP112" s="173">
        <f>0.7%+0.05%+0.14%</f>
        <v>0.0089</v>
      </c>
      <c r="AQ112" s="275">
        <f t="shared" si="12"/>
        <v>0</v>
      </c>
      <c r="AR112" s="218"/>
      <c r="AS112" s="218"/>
      <c r="AT112" s="218"/>
      <c r="AU112" s="218"/>
      <c r="AV112" s="218"/>
      <c r="AW112" s="218"/>
      <c r="AX112" s="218"/>
      <c r="AY112" s="218"/>
      <c r="AZ112" s="218"/>
      <c r="BB112" s="218"/>
      <c r="BG112" s="128">
        <v>590000</v>
      </c>
      <c r="CI112" s="128" t="s">
        <v>376</v>
      </c>
      <c r="CJ112" s="128" t="s">
        <v>387</v>
      </c>
      <c r="CK112" s="128" t="s">
        <v>377</v>
      </c>
    </row>
    <row r="113" s="128" customFormat="1" customHeight="1" spans="1:92">
      <c r="A113" s="272">
        <v>77</v>
      </c>
      <c r="C113" s="184">
        <v>45426</v>
      </c>
      <c r="D113" s="128">
        <v>20240002843</v>
      </c>
      <c r="F113" s="1016" t="s">
        <v>3820</v>
      </c>
      <c r="G113" s="177" t="s">
        <v>3821</v>
      </c>
      <c r="H113" s="128" t="s">
        <v>3822</v>
      </c>
      <c r="I113" s="128" t="s">
        <v>3823</v>
      </c>
      <c r="J113" s="128">
        <v>86.14</v>
      </c>
      <c r="K113" s="128">
        <v>86.14</v>
      </c>
      <c r="L113" s="128">
        <f>M113/K113</f>
        <v>5038.3097283492</v>
      </c>
      <c r="M113" s="274">
        <v>434000</v>
      </c>
      <c r="N113" s="218">
        <v>5034</v>
      </c>
      <c r="O113" s="168">
        <v>398165.14</v>
      </c>
      <c r="P113" s="1017" t="s">
        <v>3824</v>
      </c>
      <c r="Q113" s="211">
        <v>45827</v>
      </c>
      <c r="R113" s="218"/>
      <c r="S113" s="219"/>
      <c r="T113" s="272"/>
      <c r="U113" s="219"/>
      <c r="V113" s="218">
        <v>10707</v>
      </c>
      <c r="W113" s="219" t="s">
        <v>3825</v>
      </c>
      <c r="X113" s="218">
        <v>423293</v>
      </c>
      <c r="Y113" s="211" t="s">
        <v>3825</v>
      </c>
      <c r="AA113" s="179"/>
      <c r="AB113" s="218"/>
      <c r="AH113" s="218">
        <f t="shared" si="11"/>
        <v>434000</v>
      </c>
      <c r="AK113" s="179">
        <f t="shared" si="14"/>
        <v>0</v>
      </c>
      <c r="AM113" s="177" t="s">
        <v>3826</v>
      </c>
      <c r="AO113" s="128">
        <f t="shared" si="13"/>
        <v>434000</v>
      </c>
      <c r="AP113" s="173" t="s">
        <v>3827</v>
      </c>
      <c r="AQ113" s="275">
        <f t="shared" si="12"/>
        <v>0</v>
      </c>
      <c r="AR113" s="218"/>
      <c r="AS113" s="218"/>
      <c r="AT113" s="218"/>
      <c r="AU113" s="218"/>
      <c r="AV113" s="218"/>
      <c r="AW113" s="218"/>
      <c r="AX113" s="218"/>
      <c r="AY113" s="218"/>
      <c r="AZ113" s="218"/>
      <c r="BB113" s="218"/>
      <c r="BI113" s="128">
        <v>434000</v>
      </c>
      <c r="CI113" s="128" t="s">
        <v>376</v>
      </c>
      <c r="CJ113" s="128" t="s">
        <v>387</v>
      </c>
      <c r="CK113" s="128" t="s">
        <v>377</v>
      </c>
    </row>
    <row r="114" s="128" customFormat="1" customHeight="1" spans="1:92">
      <c r="A114" s="272">
        <v>78</v>
      </c>
      <c r="C114" s="184">
        <v>45300</v>
      </c>
      <c r="D114" s="128">
        <v>20240000209</v>
      </c>
      <c r="F114" s="1016" t="s">
        <v>3828</v>
      </c>
      <c r="G114" s="177" t="s">
        <v>3829</v>
      </c>
      <c r="H114" s="1016" t="s">
        <v>3830</v>
      </c>
      <c r="I114" s="128" t="s">
        <v>3831</v>
      </c>
      <c r="J114" s="128">
        <v>132.34</v>
      </c>
      <c r="K114" s="128">
        <v>132.34</v>
      </c>
      <c r="L114" s="128">
        <v>5076.22</v>
      </c>
      <c r="M114" s="274">
        <v>671787</v>
      </c>
      <c r="N114" s="218">
        <v>5014</v>
      </c>
      <c r="O114" s="168">
        <v>616318.35</v>
      </c>
      <c r="P114" s="1017" t="s">
        <v>3832</v>
      </c>
      <c r="Q114" s="211">
        <v>45827</v>
      </c>
      <c r="R114" s="218"/>
      <c r="S114" s="219"/>
      <c r="T114" s="1018" t="s">
        <v>3833</v>
      </c>
      <c r="U114" s="219" t="s">
        <v>2278</v>
      </c>
      <c r="V114" s="218">
        <v>2000</v>
      </c>
      <c r="W114" s="278" t="s">
        <v>422</v>
      </c>
      <c r="X114" s="218">
        <v>18000</v>
      </c>
      <c r="Y114" s="219" t="s">
        <v>682</v>
      </c>
      <c r="Z114" s="128">
        <v>181787</v>
      </c>
      <c r="AA114" s="179" t="s">
        <v>740</v>
      </c>
      <c r="AB114" s="218">
        <v>470000</v>
      </c>
      <c r="AC114" s="128" t="s">
        <v>946</v>
      </c>
      <c r="AH114" s="218">
        <f t="shared" si="11"/>
        <v>671787</v>
      </c>
      <c r="AK114" s="179">
        <f t="shared" si="14"/>
        <v>0</v>
      </c>
      <c r="AL114" s="128">
        <v>18690680552</v>
      </c>
      <c r="AM114" s="177"/>
      <c r="AO114" s="128">
        <f t="shared" si="13"/>
        <v>671787</v>
      </c>
      <c r="AP114" s="173">
        <f>0.4%+0.02%+0.08%</f>
        <v>0.005</v>
      </c>
      <c r="AQ114" s="275">
        <f t="shared" si="12"/>
        <v>0</v>
      </c>
      <c r="AR114" s="218"/>
      <c r="AS114" s="218"/>
      <c r="AT114" s="218"/>
      <c r="AU114" s="218"/>
      <c r="AV114" s="218"/>
      <c r="AW114" s="218"/>
      <c r="AX114" s="218"/>
      <c r="AY114" s="218"/>
      <c r="AZ114" s="218"/>
      <c r="BB114" s="218"/>
      <c r="BE114" s="128">
        <v>671787</v>
      </c>
      <c r="CI114" s="128" t="s">
        <v>376</v>
      </c>
      <c r="CJ114" s="128" t="s">
        <v>387</v>
      </c>
      <c r="CK114" s="128" t="s">
        <v>377</v>
      </c>
    </row>
    <row r="115" s="128" customFormat="1" customHeight="1" spans="1:92">
      <c r="A115" s="272">
        <v>79</v>
      </c>
      <c r="C115" s="184">
        <v>45300</v>
      </c>
      <c r="D115" s="128">
        <v>20240000198</v>
      </c>
      <c r="F115" s="1016" t="s">
        <v>3834</v>
      </c>
      <c r="G115" s="128" t="s">
        <v>3835</v>
      </c>
      <c r="H115" s="1016" t="s">
        <v>3836</v>
      </c>
      <c r="I115" s="128" t="s">
        <v>3837</v>
      </c>
      <c r="J115" s="128">
        <v>115.78</v>
      </c>
      <c r="K115" s="128">
        <v>115.78</v>
      </c>
      <c r="L115" s="128">
        <v>5110</v>
      </c>
      <c r="M115" s="274">
        <v>591636</v>
      </c>
      <c r="N115" s="218">
        <v>5065</v>
      </c>
      <c r="O115" s="168">
        <v>542785.32</v>
      </c>
      <c r="P115" s="1017" t="s">
        <v>3838</v>
      </c>
      <c r="Q115" s="211">
        <v>45827</v>
      </c>
      <c r="R115" s="218"/>
      <c r="S115" s="219"/>
      <c r="T115" s="272"/>
      <c r="U115" s="219" t="s">
        <v>662</v>
      </c>
      <c r="V115" s="218">
        <v>20000</v>
      </c>
      <c r="W115" s="219" t="s">
        <v>1872</v>
      </c>
      <c r="X115" s="218">
        <v>161636</v>
      </c>
      <c r="Y115" s="211" t="s">
        <v>740</v>
      </c>
      <c r="Z115" s="128">
        <v>410000</v>
      </c>
      <c r="AA115" s="179" t="s">
        <v>946</v>
      </c>
      <c r="AB115" s="218"/>
      <c r="AH115" s="218">
        <f t="shared" si="11"/>
        <v>591636</v>
      </c>
      <c r="AK115" s="179">
        <f t="shared" si="14"/>
        <v>0</v>
      </c>
      <c r="AL115" s="128">
        <v>18299827379</v>
      </c>
      <c r="AM115" s="177"/>
      <c r="AO115" s="128">
        <f t="shared" si="13"/>
        <v>591636</v>
      </c>
      <c r="AP115" s="173">
        <f>0.7%+0.12%</f>
        <v>0.0082</v>
      </c>
      <c r="AQ115" s="275">
        <f t="shared" si="12"/>
        <v>0</v>
      </c>
      <c r="AR115" s="218"/>
      <c r="AS115" s="218"/>
      <c r="AT115" s="218"/>
      <c r="AU115" s="218"/>
      <c r="AV115" s="218"/>
      <c r="AW115" s="218"/>
      <c r="AX115" s="218"/>
      <c r="AY115" s="218"/>
      <c r="AZ115" s="218"/>
      <c r="BB115" s="218"/>
      <c r="BE115" s="128">
        <v>591636</v>
      </c>
      <c r="CI115" s="128" t="s">
        <v>376</v>
      </c>
      <c r="CJ115" s="128" t="s">
        <v>387</v>
      </c>
      <c r="CK115" s="128" t="s">
        <v>377</v>
      </c>
    </row>
    <row r="116" s="128" customFormat="1" customHeight="1" spans="1:92">
      <c r="A116" s="272">
        <v>80</v>
      </c>
      <c r="C116" s="184">
        <v>45401</v>
      </c>
      <c r="D116" s="128">
        <v>20240002198</v>
      </c>
      <c r="F116" s="1016" t="s">
        <v>3839</v>
      </c>
      <c r="G116" s="177" t="s">
        <v>3840</v>
      </c>
      <c r="H116" s="1016" t="s">
        <v>3841</v>
      </c>
      <c r="I116" s="128" t="s">
        <v>3842</v>
      </c>
      <c r="J116" s="128">
        <v>86.14</v>
      </c>
      <c r="K116" s="128">
        <v>86.14</v>
      </c>
      <c r="L116" s="128">
        <v>5195</v>
      </c>
      <c r="M116" s="274">
        <v>447497</v>
      </c>
      <c r="N116" s="218">
        <v>5095</v>
      </c>
      <c r="O116" s="168">
        <v>410547.71</v>
      </c>
      <c r="P116" s="1017" t="s">
        <v>3843</v>
      </c>
      <c r="Q116" s="211">
        <v>45827</v>
      </c>
      <c r="R116" s="218"/>
      <c r="S116" s="219"/>
      <c r="T116" s="284" t="s">
        <v>3844</v>
      </c>
      <c r="U116" s="219" t="s">
        <v>3845</v>
      </c>
      <c r="V116" s="218">
        <f>2000-2000</f>
        <v>0</v>
      </c>
      <c r="W116" s="219" t="s">
        <v>3074</v>
      </c>
      <c r="X116" s="218">
        <v>2000</v>
      </c>
      <c r="Y116" s="219" t="s">
        <v>726</v>
      </c>
      <c r="Z116" s="128">
        <v>18000</v>
      </c>
      <c r="AA116" s="179" t="s">
        <v>3846</v>
      </c>
      <c r="AB116" s="218">
        <v>427497</v>
      </c>
      <c r="AC116" s="219" t="s">
        <v>385</v>
      </c>
      <c r="AH116" s="218">
        <f t="shared" si="11"/>
        <v>447497</v>
      </c>
      <c r="AK116" s="179">
        <f t="shared" si="14"/>
        <v>0</v>
      </c>
      <c r="AL116" s="128">
        <v>13779327826</v>
      </c>
      <c r="AM116" s="177"/>
      <c r="AO116" s="128">
        <f t="shared" si="13"/>
        <v>447497</v>
      </c>
      <c r="AP116" s="173">
        <f>0.4%+0.03%+0.12%</f>
        <v>0.0055</v>
      </c>
      <c r="AQ116" s="275">
        <f t="shared" si="12"/>
        <v>0</v>
      </c>
      <c r="AR116" s="218"/>
      <c r="AS116" s="218"/>
      <c r="AT116" s="218"/>
      <c r="AU116" s="218"/>
      <c r="AV116" s="218"/>
      <c r="AW116" s="218"/>
      <c r="AX116" s="218"/>
      <c r="AY116" s="218"/>
      <c r="AZ116" s="218"/>
      <c r="BB116" s="218"/>
      <c r="BH116" s="128">
        <v>447497</v>
      </c>
      <c r="CI116" s="128" t="s">
        <v>376</v>
      </c>
      <c r="CJ116" s="128" t="s">
        <v>387</v>
      </c>
      <c r="CK116" s="128" t="s">
        <v>377</v>
      </c>
    </row>
    <row r="117" s="128" customFormat="1" customHeight="1" spans="1:92">
      <c r="A117" s="272">
        <v>81</v>
      </c>
      <c r="C117" s="184">
        <v>45341</v>
      </c>
      <c r="D117" s="128">
        <v>20240000866</v>
      </c>
      <c r="F117" s="1016" t="s">
        <v>3847</v>
      </c>
      <c r="G117" s="128" t="s">
        <v>3848</v>
      </c>
      <c r="H117" s="1016" t="s">
        <v>3849</v>
      </c>
      <c r="I117" s="128" t="s">
        <v>3850</v>
      </c>
      <c r="J117" s="128">
        <v>132.34</v>
      </c>
      <c r="K117" s="128">
        <v>132.34</v>
      </c>
      <c r="L117" s="128">
        <v>5123.17</v>
      </c>
      <c r="M117" s="274">
        <v>678000</v>
      </c>
      <c r="N117" s="218">
        <v>5065</v>
      </c>
      <c r="O117" s="168">
        <v>622018.35</v>
      </c>
      <c r="P117" s="1017" t="s">
        <v>3851</v>
      </c>
      <c r="Q117" s="211">
        <v>45827</v>
      </c>
      <c r="R117" s="218"/>
      <c r="S117" s="219"/>
      <c r="T117" s="272"/>
      <c r="U117" s="219" t="s">
        <v>410</v>
      </c>
      <c r="V117" s="218">
        <v>20000</v>
      </c>
      <c r="W117" s="219" t="s">
        <v>3442</v>
      </c>
      <c r="X117" s="218">
        <v>118000</v>
      </c>
      <c r="Y117" s="219" t="s">
        <v>3852</v>
      </c>
      <c r="Z117" s="218">
        <v>540000</v>
      </c>
      <c r="AA117" s="219">
        <v>45539</v>
      </c>
      <c r="AB117" s="218"/>
      <c r="AH117" s="218">
        <f t="shared" si="11"/>
        <v>678000</v>
      </c>
      <c r="AK117" s="179">
        <f t="shared" si="14"/>
        <v>0</v>
      </c>
      <c r="AL117" s="128">
        <v>19190819297</v>
      </c>
      <c r="AM117" s="177"/>
      <c r="AO117" s="128">
        <f t="shared" si="13"/>
        <v>678000</v>
      </c>
      <c r="AP117" s="173">
        <f>0.7%+0.04%+0.12%</f>
        <v>0.0086</v>
      </c>
      <c r="AQ117" s="275">
        <f t="shared" si="12"/>
        <v>0</v>
      </c>
      <c r="AR117" s="218"/>
      <c r="AS117" s="218"/>
      <c r="AT117" s="218"/>
      <c r="AU117" s="218"/>
      <c r="AV117" s="218"/>
      <c r="AW117" s="218"/>
      <c r="AX117" s="218"/>
      <c r="AY117" s="218"/>
      <c r="AZ117" s="218"/>
      <c r="BB117" s="218"/>
      <c r="BF117" s="128">
        <v>138000</v>
      </c>
      <c r="BM117" s="128">
        <v>540000</v>
      </c>
      <c r="CI117" s="128" t="s">
        <v>376</v>
      </c>
      <c r="CJ117" s="128" t="s">
        <v>387</v>
      </c>
      <c r="CK117" s="128" t="s">
        <v>377</v>
      </c>
    </row>
    <row r="118" s="128" customFormat="1" customHeight="1" spans="1:92">
      <c r="A118" s="272">
        <v>82</v>
      </c>
      <c r="C118" s="184">
        <v>45297</v>
      </c>
      <c r="D118" s="128">
        <v>20240000136</v>
      </c>
      <c r="F118" s="1016" t="s">
        <v>3853</v>
      </c>
      <c r="G118" s="128" t="s">
        <v>3854</v>
      </c>
      <c r="H118" s="1016" t="s">
        <v>3855</v>
      </c>
      <c r="I118" s="128" t="s">
        <v>3856</v>
      </c>
      <c r="J118" s="128">
        <v>115.78</v>
      </c>
      <c r="K118" s="128">
        <v>115.78</v>
      </c>
      <c r="L118" s="128">
        <v>5182.24</v>
      </c>
      <c r="M118" s="274">
        <v>600000</v>
      </c>
      <c r="N118" s="218">
        <v>5145</v>
      </c>
      <c r="O118" s="168">
        <v>550458.72</v>
      </c>
      <c r="P118" s="1017" t="s">
        <v>3857</v>
      </c>
      <c r="Q118" s="211">
        <v>45827</v>
      </c>
      <c r="R118" s="218"/>
      <c r="S118" s="219"/>
      <c r="T118" s="272"/>
      <c r="U118" s="219" t="s">
        <v>383</v>
      </c>
      <c r="V118" s="218">
        <v>20000</v>
      </c>
      <c r="W118" s="219" t="s">
        <v>682</v>
      </c>
      <c r="X118" s="218">
        <f>460000+120000</f>
        <v>580000</v>
      </c>
      <c r="Y118" s="211" t="s">
        <v>726</v>
      </c>
      <c r="AA118" s="179"/>
      <c r="AB118" s="218"/>
      <c r="AH118" s="218">
        <f t="shared" si="11"/>
        <v>600000</v>
      </c>
      <c r="AK118" s="179">
        <f t="shared" ref="AK118:AK126" si="15">M118-AH118</f>
        <v>0</v>
      </c>
      <c r="AL118" s="128">
        <v>15199931388</v>
      </c>
      <c r="AM118" s="177"/>
      <c r="AO118" s="128">
        <f t="shared" si="13"/>
        <v>600000</v>
      </c>
      <c r="AP118" s="173">
        <f>0.7%+0.08%</f>
        <v>0.0078</v>
      </c>
      <c r="AQ118" s="275">
        <f t="shared" si="12"/>
        <v>0</v>
      </c>
      <c r="AR118" s="218"/>
      <c r="AS118" s="218"/>
      <c r="AT118" s="218"/>
      <c r="AU118" s="218"/>
      <c r="AV118" s="218"/>
      <c r="AW118" s="218"/>
      <c r="AX118" s="218"/>
      <c r="AY118" s="218"/>
      <c r="AZ118" s="218"/>
      <c r="BB118" s="218"/>
      <c r="BE118" s="128">
        <v>600000</v>
      </c>
      <c r="CI118" s="128" t="s">
        <v>376</v>
      </c>
      <c r="CJ118" s="128" t="s">
        <v>387</v>
      </c>
      <c r="CK118" s="128" t="s">
        <v>377</v>
      </c>
    </row>
    <row r="119" s="128" customFormat="1" customHeight="1" spans="1:92">
      <c r="A119" s="272">
        <v>83</v>
      </c>
      <c r="C119" s="184">
        <v>45414</v>
      </c>
      <c r="D119" s="128">
        <v>20240002487</v>
      </c>
      <c r="F119" s="128" t="s">
        <v>3858</v>
      </c>
      <c r="G119" s="128" t="s">
        <v>3859</v>
      </c>
      <c r="I119" s="128" t="s">
        <v>3860</v>
      </c>
      <c r="J119" s="128">
        <v>86.14</v>
      </c>
      <c r="K119" s="128">
        <v>86.14</v>
      </c>
      <c r="L119" s="128">
        <f>M119/K119</f>
        <v>5224.05386579986</v>
      </c>
      <c r="M119" s="274">
        <v>450000</v>
      </c>
      <c r="N119" s="218">
        <v>5175</v>
      </c>
      <c r="O119" s="168">
        <v>412844.04</v>
      </c>
      <c r="P119" s="1017" t="s">
        <v>3861</v>
      </c>
      <c r="Q119" s="211">
        <v>45845</v>
      </c>
      <c r="R119" s="218"/>
      <c r="S119" s="219"/>
      <c r="T119" s="272"/>
      <c r="U119" s="219" t="s">
        <v>524</v>
      </c>
      <c r="V119" s="218">
        <v>150000</v>
      </c>
      <c r="W119" s="219" t="s">
        <v>3862</v>
      </c>
      <c r="X119" s="218">
        <v>300000</v>
      </c>
      <c r="Y119" s="211" t="s">
        <v>2288</v>
      </c>
      <c r="AA119" s="179"/>
      <c r="AB119" s="218"/>
      <c r="AH119" s="218">
        <f t="shared" si="11"/>
        <v>450000</v>
      </c>
      <c r="AK119" s="179">
        <f t="shared" si="15"/>
        <v>0</v>
      </c>
      <c r="AL119" s="128">
        <v>13565971091</v>
      </c>
      <c r="AM119" s="177"/>
      <c r="AO119" s="128">
        <f t="shared" si="13"/>
        <v>450000</v>
      </c>
      <c r="AP119" s="173">
        <f>0.4%+0.02%+0.08%</f>
        <v>0.005</v>
      </c>
      <c r="AQ119" s="275">
        <f t="shared" si="12"/>
        <v>0</v>
      </c>
      <c r="AR119" s="218"/>
      <c r="AS119" s="218"/>
      <c r="AT119" s="218"/>
      <c r="AU119" s="218"/>
      <c r="AV119" s="218"/>
      <c r="AW119" s="218"/>
      <c r="AX119" s="218"/>
      <c r="AY119" s="218"/>
      <c r="AZ119" s="218"/>
      <c r="BB119" s="218"/>
      <c r="BI119" s="128">
        <v>450000</v>
      </c>
      <c r="CI119" s="128" t="s">
        <v>376</v>
      </c>
      <c r="CJ119" s="128" t="s">
        <v>387</v>
      </c>
      <c r="CK119" s="128" t="s">
        <v>377</v>
      </c>
    </row>
    <row r="120" s="128" customFormat="1" ht="44" customHeight="1" spans="1:92">
      <c r="A120" s="272">
        <v>84</v>
      </c>
      <c r="C120" s="184">
        <v>45291</v>
      </c>
      <c r="D120" s="128">
        <v>20230010724</v>
      </c>
      <c r="F120" s="1016" t="s">
        <v>3863</v>
      </c>
      <c r="G120" s="128" t="s">
        <v>3864</v>
      </c>
      <c r="H120" s="1016" t="s">
        <v>3865</v>
      </c>
      <c r="I120" s="128" t="s">
        <v>3866</v>
      </c>
      <c r="J120" s="128">
        <v>132.34</v>
      </c>
      <c r="K120" s="128">
        <v>132.34</v>
      </c>
      <c r="L120" s="128">
        <v>5200</v>
      </c>
      <c r="M120" s="274">
        <v>688168</v>
      </c>
      <c r="N120" s="218">
        <v>5125</v>
      </c>
      <c r="O120" s="168">
        <v>631346.79</v>
      </c>
      <c r="P120" s="1017" t="s">
        <v>3867</v>
      </c>
      <c r="Q120" s="211">
        <v>45827</v>
      </c>
      <c r="R120" s="218"/>
      <c r="S120" s="219"/>
      <c r="T120" s="1017" t="s">
        <v>2460</v>
      </c>
      <c r="U120" s="219" t="s">
        <v>400</v>
      </c>
      <c r="V120" s="218">
        <v>10000</v>
      </c>
      <c r="W120" s="219" t="s">
        <v>1008</v>
      </c>
      <c r="X120" s="218">
        <v>10000</v>
      </c>
      <c r="Y120" s="219" t="s">
        <v>630</v>
      </c>
      <c r="Z120" s="218">
        <v>48168</v>
      </c>
      <c r="AA120" s="219" t="s">
        <v>682</v>
      </c>
      <c r="AB120" s="218">
        <v>70000</v>
      </c>
      <c r="AC120" s="128" t="s">
        <v>3868</v>
      </c>
      <c r="AD120" s="218">
        <v>550000</v>
      </c>
      <c r="AE120" s="219" t="s">
        <v>3869</v>
      </c>
      <c r="AH120" s="218">
        <f t="shared" si="11"/>
        <v>688168</v>
      </c>
      <c r="AK120" s="179">
        <f t="shared" si="15"/>
        <v>0</v>
      </c>
      <c r="AL120" s="128">
        <v>15276150544</v>
      </c>
      <c r="AM120" s="177"/>
      <c r="AO120" s="128">
        <f t="shared" si="13"/>
        <v>688168</v>
      </c>
      <c r="AP120" s="173">
        <f>0.5%+0.02%+0.08%</f>
        <v>0.006</v>
      </c>
      <c r="AQ120" s="275">
        <f t="shared" si="12"/>
        <v>100</v>
      </c>
      <c r="AR120" s="218"/>
      <c r="AS120" s="218"/>
      <c r="AT120" s="218"/>
      <c r="AU120" s="218"/>
      <c r="AV120" s="218"/>
      <c r="AW120" s="218"/>
      <c r="AX120" s="218"/>
      <c r="AY120" s="218">
        <v>100</v>
      </c>
      <c r="AZ120" s="218"/>
      <c r="BB120" s="218"/>
      <c r="BE120" s="128">
        <v>138168</v>
      </c>
      <c r="BG120" s="128">
        <v>550000</v>
      </c>
      <c r="CI120" s="128" t="s">
        <v>376</v>
      </c>
      <c r="CJ120" s="128" t="s">
        <v>387</v>
      </c>
      <c r="CK120" s="128" t="s">
        <v>377</v>
      </c>
    </row>
    <row r="121" s="128" customFormat="1" ht="46" customHeight="1" spans="1:92">
      <c r="A121" s="272">
        <v>85</v>
      </c>
      <c r="C121" s="184">
        <v>45313</v>
      </c>
      <c r="D121" s="128">
        <v>20240000484</v>
      </c>
      <c r="F121" s="1016" t="s">
        <v>3870</v>
      </c>
      <c r="G121" s="177" t="s">
        <v>3871</v>
      </c>
      <c r="I121" s="128" t="s">
        <v>3872</v>
      </c>
      <c r="J121" s="128">
        <v>115.78</v>
      </c>
      <c r="K121" s="128">
        <v>115.78</v>
      </c>
      <c r="L121" s="128">
        <f>M121/K121</f>
        <v>5306.99602694766</v>
      </c>
      <c r="M121" s="274">
        <v>614444</v>
      </c>
      <c r="N121" s="218">
        <v>5207</v>
      </c>
      <c r="O121" s="168">
        <v>563710.09</v>
      </c>
      <c r="P121" s="1017" t="s">
        <v>3873</v>
      </c>
      <c r="Q121" s="211">
        <v>45827</v>
      </c>
      <c r="R121" s="218"/>
      <c r="S121" s="219"/>
      <c r="T121" s="1018" t="s">
        <v>3874</v>
      </c>
      <c r="U121" s="219" t="s">
        <v>3875</v>
      </c>
      <c r="V121" s="218">
        <f>2000-2000</f>
        <v>0</v>
      </c>
      <c r="W121" s="219" t="s">
        <v>1128</v>
      </c>
      <c r="X121" s="218">
        <v>2000</v>
      </c>
      <c r="Y121" s="219" t="s">
        <v>2303</v>
      </c>
      <c r="Z121" s="218">
        <v>18000</v>
      </c>
      <c r="AA121" s="211" t="s">
        <v>630</v>
      </c>
      <c r="AB121" s="218">
        <v>41444</v>
      </c>
      <c r="AC121" s="219" t="s">
        <v>2732</v>
      </c>
      <c r="AD121" s="128">
        <v>63000</v>
      </c>
      <c r="AE121" s="128" t="s">
        <v>3876</v>
      </c>
      <c r="AF121" s="218">
        <v>490000</v>
      </c>
      <c r="AG121" s="219" t="s">
        <v>1360</v>
      </c>
      <c r="AH121" s="218">
        <f t="shared" si="11"/>
        <v>614444</v>
      </c>
      <c r="AK121" s="179">
        <f t="shared" si="15"/>
        <v>0</v>
      </c>
      <c r="AL121" s="128">
        <v>18690878909</v>
      </c>
      <c r="AM121" s="177"/>
      <c r="AO121" s="128">
        <f t="shared" si="13"/>
        <v>614444</v>
      </c>
      <c r="AP121" s="173">
        <f>0.4%+0.08%</f>
        <v>0.0048</v>
      </c>
      <c r="AQ121" s="275">
        <f t="shared" si="12"/>
        <v>0</v>
      </c>
      <c r="AR121" s="218"/>
      <c r="AS121" s="218"/>
      <c r="AT121" s="218"/>
      <c r="AU121" s="218"/>
      <c r="AV121" s="218"/>
      <c r="AW121" s="218"/>
      <c r="AX121" s="218"/>
      <c r="AY121" s="218"/>
      <c r="AZ121" s="218"/>
      <c r="BB121" s="218"/>
      <c r="BE121" s="128">
        <v>124444</v>
      </c>
      <c r="BH121" s="128">
        <v>490000</v>
      </c>
      <c r="CI121" s="128" t="s">
        <v>376</v>
      </c>
      <c r="CJ121" s="128" t="s">
        <v>387</v>
      </c>
      <c r="CK121" s="128" t="s">
        <v>377</v>
      </c>
    </row>
    <row r="122" s="128" customFormat="1" ht="54" customHeight="1" spans="1:92">
      <c r="A122" s="272">
        <v>86</v>
      </c>
      <c r="B122" s="128"/>
      <c r="C122" s="184">
        <v>45854</v>
      </c>
      <c r="D122" s="128">
        <v>20250003766</v>
      </c>
      <c r="E122" s="177" t="s">
        <v>3877</v>
      </c>
      <c r="F122" s="1016" t="s">
        <v>3878</v>
      </c>
      <c r="G122" s="177" t="s">
        <v>3879</v>
      </c>
      <c r="H122" s="128"/>
      <c r="I122" s="128" t="s">
        <v>3880</v>
      </c>
      <c r="J122" s="128">
        <v>86.14</v>
      </c>
      <c r="K122" s="128">
        <v>86.14</v>
      </c>
      <c r="L122" s="128">
        <f>M122/K122</f>
        <v>5536.99791037845</v>
      </c>
      <c r="M122" s="274">
        <v>476957</v>
      </c>
      <c r="N122" s="274">
        <v>5096.355</v>
      </c>
      <c r="O122" s="168">
        <v>437575.23</v>
      </c>
      <c r="P122" s="1017" t="s">
        <v>3881</v>
      </c>
      <c r="Q122" s="211">
        <v>45896</v>
      </c>
      <c r="R122" s="218"/>
      <c r="S122" s="219"/>
      <c r="T122" s="272"/>
      <c r="U122" s="219"/>
      <c r="V122" s="128">
        <v>5000</v>
      </c>
      <c r="W122" s="128" t="s">
        <v>2230</v>
      </c>
      <c r="X122" s="218">
        <f>472105+4852</f>
        <v>476957</v>
      </c>
      <c r="Y122" s="219">
        <v>45854</v>
      </c>
      <c r="Z122" s="218">
        <v>-5000</v>
      </c>
      <c r="AA122" s="219">
        <v>45874</v>
      </c>
      <c r="AB122" s="218"/>
      <c r="AC122" s="219"/>
      <c r="AH122" s="218">
        <f t="shared" si="11"/>
        <v>476957</v>
      </c>
      <c r="AK122" s="179">
        <f t="shared" si="15"/>
        <v>0</v>
      </c>
      <c r="AM122" s="177"/>
      <c r="AO122" s="128">
        <f t="shared" si="13"/>
        <v>0</v>
      </c>
      <c r="AP122" s="173">
        <f>0.4%+0.02%+0.08%+0.03%</f>
        <v>0.0053</v>
      </c>
      <c r="AQ122" s="275">
        <f t="shared" si="12"/>
        <v>0</v>
      </c>
      <c r="AR122" s="218"/>
      <c r="AS122" s="218"/>
      <c r="AT122" s="218"/>
      <c r="AU122" s="218"/>
      <c r="AV122" s="218"/>
      <c r="AW122" s="218"/>
      <c r="AX122" s="218"/>
      <c r="AY122" s="218"/>
      <c r="AZ122" s="218"/>
      <c r="BB122" s="218"/>
      <c r="CI122" s="128" t="s">
        <v>2825</v>
      </c>
      <c r="CK122" s="128" t="s">
        <v>377</v>
      </c>
    </row>
    <row r="123" s="128" customFormat="1" customHeight="1" spans="1:92">
      <c r="A123" s="272">
        <v>87</v>
      </c>
      <c r="C123" s="184">
        <v>45417</v>
      </c>
      <c r="D123" s="128">
        <v>20240002610</v>
      </c>
      <c r="F123" s="1016" t="s">
        <v>3882</v>
      </c>
      <c r="G123" s="128" t="s">
        <v>3883</v>
      </c>
      <c r="H123" s="1016" t="s">
        <v>3884</v>
      </c>
      <c r="I123" s="128" t="s">
        <v>3885</v>
      </c>
      <c r="J123" s="128">
        <v>132.34</v>
      </c>
      <c r="K123" s="128">
        <v>132.34</v>
      </c>
      <c r="L123" s="128">
        <f>M123/K123</f>
        <v>5226.99863986701</v>
      </c>
      <c r="M123" s="274">
        <v>691741</v>
      </c>
      <c r="N123" s="218">
        <v>5177</v>
      </c>
      <c r="O123" s="168">
        <v>634624.77</v>
      </c>
      <c r="P123" s="1017" t="s">
        <v>3886</v>
      </c>
      <c r="Q123" s="211">
        <v>45827</v>
      </c>
      <c r="R123" s="218"/>
      <c r="S123" s="219"/>
      <c r="T123" s="272"/>
      <c r="U123" s="219" t="s">
        <v>662</v>
      </c>
      <c r="V123" s="218">
        <v>2000</v>
      </c>
      <c r="W123" s="219" t="s">
        <v>1128</v>
      </c>
      <c r="X123" s="218">
        <v>18000</v>
      </c>
      <c r="Y123" s="219" t="s">
        <v>3887</v>
      </c>
      <c r="Z123" s="218">
        <v>118741</v>
      </c>
      <c r="AA123" s="219" t="s">
        <v>1083</v>
      </c>
      <c r="AB123" s="218">
        <v>553000</v>
      </c>
      <c r="AC123" s="219" t="s">
        <v>1085</v>
      </c>
      <c r="AH123" s="218">
        <f t="shared" si="11"/>
        <v>691741</v>
      </c>
      <c r="AK123" s="179">
        <f t="shared" si="15"/>
        <v>0</v>
      </c>
      <c r="AL123" s="128">
        <v>18199242252</v>
      </c>
      <c r="AM123" s="177"/>
      <c r="AO123" s="128">
        <f t="shared" si="13"/>
        <v>691741</v>
      </c>
      <c r="AP123" s="173">
        <f>0.7%+0.12%</f>
        <v>0.0082</v>
      </c>
      <c r="AQ123" s="275">
        <f t="shared" si="12"/>
        <v>0</v>
      </c>
      <c r="AR123" s="218"/>
      <c r="AS123" s="218"/>
      <c r="AT123" s="218"/>
      <c r="AU123" s="218"/>
      <c r="AV123" s="218"/>
      <c r="AW123" s="218"/>
      <c r="AX123" s="218"/>
      <c r="AY123" s="218"/>
      <c r="AZ123" s="218"/>
      <c r="BB123" s="218"/>
      <c r="BI123" s="128">
        <v>138741</v>
      </c>
      <c r="BJ123" s="128">
        <v>553000</v>
      </c>
      <c r="CI123" s="128" t="s">
        <v>376</v>
      </c>
      <c r="CJ123" s="128" t="s">
        <v>387</v>
      </c>
      <c r="CK123" s="128" t="s">
        <v>377</v>
      </c>
    </row>
    <row r="124" s="128" customFormat="1" customHeight="1" spans="1:92">
      <c r="A124" s="272">
        <v>88</v>
      </c>
      <c r="C124" s="184">
        <v>45318</v>
      </c>
      <c r="D124" s="128">
        <v>20240000618</v>
      </c>
      <c r="F124" s="1016" t="s">
        <v>3888</v>
      </c>
      <c r="G124" s="128" t="s">
        <v>3889</v>
      </c>
      <c r="H124" s="1016" t="s">
        <v>3890</v>
      </c>
      <c r="I124" s="128" t="s">
        <v>3891</v>
      </c>
      <c r="J124" s="128">
        <v>115.78</v>
      </c>
      <c r="K124" s="128">
        <v>115.78</v>
      </c>
      <c r="L124" s="128">
        <v>5268.61</v>
      </c>
      <c r="M124" s="274">
        <v>610000</v>
      </c>
      <c r="N124" s="218">
        <v>5227</v>
      </c>
      <c r="O124" s="168">
        <v>559633.03</v>
      </c>
      <c r="P124" s="1017" t="s">
        <v>3892</v>
      </c>
      <c r="Q124" s="211">
        <v>45827</v>
      </c>
      <c r="R124" s="218"/>
      <c r="S124" s="219"/>
      <c r="T124" s="272"/>
      <c r="U124" s="219" t="s">
        <v>410</v>
      </c>
      <c r="V124" s="218">
        <v>10000</v>
      </c>
      <c r="W124" s="219" t="s">
        <v>3876</v>
      </c>
      <c r="X124" s="218">
        <v>600000</v>
      </c>
      <c r="Y124" s="211" t="s">
        <v>1016</v>
      </c>
      <c r="AA124" s="179"/>
      <c r="AB124" s="218"/>
      <c r="AH124" s="218">
        <f t="shared" si="11"/>
        <v>610000</v>
      </c>
      <c r="AK124" s="179">
        <f t="shared" si="15"/>
        <v>0</v>
      </c>
      <c r="AL124" s="128">
        <v>19993509038</v>
      </c>
      <c r="AM124" s="177"/>
      <c r="AO124" s="128">
        <f t="shared" si="13"/>
        <v>610000</v>
      </c>
      <c r="AP124" s="173">
        <f>0.7%+0.04%+0.12%</f>
        <v>0.0086</v>
      </c>
      <c r="AQ124" s="275">
        <f t="shared" si="12"/>
        <v>0</v>
      </c>
      <c r="AR124" s="218"/>
      <c r="AS124" s="218"/>
      <c r="AT124" s="218"/>
      <c r="AU124" s="218"/>
      <c r="AV124" s="218"/>
      <c r="AW124" s="218"/>
      <c r="AX124" s="218"/>
      <c r="AY124" s="218"/>
      <c r="AZ124" s="218"/>
      <c r="BB124" s="218"/>
      <c r="BE124" s="128">
        <v>610000</v>
      </c>
      <c r="CI124" s="128" t="s">
        <v>376</v>
      </c>
      <c r="CJ124" s="128" t="s">
        <v>387</v>
      </c>
      <c r="CK124" s="128" t="s">
        <v>377</v>
      </c>
    </row>
    <row r="125" s="128" customFormat="1" customHeight="1" spans="1:92">
      <c r="A125" s="272">
        <v>89</v>
      </c>
      <c r="C125" s="184">
        <v>45355</v>
      </c>
      <c r="D125" s="128">
        <v>20240001139</v>
      </c>
      <c r="F125" s="1016" t="s">
        <v>3893</v>
      </c>
      <c r="G125" s="128" t="s">
        <v>3894</v>
      </c>
      <c r="H125" s="1016" t="s">
        <v>3895</v>
      </c>
      <c r="I125" s="128" t="s">
        <v>3896</v>
      </c>
      <c r="J125" s="128">
        <v>86.14</v>
      </c>
      <c r="K125" s="128">
        <v>86.14</v>
      </c>
      <c r="L125" s="128">
        <v>5357</v>
      </c>
      <c r="M125" s="274">
        <v>461452</v>
      </c>
      <c r="N125" s="218">
        <v>5257</v>
      </c>
      <c r="O125" s="168">
        <v>423350.46</v>
      </c>
      <c r="P125" s="1017" t="s">
        <v>3897</v>
      </c>
      <c r="Q125" s="211">
        <v>45827</v>
      </c>
      <c r="R125" s="218"/>
      <c r="S125" s="219"/>
      <c r="T125" s="272"/>
      <c r="U125" s="219" t="s">
        <v>400</v>
      </c>
      <c r="V125" s="218">
        <v>1452</v>
      </c>
      <c r="W125" s="219" t="s">
        <v>481</v>
      </c>
      <c r="X125" s="218">
        <v>90000</v>
      </c>
      <c r="Y125" s="211" t="s">
        <v>3898</v>
      </c>
      <c r="Z125" s="128">
        <v>30000</v>
      </c>
      <c r="AA125" s="179" t="s">
        <v>2924</v>
      </c>
      <c r="AB125" s="218">
        <v>340000</v>
      </c>
      <c r="AC125" s="219" t="s">
        <v>412</v>
      </c>
      <c r="AH125" s="218">
        <f t="shared" si="11"/>
        <v>461452</v>
      </c>
      <c r="AK125" s="179">
        <f t="shared" si="15"/>
        <v>0</v>
      </c>
      <c r="AL125" s="128">
        <v>19190048233</v>
      </c>
      <c r="AM125" s="177"/>
      <c r="AO125" s="128">
        <f t="shared" si="13"/>
        <v>461452</v>
      </c>
      <c r="AP125" s="173">
        <f>0.7%+0.04%+0.12%</f>
        <v>0.0086</v>
      </c>
      <c r="AQ125" s="275">
        <f t="shared" si="12"/>
        <v>0</v>
      </c>
      <c r="AR125" s="218"/>
      <c r="AS125" s="218"/>
      <c r="AT125" s="218"/>
      <c r="AU125" s="218"/>
      <c r="AV125" s="218"/>
      <c r="AW125" s="218"/>
      <c r="AX125" s="218"/>
      <c r="AY125" s="218"/>
      <c r="AZ125" s="218"/>
      <c r="BB125" s="218"/>
      <c r="BG125" s="128">
        <v>121452</v>
      </c>
      <c r="BH125" s="128">
        <v>340000</v>
      </c>
      <c r="CI125" s="128" t="s">
        <v>376</v>
      </c>
      <c r="CJ125" s="128" t="s">
        <v>387</v>
      </c>
      <c r="CK125" s="128" t="s">
        <v>377</v>
      </c>
      <c r="CN125" s="128">
        <f>CL125-CM125</f>
        <v>0</v>
      </c>
    </row>
    <row r="126" s="128" customFormat="1" customHeight="1" spans="1:92">
      <c r="A126" s="272">
        <v>90</v>
      </c>
      <c r="C126" s="184">
        <v>45355</v>
      </c>
      <c r="D126" s="128">
        <v>20240001135</v>
      </c>
      <c r="F126" s="1016" t="s">
        <v>3899</v>
      </c>
      <c r="G126" s="128" t="s">
        <v>3900</v>
      </c>
      <c r="H126" s="1016" t="s">
        <v>3901</v>
      </c>
      <c r="I126" s="128" t="s">
        <v>3902</v>
      </c>
      <c r="J126" s="128">
        <v>132.34</v>
      </c>
      <c r="K126" s="128">
        <v>132.34</v>
      </c>
      <c r="L126" s="128">
        <v>5289.4</v>
      </c>
      <c r="M126" s="274">
        <v>700000</v>
      </c>
      <c r="N126" s="218">
        <v>5207</v>
      </c>
      <c r="O126" s="168">
        <v>642201.83</v>
      </c>
      <c r="P126" s="1017" t="s">
        <v>3903</v>
      </c>
      <c r="Q126" s="211">
        <v>45827</v>
      </c>
      <c r="R126" s="218"/>
      <c r="S126" s="219"/>
      <c r="T126" s="272"/>
      <c r="U126" s="219" t="s">
        <v>410</v>
      </c>
      <c r="V126" s="218">
        <v>20000</v>
      </c>
      <c r="W126" s="219" t="s">
        <v>479</v>
      </c>
      <c r="X126" s="218">
        <f>140000+240000</f>
        <v>380000</v>
      </c>
      <c r="Y126" s="219" t="s">
        <v>3904</v>
      </c>
      <c r="Z126" s="128">
        <v>300000</v>
      </c>
      <c r="AA126" s="179" t="s">
        <v>3905</v>
      </c>
      <c r="AB126" s="218"/>
      <c r="AH126" s="218">
        <f t="shared" si="11"/>
        <v>700000</v>
      </c>
      <c r="AK126" s="179">
        <f t="shared" si="15"/>
        <v>0</v>
      </c>
      <c r="AL126" s="128">
        <v>13239065687</v>
      </c>
      <c r="AM126" s="177"/>
      <c r="AN126" s="128" t="s">
        <v>3906</v>
      </c>
      <c r="AO126" s="128">
        <f t="shared" si="13"/>
        <v>700000</v>
      </c>
      <c r="AP126" s="173">
        <f>0.7%+0.05%+0.12%</f>
        <v>0.0087</v>
      </c>
      <c r="AQ126" s="275">
        <f t="shared" si="12"/>
        <v>0</v>
      </c>
      <c r="AR126" s="218"/>
      <c r="AS126" s="218"/>
      <c r="AT126" s="218"/>
      <c r="AU126" s="218"/>
      <c r="AV126" s="218"/>
      <c r="AW126" s="218"/>
      <c r="AX126" s="218"/>
      <c r="AY126" s="218"/>
      <c r="AZ126" s="218"/>
      <c r="BB126" s="218"/>
      <c r="BG126" s="128">
        <v>700000</v>
      </c>
      <c r="CI126" s="128" t="s">
        <v>376</v>
      </c>
      <c r="CJ126" s="128" t="s">
        <v>387</v>
      </c>
      <c r="CK126" s="128" t="s">
        <v>377</v>
      </c>
    </row>
    <row r="127" s="128" customFormat="1" customHeight="1" spans="1:92">
      <c r="A127" s="272">
        <v>91</v>
      </c>
      <c r="C127" s="184">
        <v>45316</v>
      </c>
      <c r="D127" s="128">
        <v>20240000347</v>
      </c>
      <c r="F127" s="1016" t="s">
        <v>3907</v>
      </c>
      <c r="G127" s="128" t="s">
        <v>3908</v>
      </c>
      <c r="H127" s="1016" t="s">
        <v>3909</v>
      </c>
      <c r="I127" s="128" t="s">
        <v>3910</v>
      </c>
      <c r="J127" s="128">
        <v>115.78</v>
      </c>
      <c r="K127" s="128">
        <v>115.78</v>
      </c>
      <c r="L127" s="128">
        <v>5300</v>
      </c>
      <c r="M127" s="274">
        <v>613634</v>
      </c>
      <c r="N127" s="218">
        <v>5265</v>
      </c>
      <c r="O127" s="168">
        <v>562966.97</v>
      </c>
      <c r="P127" s="1017" t="s">
        <v>3911</v>
      </c>
      <c r="Q127" s="211">
        <v>45827</v>
      </c>
      <c r="R127" s="218"/>
      <c r="S127" s="219"/>
      <c r="T127" s="1017" t="s">
        <v>3912</v>
      </c>
      <c r="U127" s="219" t="s">
        <v>2278</v>
      </c>
      <c r="V127" s="218">
        <v>2000</v>
      </c>
      <c r="W127" s="219" t="s">
        <v>1015</v>
      </c>
      <c r="X127" s="218">
        <v>18000</v>
      </c>
      <c r="Y127" s="219" t="s">
        <v>682</v>
      </c>
      <c r="Z127" s="128">
        <v>164634</v>
      </c>
      <c r="AA127" s="179" t="s">
        <v>3913</v>
      </c>
      <c r="AB127" s="218">
        <v>429000</v>
      </c>
      <c r="AC127" s="219" t="s">
        <v>715</v>
      </c>
      <c r="AH127" s="218">
        <f t="shared" si="11"/>
        <v>613634</v>
      </c>
      <c r="AK127" s="179">
        <f t="shared" ref="AK126:AK129" si="16">M127-AH127</f>
        <v>0</v>
      </c>
      <c r="AL127" s="128">
        <v>15899021367</v>
      </c>
      <c r="AM127" s="177"/>
      <c r="AO127" s="128">
        <f t="shared" si="13"/>
        <v>613634</v>
      </c>
      <c r="AP127" s="173">
        <f>0.4%+0.02%+0.08%</f>
        <v>0.005</v>
      </c>
      <c r="AQ127" s="275">
        <f t="shared" si="12"/>
        <v>0</v>
      </c>
      <c r="AR127" s="218"/>
      <c r="AS127" s="218"/>
      <c r="AT127" s="218"/>
      <c r="AU127" s="218"/>
      <c r="AV127" s="218"/>
      <c r="AW127" s="218"/>
      <c r="AX127" s="218"/>
      <c r="AY127" s="218"/>
      <c r="AZ127" s="218"/>
      <c r="BB127" s="218"/>
      <c r="BE127" s="128">
        <v>184634</v>
      </c>
      <c r="BF127" s="128">
        <v>429000</v>
      </c>
      <c r="CI127" s="128" t="s">
        <v>376</v>
      </c>
      <c r="CJ127" s="128" t="s">
        <v>387</v>
      </c>
      <c r="CK127" s="128" t="s">
        <v>377</v>
      </c>
    </row>
    <row r="128" s="128" customFormat="1" customHeight="1" spans="1:92">
      <c r="A128" s="272">
        <v>92</v>
      </c>
      <c r="C128" s="184">
        <v>45356</v>
      </c>
      <c r="D128" s="128">
        <v>20240001157</v>
      </c>
      <c r="F128" s="1016" t="s">
        <v>3914</v>
      </c>
      <c r="G128" s="128" t="s">
        <v>3915</v>
      </c>
      <c r="H128" s="1016" t="s">
        <v>3916</v>
      </c>
      <c r="I128" s="128" t="s">
        <v>3917</v>
      </c>
      <c r="J128" s="128">
        <v>86.14</v>
      </c>
      <c r="K128" s="128">
        <v>86.14</v>
      </c>
      <c r="L128" s="128">
        <v>5395</v>
      </c>
      <c r="M128" s="274">
        <v>464725</v>
      </c>
      <c r="N128" s="218">
        <v>5295</v>
      </c>
      <c r="O128" s="168">
        <v>426353.21</v>
      </c>
      <c r="P128" s="1017" t="s">
        <v>3918</v>
      </c>
      <c r="Q128" s="211">
        <v>45827</v>
      </c>
      <c r="R128" s="218"/>
      <c r="S128" s="219"/>
      <c r="T128" s="272"/>
      <c r="U128" s="219" t="s">
        <v>677</v>
      </c>
      <c r="V128" s="218">
        <v>20000</v>
      </c>
      <c r="W128" s="219" t="s">
        <v>682</v>
      </c>
      <c r="X128" s="218">
        <v>194725</v>
      </c>
      <c r="Y128" s="219" t="s">
        <v>871</v>
      </c>
      <c r="Z128" s="128">
        <v>90000</v>
      </c>
      <c r="AA128" s="179" t="s">
        <v>871</v>
      </c>
      <c r="AB128" s="218">
        <v>160000</v>
      </c>
      <c r="AC128" s="219" t="s">
        <v>3919</v>
      </c>
      <c r="AH128" s="218">
        <f t="shared" si="11"/>
        <v>464725</v>
      </c>
      <c r="AK128" s="179">
        <f t="shared" si="16"/>
        <v>0</v>
      </c>
      <c r="AL128" s="128">
        <v>18799835198</v>
      </c>
      <c r="AM128" s="177"/>
      <c r="AO128" s="128">
        <f t="shared" si="13"/>
        <v>464725</v>
      </c>
      <c r="AP128" s="173">
        <f>0.4%+0.02%+0.08%</f>
        <v>0.005</v>
      </c>
      <c r="AQ128" s="275">
        <f t="shared" si="12"/>
        <v>0</v>
      </c>
      <c r="AR128" s="218"/>
      <c r="AS128" s="218"/>
      <c r="AT128" s="218"/>
      <c r="AU128" s="218"/>
      <c r="AV128" s="218"/>
      <c r="AW128" s="218"/>
      <c r="AX128" s="218"/>
      <c r="AY128" s="218"/>
      <c r="AZ128" s="218"/>
      <c r="BB128" s="218"/>
      <c r="BG128" s="128">
        <v>304725</v>
      </c>
      <c r="BJ128" s="128">
        <v>160000</v>
      </c>
      <c r="CI128" s="128" t="s">
        <v>376</v>
      </c>
      <c r="CJ128" s="128" t="s">
        <v>387</v>
      </c>
      <c r="CK128" s="128" t="s">
        <v>377</v>
      </c>
    </row>
    <row r="129" s="128" customFormat="1" customHeight="1" spans="1:89">
      <c r="A129" s="272">
        <v>93</v>
      </c>
      <c r="C129" s="285">
        <v>45301</v>
      </c>
      <c r="D129" s="128">
        <v>20240000217</v>
      </c>
      <c r="F129" s="1016" t="s">
        <v>3920</v>
      </c>
      <c r="G129" s="128" t="s">
        <v>3921</v>
      </c>
      <c r="H129" s="1016" t="s">
        <v>3922</v>
      </c>
      <c r="I129" s="128" t="s">
        <v>3923</v>
      </c>
      <c r="J129" s="128">
        <v>132.34</v>
      </c>
      <c r="K129" s="128">
        <v>132.34</v>
      </c>
      <c r="L129" s="128">
        <v>5354</v>
      </c>
      <c r="M129" s="274">
        <v>708548</v>
      </c>
      <c r="N129" s="218">
        <v>5254</v>
      </c>
      <c r="O129" s="168">
        <v>650044.04</v>
      </c>
      <c r="P129" s="1017" t="s">
        <v>3924</v>
      </c>
      <c r="Q129" s="211">
        <v>45827</v>
      </c>
      <c r="R129" s="218"/>
      <c r="S129" s="219"/>
      <c r="T129" s="1017" t="s">
        <v>3925</v>
      </c>
      <c r="U129" s="219" t="s">
        <v>383</v>
      </c>
      <c r="V129" s="218">
        <v>2000</v>
      </c>
      <c r="W129" s="219" t="s">
        <v>596</v>
      </c>
      <c r="X129" s="218">
        <v>18000</v>
      </c>
      <c r="Y129" s="219" t="s">
        <v>682</v>
      </c>
      <c r="Z129" s="128">
        <v>78548</v>
      </c>
      <c r="AA129" s="179" t="s">
        <v>682</v>
      </c>
      <c r="AB129" s="218">
        <v>50000</v>
      </c>
      <c r="AC129" s="128" t="s">
        <v>403</v>
      </c>
      <c r="AD129" s="218">
        <v>560000</v>
      </c>
      <c r="AE129" s="219" t="s">
        <v>3926</v>
      </c>
      <c r="AH129" s="218">
        <f t="shared" si="11"/>
        <v>708548</v>
      </c>
      <c r="AK129" s="179">
        <f t="shared" ref="AK129:AK135" si="17">M129-AH129</f>
        <v>0</v>
      </c>
      <c r="AL129" s="128">
        <v>18434064590</v>
      </c>
      <c r="AM129" s="177"/>
      <c r="AO129" s="128">
        <f t="shared" si="13"/>
        <v>708548</v>
      </c>
      <c r="AP129" s="173">
        <f>0.7%+0.08%</f>
        <v>0.0078</v>
      </c>
      <c r="AQ129" s="275">
        <f t="shared" si="12"/>
        <v>0</v>
      </c>
      <c r="AR129" s="218"/>
      <c r="AS129" s="218"/>
      <c r="AT129" s="218"/>
      <c r="AU129" s="218"/>
      <c r="AV129" s="218"/>
      <c r="AW129" s="218"/>
      <c r="AX129" s="218"/>
      <c r="AY129" s="218"/>
      <c r="AZ129" s="218"/>
      <c r="BB129" s="218"/>
      <c r="BE129" s="128">
        <v>148548</v>
      </c>
      <c r="BG129" s="128">
        <v>560000</v>
      </c>
      <c r="CI129" s="128" t="s">
        <v>376</v>
      </c>
      <c r="CJ129" s="128" t="s">
        <v>387</v>
      </c>
      <c r="CK129" s="128" t="s">
        <v>377</v>
      </c>
    </row>
    <row r="130" s="128" customFormat="1" customHeight="1" spans="1:89">
      <c r="A130" s="272">
        <v>94</v>
      </c>
      <c r="C130" s="184">
        <v>45378</v>
      </c>
      <c r="D130" s="128">
        <v>20240001668</v>
      </c>
      <c r="F130" s="128" t="s">
        <v>3927</v>
      </c>
      <c r="G130" s="128" t="s">
        <v>3355</v>
      </c>
      <c r="H130" s="1016" t="s">
        <v>3928</v>
      </c>
      <c r="I130" s="128" t="s">
        <v>3929</v>
      </c>
      <c r="J130" s="128">
        <v>115.78</v>
      </c>
      <c r="K130" s="128">
        <v>115.78</v>
      </c>
      <c r="L130" s="128">
        <v>5397</v>
      </c>
      <c r="M130" s="274">
        <v>624865</v>
      </c>
      <c r="N130" s="218">
        <v>5297</v>
      </c>
      <c r="O130" s="168">
        <v>573270.64</v>
      </c>
      <c r="P130" s="1017" t="s">
        <v>3930</v>
      </c>
      <c r="Q130" s="211">
        <v>45827</v>
      </c>
      <c r="R130" s="218"/>
      <c r="S130" s="219"/>
      <c r="T130" s="272"/>
      <c r="U130" s="219" t="s">
        <v>677</v>
      </c>
      <c r="V130" s="218">
        <v>20000</v>
      </c>
      <c r="W130" s="219" t="s">
        <v>3442</v>
      </c>
      <c r="X130" s="218">
        <f>95865+10000</f>
        <v>105865</v>
      </c>
      <c r="Y130" s="219" t="s">
        <v>642</v>
      </c>
      <c r="Z130" s="218">
        <v>499000</v>
      </c>
      <c r="AA130" s="219" t="s">
        <v>3806</v>
      </c>
      <c r="AB130" s="218"/>
      <c r="AH130" s="218">
        <f t="shared" si="11"/>
        <v>624865</v>
      </c>
      <c r="AK130" s="179">
        <f t="shared" si="17"/>
        <v>0</v>
      </c>
      <c r="AL130" s="128">
        <v>13638347657</v>
      </c>
      <c r="AM130" s="177"/>
      <c r="AO130" s="128">
        <f t="shared" si="13"/>
        <v>624865</v>
      </c>
      <c r="AP130" s="173">
        <f>0.4%+0.04%+0.12%</f>
        <v>0.0056</v>
      </c>
      <c r="AQ130" s="275">
        <f t="shared" si="12"/>
        <v>0</v>
      </c>
      <c r="AR130" s="218"/>
      <c r="AS130" s="218"/>
      <c r="AT130" s="218"/>
      <c r="AU130" s="218"/>
      <c r="AV130" s="218"/>
      <c r="AW130" s="218"/>
      <c r="AX130" s="218"/>
      <c r="AY130" s="218"/>
      <c r="AZ130" s="218"/>
      <c r="BB130" s="218"/>
      <c r="BG130" s="128">
        <v>125865</v>
      </c>
      <c r="BH130" s="128">
        <v>499000</v>
      </c>
      <c r="CI130" s="128" t="s">
        <v>376</v>
      </c>
      <c r="CJ130" s="128" t="s">
        <v>387</v>
      </c>
      <c r="CK130" s="128" t="s">
        <v>377</v>
      </c>
    </row>
    <row r="131" s="128" customFormat="1" customHeight="1" spans="1:89">
      <c r="A131" s="272">
        <v>95</v>
      </c>
      <c r="B131" s="128"/>
      <c r="C131" s="184">
        <v>45569</v>
      </c>
      <c r="D131" s="128">
        <v>20240005803</v>
      </c>
      <c r="F131" s="1016" t="s">
        <v>3931</v>
      </c>
      <c r="G131" s="128" t="s">
        <v>3932</v>
      </c>
      <c r="H131" s="1016" t="s">
        <v>3933</v>
      </c>
      <c r="I131" s="128" t="s">
        <v>3934</v>
      </c>
      <c r="J131" s="128">
        <v>86.14</v>
      </c>
      <c r="K131" s="128">
        <v>86.14</v>
      </c>
      <c r="L131" s="128">
        <v>5224.05</v>
      </c>
      <c r="M131" s="274">
        <v>450000</v>
      </c>
      <c r="N131" s="218">
        <v>5224.05</v>
      </c>
      <c r="O131" s="168">
        <v>412844.04</v>
      </c>
      <c r="P131" s="1017" t="s">
        <v>3935</v>
      </c>
      <c r="Q131" s="211">
        <v>45827</v>
      </c>
      <c r="R131" s="218"/>
      <c r="S131" s="219"/>
      <c r="T131" s="272"/>
      <c r="U131" s="219" t="s">
        <v>772</v>
      </c>
      <c r="V131" s="218">
        <v>10000</v>
      </c>
      <c r="W131" s="219">
        <v>45559</v>
      </c>
      <c r="X131" s="218">
        <v>220000</v>
      </c>
      <c r="Y131" s="219" t="s">
        <v>613</v>
      </c>
      <c r="Z131" s="218">
        <v>220000</v>
      </c>
      <c r="AA131" s="219" t="s">
        <v>507</v>
      </c>
      <c r="AB131" s="218"/>
      <c r="AH131" s="218">
        <f t="shared" si="11"/>
        <v>450000</v>
      </c>
      <c r="AK131" s="179">
        <f t="shared" si="17"/>
        <v>0</v>
      </c>
      <c r="AL131" s="128">
        <v>15739825490</v>
      </c>
      <c r="AM131" s="177" t="s">
        <v>3936</v>
      </c>
      <c r="AO131" s="128">
        <f t="shared" si="13"/>
        <v>450000</v>
      </c>
      <c r="AP131" s="173">
        <f>0.5%+0.04%+0.1%</f>
        <v>0.0064</v>
      </c>
      <c r="AQ131" s="275">
        <f t="shared" si="12"/>
        <v>0</v>
      </c>
      <c r="AR131" s="218"/>
      <c r="AS131" s="218"/>
      <c r="AT131" s="218"/>
      <c r="AU131" s="218"/>
      <c r="AV131" s="218"/>
      <c r="AW131" s="218"/>
      <c r="AX131" s="218"/>
      <c r="AY131" s="218"/>
      <c r="AZ131" s="218"/>
      <c r="BB131" s="218"/>
      <c r="BN131" s="128">
        <v>230000</v>
      </c>
      <c r="BO131" s="128">
        <v>220000</v>
      </c>
      <c r="CI131" s="128" t="s">
        <v>376</v>
      </c>
      <c r="CK131" s="128" t="s">
        <v>377</v>
      </c>
    </row>
    <row r="132" s="128" customFormat="1" customHeight="1" spans="1:89">
      <c r="A132" s="272">
        <v>96</v>
      </c>
      <c r="C132" s="184">
        <v>45315</v>
      </c>
      <c r="D132" s="128">
        <v>20240000554</v>
      </c>
      <c r="F132" s="1016" t="s">
        <v>3937</v>
      </c>
      <c r="G132" s="128" t="s">
        <v>3938</v>
      </c>
      <c r="H132" s="1016" t="s">
        <v>3939</v>
      </c>
      <c r="I132" s="128" t="s">
        <v>3940</v>
      </c>
      <c r="J132" s="128">
        <v>132.34</v>
      </c>
      <c r="K132" s="128">
        <v>132.34</v>
      </c>
      <c r="L132" s="128">
        <v>5387</v>
      </c>
      <c r="M132" s="274">
        <v>712916</v>
      </c>
      <c r="N132" s="218">
        <v>5287</v>
      </c>
      <c r="O132" s="168">
        <v>654051.38</v>
      </c>
      <c r="P132" s="1017" t="s">
        <v>3941</v>
      </c>
      <c r="Q132" s="211">
        <v>45827</v>
      </c>
      <c r="R132" s="218"/>
      <c r="S132" s="219"/>
      <c r="T132" s="272"/>
      <c r="U132" s="219" t="s">
        <v>400</v>
      </c>
      <c r="V132" s="218">
        <v>20000</v>
      </c>
      <c r="W132" s="219" t="s">
        <v>2732</v>
      </c>
      <c r="X132" s="218">
        <f>160000+2916</f>
        <v>162916</v>
      </c>
      <c r="Y132" s="211" t="s">
        <v>631</v>
      </c>
      <c r="Z132" s="218">
        <v>530000</v>
      </c>
      <c r="AA132" s="219" t="s">
        <v>3869</v>
      </c>
      <c r="AB132" s="218"/>
      <c r="AH132" s="218">
        <f t="shared" si="11"/>
        <v>712916</v>
      </c>
      <c r="AK132" s="179">
        <f t="shared" si="17"/>
        <v>0</v>
      </c>
      <c r="AL132" s="128">
        <v>19399210813</v>
      </c>
      <c r="AM132" s="177"/>
      <c r="AO132" s="128">
        <f t="shared" si="13"/>
        <v>712916</v>
      </c>
      <c r="AP132" s="173">
        <f>0.7%+0.03%+0.12%</f>
        <v>0.0085</v>
      </c>
      <c r="AQ132" s="275">
        <f t="shared" si="12"/>
        <v>0</v>
      </c>
      <c r="AR132" s="218"/>
      <c r="AS132" s="218"/>
      <c r="AT132" s="218"/>
      <c r="AU132" s="218"/>
      <c r="AV132" s="218"/>
      <c r="AW132" s="218"/>
      <c r="AX132" s="218"/>
      <c r="AY132" s="218"/>
      <c r="AZ132" s="218"/>
      <c r="BB132" s="218"/>
      <c r="BE132" s="128">
        <v>182916</v>
      </c>
      <c r="BG132" s="128">
        <v>530000</v>
      </c>
      <c r="CI132" s="128" t="s">
        <v>376</v>
      </c>
      <c r="CJ132" s="128" t="s">
        <v>387</v>
      </c>
      <c r="CK132" s="128" t="s">
        <v>377</v>
      </c>
    </row>
    <row r="133" s="128" customFormat="1" customHeight="1" spans="1:89">
      <c r="A133" s="272">
        <v>97</v>
      </c>
      <c r="C133" s="184">
        <v>45401</v>
      </c>
      <c r="D133" s="128">
        <v>20240002180</v>
      </c>
      <c r="F133" s="1016" t="s">
        <v>3942</v>
      </c>
      <c r="G133" s="177" t="s">
        <v>3943</v>
      </c>
      <c r="H133" s="1016" t="s">
        <v>3944</v>
      </c>
      <c r="I133" s="128" t="s">
        <v>3945</v>
      </c>
      <c r="J133" s="128">
        <v>115.78</v>
      </c>
      <c r="K133" s="128">
        <v>115.78</v>
      </c>
      <c r="L133" s="128">
        <v>5383.8</v>
      </c>
      <c r="M133" s="274">
        <v>623338</v>
      </c>
      <c r="N133" s="218">
        <v>5327</v>
      </c>
      <c r="O133" s="168">
        <v>571869.72</v>
      </c>
      <c r="P133" s="1017" t="s">
        <v>3946</v>
      </c>
      <c r="Q133" s="211">
        <v>45827</v>
      </c>
      <c r="R133" s="218"/>
      <c r="S133" s="219"/>
      <c r="T133" s="284" t="s">
        <v>3947</v>
      </c>
      <c r="U133" s="219" t="s">
        <v>3948</v>
      </c>
      <c r="V133" s="218">
        <f>2000-2000</f>
        <v>0</v>
      </c>
      <c r="W133" s="219" t="s">
        <v>3074</v>
      </c>
      <c r="X133" s="218">
        <v>20000</v>
      </c>
      <c r="Y133" s="219" t="s">
        <v>1872</v>
      </c>
      <c r="Z133" s="218">
        <f>115338+88000</f>
        <v>203338</v>
      </c>
      <c r="AA133" s="219" t="s">
        <v>385</v>
      </c>
      <c r="AB133" s="218">
        <v>400000</v>
      </c>
      <c r="AC133" s="219" t="s">
        <v>3555</v>
      </c>
      <c r="AH133" s="218">
        <f t="shared" si="11"/>
        <v>623338</v>
      </c>
      <c r="AK133" s="179">
        <f t="shared" si="17"/>
        <v>0</v>
      </c>
      <c r="AL133" s="128">
        <v>13565004173</v>
      </c>
      <c r="AM133" s="177"/>
      <c r="AO133" s="128">
        <f t="shared" si="13"/>
        <v>623338</v>
      </c>
      <c r="AP133" s="173">
        <f>0.7%+0.03%+0.12%</f>
        <v>0.0085</v>
      </c>
      <c r="AQ133" s="275">
        <f t="shared" si="12"/>
        <v>0</v>
      </c>
      <c r="AR133" s="218"/>
      <c r="AS133" s="218"/>
      <c r="AT133" s="218"/>
      <c r="AU133" s="218"/>
      <c r="AV133" s="218"/>
      <c r="AW133" s="218"/>
      <c r="AX133" s="218"/>
      <c r="AY133" s="218"/>
      <c r="AZ133" s="218"/>
      <c r="BB133" s="218"/>
      <c r="BK133" s="128">
        <v>623338</v>
      </c>
      <c r="CI133" s="128" t="s">
        <v>376</v>
      </c>
      <c r="CK133" s="128" t="s">
        <v>377</v>
      </c>
    </row>
    <row r="134" s="128" customFormat="1" customHeight="1" spans="1:89">
      <c r="A134" s="272">
        <v>98</v>
      </c>
      <c r="C134" s="184">
        <v>45465</v>
      </c>
      <c r="D134" s="128">
        <v>20240003574</v>
      </c>
      <c r="F134" s="1016" t="s">
        <v>3949</v>
      </c>
      <c r="G134" s="128" t="s">
        <v>3950</v>
      </c>
      <c r="H134" s="1016" t="s">
        <v>3951</v>
      </c>
      <c r="I134" s="128" t="s">
        <v>3952</v>
      </c>
      <c r="J134" s="128">
        <v>86.14</v>
      </c>
      <c r="K134" s="128">
        <v>86.14</v>
      </c>
      <c r="L134" s="128">
        <v>5130</v>
      </c>
      <c r="M134" s="274">
        <v>441899</v>
      </c>
      <c r="N134" s="218">
        <v>5130</v>
      </c>
      <c r="O134" s="168">
        <v>405411.93</v>
      </c>
      <c r="P134" s="1017" t="s">
        <v>3953</v>
      </c>
      <c r="Q134" s="211">
        <v>45827</v>
      </c>
      <c r="R134" s="218"/>
      <c r="S134" s="219"/>
      <c r="T134" s="272"/>
      <c r="U134" s="219" t="s">
        <v>393</v>
      </c>
      <c r="V134" s="218">
        <v>10000</v>
      </c>
      <c r="W134" s="219" t="s">
        <v>618</v>
      </c>
      <c r="X134" s="218">
        <v>1899</v>
      </c>
      <c r="Y134" s="211" t="s">
        <v>3954</v>
      </c>
      <c r="Z134" s="218">
        <v>430000</v>
      </c>
      <c r="AA134" s="219" t="s">
        <v>3955</v>
      </c>
      <c r="AB134" s="218"/>
      <c r="AH134" s="218">
        <f t="shared" si="11"/>
        <v>441899</v>
      </c>
      <c r="AK134" s="179">
        <f t="shared" si="17"/>
        <v>0</v>
      </c>
      <c r="AL134" s="128">
        <v>13999013808</v>
      </c>
      <c r="AM134" s="177" t="s">
        <v>3956</v>
      </c>
      <c r="AO134" s="128">
        <f t="shared" si="13"/>
        <v>441899</v>
      </c>
      <c r="AP134" s="173">
        <f>0.4%+0.02%+0.08%</f>
        <v>0.005</v>
      </c>
      <c r="AQ134" s="275">
        <f t="shared" si="12"/>
        <v>0</v>
      </c>
      <c r="AR134" s="218"/>
      <c r="AS134" s="218"/>
      <c r="AT134" s="218"/>
      <c r="AU134" s="218"/>
      <c r="AV134" s="218"/>
      <c r="AW134" s="218"/>
      <c r="AX134" s="218"/>
      <c r="AY134" s="218"/>
      <c r="AZ134" s="218"/>
      <c r="BB134" s="218"/>
      <c r="BK134" s="128">
        <v>441899</v>
      </c>
      <c r="CI134" s="128" t="s">
        <v>376</v>
      </c>
      <c r="CK134" s="128" t="s">
        <v>377</v>
      </c>
    </row>
    <row r="135" s="128" customFormat="1" customHeight="1" spans="1:89">
      <c r="A135" s="272">
        <v>99</v>
      </c>
      <c r="C135" s="184">
        <v>45355</v>
      </c>
      <c r="D135" s="128">
        <v>20240001144</v>
      </c>
      <c r="F135" s="1016" t="s">
        <v>3957</v>
      </c>
      <c r="G135" s="128" t="s">
        <v>3958</v>
      </c>
      <c r="H135" s="1016" t="s">
        <v>3959</v>
      </c>
      <c r="I135" s="128" t="s">
        <v>3960</v>
      </c>
      <c r="J135" s="128">
        <v>132.34</v>
      </c>
      <c r="K135" s="128">
        <v>132.34</v>
      </c>
      <c r="L135" s="128">
        <v>5387.64</v>
      </c>
      <c r="M135" s="274">
        <v>713000</v>
      </c>
      <c r="N135" s="218">
        <v>5324</v>
      </c>
      <c r="O135" s="168">
        <v>654128.44</v>
      </c>
      <c r="P135" s="1017" t="s">
        <v>3961</v>
      </c>
      <c r="Q135" s="211">
        <v>45827</v>
      </c>
      <c r="R135" s="218"/>
      <c r="S135" s="219"/>
      <c r="T135" s="272"/>
      <c r="U135" s="219" t="s">
        <v>2278</v>
      </c>
      <c r="V135" s="218">
        <v>20000</v>
      </c>
      <c r="W135" s="219" t="s">
        <v>3962</v>
      </c>
      <c r="X135" s="218">
        <v>123000</v>
      </c>
      <c r="Y135" s="219" t="s">
        <v>3904</v>
      </c>
      <c r="Z135" s="128">
        <v>570000</v>
      </c>
      <c r="AA135" s="179" t="s">
        <v>3905</v>
      </c>
      <c r="AB135" s="218"/>
      <c r="AH135" s="218">
        <f t="shared" ref="AH135:AH198" si="18">V135+X135+Z135+AB135+AD135+AF135</f>
        <v>713000</v>
      </c>
      <c r="AK135" s="179">
        <f t="shared" si="17"/>
        <v>0</v>
      </c>
      <c r="AL135" s="128">
        <v>15739382222</v>
      </c>
      <c r="AM135" s="177"/>
      <c r="AO135" s="128">
        <f t="shared" ref="AO135:AO198" si="19">SUM(AZ135:CF135)</f>
        <v>713000</v>
      </c>
      <c r="AP135" s="173">
        <f>0.7%+0.04%+0.14%</f>
        <v>0.0088</v>
      </c>
      <c r="AQ135" s="275">
        <f t="shared" ref="AQ135:AQ198" si="20">AR135+AS135+AT135+AU135+AV135+AW135+AX135+AY135</f>
        <v>0</v>
      </c>
      <c r="AR135" s="218"/>
      <c r="AS135" s="218"/>
      <c r="AT135" s="218"/>
      <c r="AU135" s="218"/>
      <c r="AV135" s="218"/>
      <c r="AW135" s="218"/>
      <c r="AX135" s="218"/>
      <c r="AY135" s="218"/>
      <c r="AZ135" s="218"/>
      <c r="BB135" s="218"/>
      <c r="BG135" s="128">
        <v>713000</v>
      </c>
      <c r="CI135" s="128" t="s">
        <v>376</v>
      </c>
      <c r="CJ135" s="128" t="s">
        <v>387</v>
      </c>
      <c r="CK135" s="128" t="s">
        <v>377</v>
      </c>
    </row>
    <row r="136" s="128" customFormat="1" customHeight="1" spans="1:89">
      <c r="A136" s="272">
        <v>100</v>
      </c>
      <c r="C136" s="184">
        <v>45300</v>
      </c>
      <c r="D136" s="128">
        <v>20240000214</v>
      </c>
      <c r="F136" s="1016" t="s">
        <v>3963</v>
      </c>
      <c r="G136" s="128" t="s">
        <v>3964</v>
      </c>
      <c r="H136" s="1016" t="s">
        <v>3965</v>
      </c>
      <c r="I136" s="128" t="s">
        <v>3966</v>
      </c>
      <c r="J136" s="128">
        <v>115.78</v>
      </c>
      <c r="K136" s="128">
        <v>115.78</v>
      </c>
      <c r="L136" s="128">
        <v>5397.23</v>
      </c>
      <c r="M136" s="274">
        <v>625000</v>
      </c>
      <c r="N136" s="218">
        <v>5342</v>
      </c>
      <c r="O136" s="168">
        <v>573394.5</v>
      </c>
      <c r="P136" s="1017" t="s">
        <v>3967</v>
      </c>
      <c r="Q136" s="211">
        <v>45827</v>
      </c>
      <c r="R136" s="218"/>
      <c r="S136" s="219"/>
      <c r="T136" s="1017" t="s">
        <v>3968</v>
      </c>
      <c r="U136" s="219" t="s">
        <v>383</v>
      </c>
      <c r="V136" s="218">
        <v>2000</v>
      </c>
      <c r="W136" s="219" t="s">
        <v>713</v>
      </c>
      <c r="X136" s="218">
        <v>18000</v>
      </c>
      <c r="Y136" s="211" t="s">
        <v>630</v>
      </c>
      <c r="Z136" s="218">
        <v>605000</v>
      </c>
      <c r="AA136" s="219" t="s">
        <v>740</v>
      </c>
      <c r="AB136" s="218"/>
      <c r="AH136" s="218">
        <f t="shared" si="18"/>
        <v>625000</v>
      </c>
      <c r="AK136" s="179">
        <f t="shared" ref="AK136:AK140" si="21">M136-AH136</f>
        <v>0</v>
      </c>
      <c r="AL136" s="128">
        <v>17699963907</v>
      </c>
      <c r="AM136" s="177"/>
      <c r="AO136" s="128">
        <f t="shared" si="19"/>
        <v>625000</v>
      </c>
      <c r="AP136" s="173">
        <f>0.7%+0.08%</f>
        <v>0.0078</v>
      </c>
      <c r="AQ136" s="275">
        <f t="shared" si="20"/>
        <v>0</v>
      </c>
      <c r="AR136" s="218"/>
      <c r="AS136" s="218"/>
      <c r="AT136" s="218"/>
      <c r="AU136" s="218"/>
      <c r="AV136" s="218"/>
      <c r="AW136" s="218"/>
      <c r="AX136" s="218"/>
      <c r="AY136" s="218"/>
      <c r="AZ136" s="218"/>
      <c r="BB136" s="218"/>
      <c r="BE136" s="128">
        <v>625000</v>
      </c>
      <c r="CI136" s="128" t="s">
        <v>376</v>
      </c>
      <c r="CJ136" s="128" t="s">
        <v>387</v>
      </c>
      <c r="CK136" s="128" t="s">
        <v>377</v>
      </c>
    </row>
    <row r="137" s="128" customFormat="1" customHeight="1" spans="1:89">
      <c r="A137" s="272">
        <v>101</v>
      </c>
      <c r="C137" s="184">
        <v>45309</v>
      </c>
      <c r="D137" s="128">
        <v>20240000427</v>
      </c>
      <c r="F137" s="1016" t="s">
        <v>3969</v>
      </c>
      <c r="G137" s="128" t="s">
        <v>3970</v>
      </c>
      <c r="H137" s="1016" t="s">
        <v>3971</v>
      </c>
      <c r="I137" s="128" t="s">
        <v>3972</v>
      </c>
      <c r="J137" s="128">
        <v>86.14</v>
      </c>
      <c r="K137" s="128">
        <v>86.14</v>
      </c>
      <c r="L137" s="128">
        <f>M137/K137</f>
        <v>5481.99442767588</v>
      </c>
      <c r="M137" s="274">
        <v>472219</v>
      </c>
      <c r="N137" s="218">
        <v>5372</v>
      </c>
      <c r="O137" s="168">
        <v>433228.44</v>
      </c>
      <c r="P137" s="1017" t="s">
        <v>3973</v>
      </c>
      <c r="Q137" s="211">
        <v>45827</v>
      </c>
      <c r="R137" s="218"/>
      <c r="S137" s="219"/>
      <c r="T137" s="1017" t="s">
        <v>3974</v>
      </c>
      <c r="U137" s="219" t="s">
        <v>486</v>
      </c>
      <c r="V137" s="218">
        <v>2000</v>
      </c>
      <c r="W137" s="219" t="s">
        <v>422</v>
      </c>
      <c r="X137" s="218">
        <v>18000</v>
      </c>
      <c r="Y137" s="219" t="s">
        <v>682</v>
      </c>
      <c r="Z137" s="128">
        <f>55219+20000</f>
        <v>75219</v>
      </c>
      <c r="AA137" s="179" t="s">
        <v>1657</v>
      </c>
      <c r="AB137" s="218">
        <v>377000</v>
      </c>
      <c r="AC137" s="219" t="s">
        <v>3926</v>
      </c>
      <c r="AH137" s="218">
        <f t="shared" si="18"/>
        <v>472219</v>
      </c>
      <c r="AK137" s="179">
        <f t="shared" si="21"/>
        <v>0</v>
      </c>
      <c r="AL137" s="128">
        <v>15739844740</v>
      </c>
      <c r="AM137" s="177"/>
      <c r="AO137" s="128">
        <f t="shared" si="19"/>
        <v>472219</v>
      </c>
      <c r="AP137" s="173">
        <f>0.4%+0.03%+0.08%</f>
        <v>0.0051</v>
      </c>
      <c r="AQ137" s="275">
        <f t="shared" si="20"/>
        <v>0</v>
      </c>
      <c r="AR137" s="218"/>
      <c r="AS137" s="218"/>
      <c r="AT137" s="218"/>
      <c r="AU137" s="218"/>
      <c r="AV137" s="218"/>
      <c r="AW137" s="218"/>
      <c r="AX137" s="218"/>
      <c r="AY137" s="218"/>
      <c r="AZ137" s="218"/>
      <c r="BB137" s="218"/>
      <c r="BE137" s="128">
        <v>95219</v>
      </c>
      <c r="BG137" s="128">
        <v>377000</v>
      </c>
      <c r="CI137" s="128" t="s">
        <v>376</v>
      </c>
      <c r="CJ137" s="128" t="s">
        <v>387</v>
      </c>
      <c r="CK137" s="128" t="s">
        <v>377</v>
      </c>
    </row>
    <row r="138" s="128" customFormat="1" customHeight="1" spans="1:89">
      <c r="A138" s="272">
        <v>102</v>
      </c>
      <c r="C138" s="184">
        <v>45354</v>
      </c>
      <c r="D138" s="128">
        <v>20240001117</v>
      </c>
      <c r="F138" s="1016" t="s">
        <v>3975</v>
      </c>
      <c r="G138" s="177" t="s">
        <v>3976</v>
      </c>
      <c r="H138" s="1016" t="s">
        <v>3977</v>
      </c>
      <c r="I138" s="128" t="s">
        <v>3978</v>
      </c>
      <c r="J138" s="128">
        <v>132.34</v>
      </c>
      <c r="K138" s="128">
        <v>132.34</v>
      </c>
      <c r="L138" s="128">
        <v>5440.5</v>
      </c>
      <c r="M138" s="274">
        <v>720000</v>
      </c>
      <c r="N138" s="218">
        <v>5352</v>
      </c>
      <c r="O138" s="168">
        <v>660550.46</v>
      </c>
      <c r="P138" s="1017" t="s">
        <v>3979</v>
      </c>
      <c r="Q138" s="211">
        <v>45827</v>
      </c>
      <c r="R138" s="218"/>
      <c r="S138" s="219"/>
      <c r="T138" s="177" t="s">
        <v>3980</v>
      </c>
      <c r="U138" s="219" t="s">
        <v>383</v>
      </c>
      <c r="V138" s="218">
        <f>2000-2000</f>
        <v>0</v>
      </c>
      <c r="W138" s="219" t="s">
        <v>3981</v>
      </c>
      <c r="X138" s="218">
        <v>20000</v>
      </c>
      <c r="Y138" s="219" t="s">
        <v>3982</v>
      </c>
      <c r="Z138" s="218">
        <v>94000</v>
      </c>
      <c r="AA138" s="219" t="s">
        <v>481</v>
      </c>
      <c r="AB138" s="218">
        <v>30000</v>
      </c>
      <c r="AC138" s="128" t="s">
        <v>3983</v>
      </c>
      <c r="AD138" s="218">
        <v>576000</v>
      </c>
      <c r="AE138" s="219" t="s">
        <v>412</v>
      </c>
      <c r="AH138" s="218">
        <f t="shared" si="18"/>
        <v>720000</v>
      </c>
      <c r="AK138" s="179">
        <f t="shared" si="21"/>
        <v>0</v>
      </c>
      <c r="AL138" s="128">
        <v>17386245330</v>
      </c>
      <c r="AM138" s="177"/>
      <c r="AO138" s="128">
        <f t="shared" si="19"/>
        <v>720000</v>
      </c>
      <c r="AP138" s="173">
        <f>0.5%+0.14%</f>
        <v>0.0064</v>
      </c>
      <c r="AQ138" s="275">
        <f t="shared" si="20"/>
        <v>0</v>
      </c>
      <c r="AR138" s="218"/>
      <c r="AS138" s="218"/>
      <c r="AT138" s="218"/>
      <c r="AU138" s="218"/>
      <c r="AV138" s="218"/>
      <c r="AW138" s="218"/>
      <c r="AX138" s="218"/>
      <c r="AY138" s="218"/>
      <c r="AZ138" s="218"/>
      <c r="BB138" s="218"/>
      <c r="BG138" s="128">
        <v>144000</v>
      </c>
      <c r="BH138" s="128">
        <v>576000</v>
      </c>
      <c r="CI138" s="128" t="s">
        <v>376</v>
      </c>
      <c r="CJ138" s="128" t="s">
        <v>387</v>
      </c>
      <c r="CK138" s="128" t="s">
        <v>377</v>
      </c>
    </row>
    <row r="139" s="128" customFormat="1" customHeight="1" spans="1:89">
      <c r="A139" s="272">
        <v>103</v>
      </c>
      <c r="C139" s="184">
        <v>45329</v>
      </c>
      <c r="D139" s="128">
        <v>20240000806</v>
      </c>
      <c r="F139" s="1016" t="s">
        <v>3984</v>
      </c>
      <c r="G139" s="128" t="s">
        <v>3985</v>
      </c>
      <c r="H139" s="1016" t="s">
        <v>3986</v>
      </c>
      <c r="I139" s="128" t="s">
        <v>3987</v>
      </c>
      <c r="J139" s="128">
        <v>115.78</v>
      </c>
      <c r="K139" s="128">
        <v>115.78</v>
      </c>
      <c r="L139" s="128">
        <v>5441.35</v>
      </c>
      <c r="M139" s="274">
        <v>630000</v>
      </c>
      <c r="N139" s="218">
        <v>5362</v>
      </c>
      <c r="O139" s="168">
        <v>577981.65</v>
      </c>
      <c r="P139" s="1017" t="s">
        <v>3988</v>
      </c>
      <c r="Q139" s="211">
        <v>45827</v>
      </c>
      <c r="R139" s="218"/>
      <c r="S139" s="219"/>
      <c r="T139" s="272"/>
      <c r="U139" s="219" t="s">
        <v>410</v>
      </c>
      <c r="V139" s="218">
        <v>10000</v>
      </c>
      <c r="W139" s="219" t="s">
        <v>3989</v>
      </c>
      <c r="X139" s="218">
        <v>200000</v>
      </c>
      <c r="Y139" s="211" t="s">
        <v>802</v>
      </c>
      <c r="Z139" s="128">
        <v>270000</v>
      </c>
      <c r="AA139" s="179" t="s">
        <v>440</v>
      </c>
      <c r="AB139" s="218">
        <v>150000</v>
      </c>
      <c r="AC139" s="128" t="s">
        <v>3905</v>
      </c>
      <c r="AH139" s="218">
        <f t="shared" si="18"/>
        <v>630000</v>
      </c>
      <c r="AK139" s="179">
        <f t="shared" si="21"/>
        <v>0</v>
      </c>
      <c r="AL139" s="128">
        <v>13999615045</v>
      </c>
      <c r="AM139" s="177"/>
      <c r="AO139" s="128">
        <f t="shared" si="19"/>
        <v>630000</v>
      </c>
      <c r="AP139" s="173">
        <f>0.7%+0.05%+0.14%</f>
        <v>0.0089</v>
      </c>
      <c r="AQ139" s="275">
        <f t="shared" si="20"/>
        <v>0</v>
      </c>
      <c r="AR139" s="218"/>
      <c r="AS139" s="218"/>
      <c r="AT139" s="218"/>
      <c r="AU139" s="218"/>
      <c r="AV139" s="218"/>
      <c r="AW139" s="218"/>
      <c r="AX139" s="218"/>
      <c r="AY139" s="218"/>
      <c r="AZ139" s="218"/>
      <c r="BB139" s="218"/>
      <c r="BG139" s="128">
        <v>630000</v>
      </c>
      <c r="CI139" s="128" t="s">
        <v>376</v>
      </c>
      <c r="CJ139" s="128" t="s">
        <v>387</v>
      </c>
      <c r="CK139" s="128" t="s">
        <v>377</v>
      </c>
    </row>
    <row r="140" s="128" customFormat="1" customHeight="1" spans="1:89">
      <c r="A140" s="272">
        <v>104</v>
      </c>
      <c r="B140" s="128"/>
      <c r="C140" s="184">
        <v>45717</v>
      </c>
      <c r="D140" s="128">
        <v>20250000967</v>
      </c>
      <c r="F140" s="128" t="s">
        <v>3990</v>
      </c>
      <c r="G140" s="128" t="s">
        <v>3991</v>
      </c>
      <c r="I140" s="128" t="s">
        <v>3992</v>
      </c>
      <c r="J140" s="128">
        <v>86.14</v>
      </c>
      <c r="K140" s="128">
        <v>86.14</v>
      </c>
      <c r="L140" s="128">
        <v>5200</v>
      </c>
      <c r="M140" s="274">
        <v>447928</v>
      </c>
      <c r="N140" s="218">
        <v>5200</v>
      </c>
      <c r="O140" s="168">
        <v>410943.12</v>
      </c>
      <c r="P140" s="1017" t="s">
        <v>3993</v>
      </c>
      <c r="Q140" s="211">
        <v>45828</v>
      </c>
      <c r="R140" s="218"/>
      <c r="S140" s="219"/>
      <c r="T140" s="272"/>
      <c r="U140" s="219"/>
      <c r="V140" s="218">
        <v>928</v>
      </c>
      <c r="W140" s="219" t="s">
        <v>3994</v>
      </c>
      <c r="X140" s="218">
        <v>277000</v>
      </c>
      <c r="Y140" s="219" t="s">
        <v>3995</v>
      </c>
      <c r="Z140" s="218">
        <v>170000</v>
      </c>
      <c r="AA140" s="219" t="s">
        <v>2807</v>
      </c>
      <c r="AB140" s="218"/>
      <c r="AH140" s="218">
        <f t="shared" si="18"/>
        <v>447928</v>
      </c>
      <c r="AK140" s="179">
        <f t="shared" si="21"/>
        <v>0</v>
      </c>
      <c r="AL140" s="128">
        <v>13899059883</v>
      </c>
      <c r="AM140" s="177" t="s">
        <v>3450</v>
      </c>
      <c r="AO140" s="128">
        <f t="shared" si="19"/>
        <v>447928</v>
      </c>
      <c r="AP140" s="173">
        <f>0.7%+0.04%+0.12%+0.03%</f>
        <v>0.0089</v>
      </c>
      <c r="AQ140" s="275">
        <f t="shared" si="20"/>
        <v>0</v>
      </c>
      <c r="AR140" s="218"/>
      <c r="AS140" s="218"/>
      <c r="AT140" s="218"/>
      <c r="AU140" s="218"/>
      <c r="AV140" s="218"/>
      <c r="AW140" s="218"/>
      <c r="AX140" s="218"/>
      <c r="AY140" s="218"/>
      <c r="AZ140" s="218"/>
      <c r="BB140" s="218"/>
      <c r="BS140" s="128">
        <v>277928</v>
      </c>
      <c r="BT140" s="128">
        <v>170000</v>
      </c>
      <c r="CI140" s="128" t="s">
        <v>376</v>
      </c>
      <c r="CK140" s="128" t="s">
        <v>377</v>
      </c>
    </row>
    <row r="141" s="128" customFormat="1" customHeight="1" spans="1:89">
      <c r="A141" s="272">
        <v>105</v>
      </c>
      <c r="C141" s="184">
        <v>45383</v>
      </c>
      <c r="D141" s="128">
        <v>20240001786</v>
      </c>
      <c r="F141" s="1019" t="s">
        <v>3996</v>
      </c>
      <c r="G141" s="177" t="s">
        <v>3997</v>
      </c>
      <c r="H141" s="177"/>
      <c r="I141" s="128" t="s">
        <v>3998</v>
      </c>
      <c r="J141" s="128">
        <v>132.34</v>
      </c>
      <c r="K141" s="128">
        <v>132.34</v>
      </c>
      <c r="L141" s="128">
        <v>5440.53</v>
      </c>
      <c r="M141" s="274">
        <v>720000</v>
      </c>
      <c r="N141" s="218">
        <v>5377</v>
      </c>
      <c r="O141" s="168">
        <v>660550.46</v>
      </c>
      <c r="P141" s="1017" t="s">
        <v>3999</v>
      </c>
      <c r="Q141" s="211">
        <v>45828</v>
      </c>
      <c r="R141" s="218"/>
      <c r="S141" s="219"/>
      <c r="T141" s="272"/>
      <c r="U141" s="219" t="s">
        <v>662</v>
      </c>
      <c r="V141" s="218">
        <v>20000</v>
      </c>
      <c r="W141" s="211" t="s">
        <v>4000</v>
      </c>
      <c r="X141" s="218">
        <f>100000</f>
        <v>100000</v>
      </c>
      <c r="Y141" s="219" t="s">
        <v>670</v>
      </c>
      <c r="Z141" s="128">
        <v>24000</v>
      </c>
      <c r="AA141" s="179" t="s">
        <v>670</v>
      </c>
      <c r="AB141" s="218">
        <v>576000</v>
      </c>
      <c r="AC141" s="128" t="s">
        <v>597</v>
      </c>
      <c r="AH141" s="218">
        <f t="shared" si="18"/>
        <v>720000</v>
      </c>
      <c r="AK141" s="179">
        <f t="shared" ref="AK141:AK146" si="22">M141-AH141</f>
        <v>0</v>
      </c>
      <c r="AM141" s="177"/>
      <c r="AO141" s="128">
        <f t="shared" si="19"/>
        <v>720000</v>
      </c>
      <c r="AP141" s="173">
        <f>0.5%+0.14%</f>
        <v>0.0064</v>
      </c>
      <c r="AQ141" s="275">
        <f t="shared" si="20"/>
        <v>0</v>
      </c>
      <c r="AR141" s="218"/>
      <c r="AS141" s="218"/>
      <c r="AT141" s="218"/>
      <c r="AU141" s="218"/>
      <c r="AV141" s="218"/>
      <c r="AW141" s="218"/>
      <c r="AX141" s="218"/>
      <c r="AY141" s="218"/>
      <c r="AZ141" s="218"/>
      <c r="BB141" s="218"/>
      <c r="BH141" s="128">
        <v>720000</v>
      </c>
      <c r="CI141" s="128" t="s">
        <v>376</v>
      </c>
      <c r="CJ141" s="128" t="s">
        <v>387</v>
      </c>
      <c r="CK141" s="128" t="s">
        <v>377</v>
      </c>
    </row>
    <row r="142" s="128" customFormat="1" customHeight="1" spans="1:89">
      <c r="A142" s="272">
        <v>106</v>
      </c>
      <c r="C142" s="171">
        <v>45349</v>
      </c>
      <c r="D142" s="286" t="s">
        <v>4001</v>
      </c>
      <c r="F142" s="287" t="s">
        <v>4002</v>
      </c>
      <c r="G142" s="272" t="s">
        <v>4003</v>
      </c>
      <c r="H142" s="1017" t="s">
        <v>4004</v>
      </c>
      <c r="I142" s="128" t="s">
        <v>4005</v>
      </c>
      <c r="J142" s="128">
        <v>115.78</v>
      </c>
      <c r="K142" s="128">
        <v>115.78</v>
      </c>
      <c r="L142" s="279">
        <f>M142/K142</f>
        <v>5449.99136292969</v>
      </c>
      <c r="M142" s="274">
        <v>631000</v>
      </c>
      <c r="N142" s="218">
        <v>5372</v>
      </c>
      <c r="O142" s="168">
        <v>578899.08</v>
      </c>
      <c r="P142" s="1017" t="s">
        <v>4006</v>
      </c>
      <c r="Q142" s="211">
        <v>45828</v>
      </c>
      <c r="R142" s="218"/>
      <c r="S142" s="219"/>
      <c r="T142" s="219"/>
      <c r="U142" s="219" t="s">
        <v>393</v>
      </c>
      <c r="V142" s="218">
        <v>20000</v>
      </c>
      <c r="W142" s="219" t="s">
        <v>3962</v>
      </c>
      <c r="X142" s="218">
        <v>181000</v>
      </c>
      <c r="Y142" s="211" t="s">
        <v>4000</v>
      </c>
      <c r="Z142" s="218">
        <v>100000</v>
      </c>
      <c r="AA142" s="219" t="s">
        <v>479</v>
      </c>
      <c r="AB142" s="218">
        <v>330000</v>
      </c>
      <c r="AC142" s="128" t="s">
        <v>643</v>
      </c>
      <c r="AH142" s="218">
        <f t="shared" si="18"/>
        <v>631000</v>
      </c>
      <c r="AK142" s="179">
        <f t="shared" si="22"/>
        <v>0</v>
      </c>
      <c r="AL142" s="287" t="s">
        <v>4007</v>
      </c>
      <c r="AM142" s="177"/>
      <c r="AO142" s="128">
        <f t="shared" si="19"/>
        <v>631000</v>
      </c>
      <c r="AP142" s="173">
        <f>0.6%+0.05%+0.14%</f>
        <v>0.0079</v>
      </c>
      <c r="AQ142" s="275">
        <f t="shared" si="20"/>
        <v>0</v>
      </c>
      <c r="AR142" s="218"/>
      <c r="AS142" s="218"/>
      <c r="AT142" s="218"/>
      <c r="AU142" s="218"/>
      <c r="AV142" s="218"/>
      <c r="AW142" s="218"/>
      <c r="AX142" s="218"/>
      <c r="AY142" s="218"/>
      <c r="AZ142" s="218"/>
      <c r="BB142" s="218"/>
      <c r="BG142" s="128">
        <v>631000</v>
      </c>
      <c r="CI142" s="128" t="s">
        <v>376</v>
      </c>
      <c r="CJ142" s="128" t="s">
        <v>387</v>
      </c>
      <c r="CK142" s="128" t="s">
        <v>377</v>
      </c>
    </row>
    <row r="143" s="101" customFormat="1" customHeight="1" spans="1:89">
      <c r="A143" s="199">
        <v>107</v>
      </c>
      <c r="C143" s="200"/>
      <c r="E143" s="101" t="s">
        <v>4008</v>
      </c>
      <c r="I143" s="101" t="s">
        <v>4009</v>
      </c>
      <c r="J143" s="101">
        <v>86.14</v>
      </c>
      <c r="M143" s="235"/>
      <c r="N143" s="202">
        <v>5402</v>
      </c>
      <c r="O143" s="158"/>
      <c r="P143" s="199"/>
      <c r="Q143" s="205"/>
      <c r="R143" s="202"/>
      <c r="S143" s="204"/>
      <c r="T143" s="199"/>
      <c r="U143" s="219"/>
      <c r="V143" s="202"/>
      <c r="X143" s="202"/>
      <c r="Y143" s="205"/>
      <c r="AA143" s="201"/>
      <c r="AB143" s="202"/>
      <c r="AH143" s="202">
        <f t="shared" si="18"/>
        <v>0</v>
      </c>
      <c r="AK143" s="201"/>
      <c r="AM143" s="200"/>
      <c r="AO143" s="101">
        <f t="shared" si="19"/>
        <v>0</v>
      </c>
      <c r="AP143" s="207"/>
      <c r="AQ143" s="268">
        <f t="shared" si="20"/>
        <v>0</v>
      </c>
      <c r="AR143" s="202"/>
      <c r="AS143" s="202"/>
      <c r="AT143" s="202"/>
      <c r="AU143" s="202"/>
      <c r="AV143" s="202"/>
      <c r="AW143" s="202"/>
      <c r="AX143" s="202"/>
      <c r="AY143" s="202"/>
      <c r="AZ143" s="202"/>
      <c r="BB143" s="202"/>
    </row>
    <row r="144" s="128" customFormat="1" customHeight="1" spans="1:89">
      <c r="A144" s="272">
        <v>108</v>
      </c>
      <c r="B144" s="128"/>
      <c r="C144" s="184">
        <v>45715</v>
      </c>
      <c r="D144" s="128">
        <v>20250000503</v>
      </c>
      <c r="F144" s="1016" t="s">
        <v>4010</v>
      </c>
      <c r="G144" s="177" t="s">
        <v>4011</v>
      </c>
      <c r="H144" s="1016" t="s">
        <v>4012</v>
      </c>
      <c r="I144" s="128" t="s">
        <v>4013</v>
      </c>
      <c r="J144" s="128">
        <v>132.34</v>
      </c>
      <c r="K144" s="128">
        <v>132.34</v>
      </c>
      <c r="L144" s="128">
        <v>5286.66</v>
      </c>
      <c r="M144" s="274">
        <v>699636</v>
      </c>
      <c r="N144" s="218">
        <v>5397</v>
      </c>
      <c r="O144" s="168">
        <v>641867.89</v>
      </c>
      <c r="P144" s="1017" t="s">
        <v>4014</v>
      </c>
      <c r="Q144" s="211">
        <v>45828</v>
      </c>
      <c r="R144" s="218"/>
      <c r="S144" s="219"/>
      <c r="T144" s="272"/>
      <c r="U144" s="219" t="s">
        <v>393</v>
      </c>
      <c r="V144" s="218">
        <v>20000</v>
      </c>
      <c r="W144" s="219" t="s">
        <v>2800</v>
      </c>
      <c r="X144" s="218">
        <v>120636</v>
      </c>
      <c r="Y144" s="219" t="s">
        <v>623</v>
      </c>
      <c r="Z144" s="218">
        <v>559000</v>
      </c>
      <c r="AA144" s="219" t="s">
        <v>4015</v>
      </c>
      <c r="AB144" s="218"/>
      <c r="AH144" s="218">
        <f t="shared" si="18"/>
        <v>699636</v>
      </c>
      <c r="AK144" s="179">
        <f>M144-AH144</f>
        <v>0</v>
      </c>
      <c r="AL144" s="128">
        <v>18709965374</v>
      </c>
      <c r="AM144" s="177" t="s">
        <v>3402</v>
      </c>
      <c r="AO144" s="128">
        <f t="shared" si="19"/>
        <v>699636</v>
      </c>
      <c r="AP144" s="173">
        <f>0.6%+0.04%+0.12%+0.03%</f>
        <v>0.0079</v>
      </c>
      <c r="AQ144" s="275">
        <f t="shared" si="20"/>
        <v>0</v>
      </c>
      <c r="AR144" s="218"/>
      <c r="AS144" s="218"/>
      <c r="AT144" s="218"/>
      <c r="AU144" s="218"/>
      <c r="AV144" s="218"/>
      <c r="AW144" s="218"/>
      <c r="AX144" s="218"/>
      <c r="AY144" s="218"/>
      <c r="AZ144" s="218"/>
      <c r="BB144" s="218"/>
      <c r="BR144" s="128">
        <v>140636</v>
      </c>
      <c r="BS144" s="128">
        <v>559000</v>
      </c>
      <c r="CI144" s="128" t="s">
        <v>376</v>
      </c>
      <c r="CK144" s="128" t="s">
        <v>377</v>
      </c>
    </row>
    <row r="145" s="128" customFormat="1" customHeight="1" spans="1:89">
      <c r="A145" s="272">
        <v>109</v>
      </c>
      <c r="C145" s="184">
        <v>45379</v>
      </c>
      <c r="D145" s="128">
        <v>20240001718</v>
      </c>
      <c r="F145" s="1016" t="s">
        <v>4016</v>
      </c>
      <c r="G145" s="128" t="s">
        <v>4017</v>
      </c>
      <c r="I145" s="128" t="s">
        <v>4018</v>
      </c>
      <c r="J145" s="128">
        <v>115.78</v>
      </c>
      <c r="K145" s="128">
        <v>115.78</v>
      </c>
      <c r="L145" s="128">
        <v>5354.98</v>
      </c>
      <c r="M145" s="274">
        <v>620000</v>
      </c>
      <c r="N145" s="218">
        <v>5354.98</v>
      </c>
      <c r="O145" s="168">
        <v>568807.34</v>
      </c>
      <c r="P145" s="1017" t="s">
        <v>4019</v>
      </c>
      <c r="Q145" s="211">
        <v>45828</v>
      </c>
      <c r="R145" s="218"/>
      <c r="S145" s="219"/>
      <c r="T145" s="272"/>
      <c r="U145" s="219" t="s">
        <v>393</v>
      </c>
      <c r="V145" s="218">
        <v>124000</v>
      </c>
      <c r="W145" s="219" t="s">
        <v>3785</v>
      </c>
      <c r="X145" s="218">
        <v>496000</v>
      </c>
      <c r="Y145" s="219" t="s">
        <v>597</v>
      </c>
      <c r="AA145" s="179"/>
      <c r="AB145" s="218"/>
      <c r="AH145" s="218">
        <f t="shared" si="18"/>
        <v>620000</v>
      </c>
      <c r="AK145" s="179">
        <f t="shared" si="22"/>
        <v>0</v>
      </c>
      <c r="AL145" s="128">
        <v>18690237014</v>
      </c>
      <c r="AM145" s="177"/>
      <c r="AO145" s="128">
        <f t="shared" si="19"/>
        <v>620000</v>
      </c>
      <c r="AP145" s="173">
        <f>0.7%+0.05%+0.12%</f>
        <v>0.0087</v>
      </c>
      <c r="AQ145" s="275">
        <f t="shared" si="20"/>
        <v>0</v>
      </c>
      <c r="AR145" s="218"/>
      <c r="AS145" s="218"/>
      <c r="AT145" s="218"/>
      <c r="AU145" s="218"/>
      <c r="AV145" s="218"/>
      <c r="AW145" s="218"/>
      <c r="AX145" s="218"/>
      <c r="AY145" s="218"/>
      <c r="AZ145" s="218"/>
      <c r="BB145" s="218"/>
      <c r="BG145" s="128">
        <v>124000</v>
      </c>
      <c r="BH145" s="128">
        <v>496000</v>
      </c>
      <c r="CI145" s="128" t="s">
        <v>376</v>
      </c>
      <c r="CJ145" s="128" t="s">
        <v>387</v>
      </c>
      <c r="CK145" s="128" t="s">
        <v>377</v>
      </c>
    </row>
    <row r="146" s="128" customFormat="1" customHeight="1" spans="1:89">
      <c r="A146" s="272">
        <v>110</v>
      </c>
      <c r="C146" s="184">
        <v>46006</v>
      </c>
      <c r="D146" s="128">
        <v>20250006426</v>
      </c>
      <c r="E146" s="128" t="s">
        <v>4020</v>
      </c>
      <c r="F146" s="128" t="s">
        <v>4021</v>
      </c>
      <c r="G146" s="128" t="s">
        <v>4022</v>
      </c>
      <c r="I146" s="128" t="s">
        <v>4023</v>
      </c>
      <c r="J146" s="128">
        <v>86.14</v>
      </c>
      <c r="K146" s="128">
        <v>86.14</v>
      </c>
      <c r="L146" s="128">
        <v>5757.44</v>
      </c>
      <c r="M146" s="274">
        <v>495946</v>
      </c>
      <c r="N146" s="218">
        <v>5412</v>
      </c>
      <c r="O146" s="168">
        <v>454996.33</v>
      </c>
      <c r="P146" s="1017" t="s">
        <v>4024</v>
      </c>
      <c r="Q146" s="211">
        <v>46006</v>
      </c>
      <c r="R146" s="218"/>
      <c r="S146" s="219"/>
      <c r="T146" s="272"/>
      <c r="U146" s="219"/>
      <c r="V146" s="218">
        <v>495946</v>
      </c>
      <c r="W146" s="219" t="s">
        <v>707</v>
      </c>
      <c r="X146" s="218"/>
      <c r="Y146" s="211"/>
      <c r="AA146" s="179"/>
      <c r="AB146" s="218"/>
      <c r="AH146" s="218">
        <f t="shared" si="18"/>
        <v>495946</v>
      </c>
      <c r="AK146" s="179">
        <f t="shared" si="22"/>
        <v>0</v>
      </c>
      <c r="AM146" s="177"/>
      <c r="AO146" s="128">
        <f t="shared" si="19"/>
        <v>0</v>
      </c>
      <c r="AP146" s="173"/>
      <c r="AQ146" s="275">
        <f t="shared" si="20"/>
        <v>0</v>
      </c>
      <c r="AR146" s="218"/>
      <c r="AS146" s="218"/>
      <c r="AT146" s="218"/>
      <c r="AU146" s="218"/>
      <c r="AV146" s="218"/>
      <c r="AW146" s="218"/>
      <c r="AX146" s="218"/>
      <c r="AY146" s="218"/>
      <c r="AZ146" s="218"/>
      <c r="BB146" s="218"/>
      <c r="CI146" s="128" t="s">
        <v>3376</v>
      </c>
      <c r="CK146" s="128" t="s">
        <v>377</v>
      </c>
    </row>
    <row r="147" s="128" customFormat="1" ht="48" customHeight="1" spans="1:89">
      <c r="A147" s="272">
        <v>111</v>
      </c>
      <c r="C147" s="184">
        <v>45455</v>
      </c>
      <c r="D147" s="128">
        <v>20240003437</v>
      </c>
      <c r="F147" s="1016" t="s">
        <v>4025</v>
      </c>
      <c r="G147" s="177" t="s">
        <v>4026</v>
      </c>
      <c r="H147" s="1016" t="s">
        <v>4027</v>
      </c>
      <c r="I147" s="128" t="s">
        <v>4028</v>
      </c>
      <c r="J147" s="128">
        <v>132.34</v>
      </c>
      <c r="K147" s="128">
        <v>132.34</v>
      </c>
      <c r="L147" s="128">
        <v>5138.28</v>
      </c>
      <c r="M147" s="274">
        <v>680000</v>
      </c>
      <c r="N147" s="218">
        <v>5138.28</v>
      </c>
      <c r="O147" s="168">
        <v>623853.21</v>
      </c>
      <c r="P147" s="1017" t="s">
        <v>4029</v>
      </c>
      <c r="Q147" s="211">
        <v>45828</v>
      </c>
      <c r="R147" s="218"/>
      <c r="S147" s="219"/>
      <c r="T147" s="272"/>
      <c r="U147" s="219" t="s">
        <v>410</v>
      </c>
      <c r="V147" s="218">
        <f>7000-7000</f>
        <v>0</v>
      </c>
      <c r="W147" s="219" t="s">
        <v>1071</v>
      </c>
      <c r="X147" s="218">
        <v>20000</v>
      </c>
      <c r="Y147" s="219" t="s">
        <v>3792</v>
      </c>
      <c r="Z147" s="128">
        <v>280000</v>
      </c>
      <c r="AA147" s="179" t="s">
        <v>3793</v>
      </c>
      <c r="AB147" s="218">
        <v>380000</v>
      </c>
      <c r="AC147" s="128" t="s">
        <v>1085</v>
      </c>
      <c r="AH147" s="218">
        <f t="shared" si="18"/>
        <v>680000</v>
      </c>
      <c r="AK147" s="179">
        <f t="shared" ref="AK147:AK150" si="23">M147-AH147</f>
        <v>0</v>
      </c>
      <c r="AL147" s="128">
        <v>13993510131</v>
      </c>
      <c r="AM147" s="177" t="s">
        <v>3956</v>
      </c>
      <c r="AO147" s="128">
        <f t="shared" si="19"/>
        <v>680000</v>
      </c>
      <c r="AP147" s="173">
        <f>0.7%+0.08%</f>
        <v>0.0078</v>
      </c>
      <c r="AQ147" s="275">
        <f t="shared" si="20"/>
        <v>0</v>
      </c>
      <c r="AR147" s="218"/>
      <c r="AS147" s="218"/>
      <c r="AT147" s="218"/>
      <c r="AU147" s="218"/>
      <c r="AV147" s="218"/>
      <c r="AW147" s="218"/>
      <c r="AX147" s="218"/>
      <c r="AY147" s="218"/>
      <c r="AZ147" s="218"/>
      <c r="BB147" s="218"/>
      <c r="BJ147" s="128">
        <v>680000</v>
      </c>
      <c r="CI147" s="128" t="s">
        <v>376</v>
      </c>
      <c r="CJ147" s="128" t="s">
        <v>387</v>
      </c>
      <c r="CK147" s="128" t="s">
        <v>377</v>
      </c>
    </row>
    <row r="148" s="128" customFormat="1" customHeight="1" spans="1:89">
      <c r="A148" s="272">
        <v>112</v>
      </c>
      <c r="C148" s="184">
        <v>45381</v>
      </c>
      <c r="D148" s="128">
        <v>20240001761</v>
      </c>
      <c r="F148" s="1016" t="s">
        <v>4030</v>
      </c>
      <c r="G148" s="128" t="s">
        <v>4031</v>
      </c>
      <c r="H148" s="1016" t="s">
        <v>4032</v>
      </c>
      <c r="I148" s="128" t="s">
        <v>4033</v>
      </c>
      <c r="J148" s="128">
        <v>115.78</v>
      </c>
      <c r="K148" s="128">
        <v>115.78</v>
      </c>
      <c r="L148" s="128">
        <v>5009.5</v>
      </c>
      <c r="M148" s="274">
        <v>580000</v>
      </c>
      <c r="N148" s="218">
        <v>4978</v>
      </c>
      <c r="O148" s="168">
        <v>532110.09</v>
      </c>
      <c r="P148" s="1017" t="s">
        <v>4034</v>
      </c>
      <c r="Q148" s="211">
        <v>45828</v>
      </c>
      <c r="R148" s="218"/>
      <c r="S148" s="219"/>
      <c r="T148" s="272"/>
      <c r="U148" s="219" t="s">
        <v>772</v>
      </c>
      <c r="V148" s="218">
        <v>20000</v>
      </c>
      <c r="W148" s="219" t="s">
        <v>3983</v>
      </c>
      <c r="X148" s="218">
        <v>380000</v>
      </c>
      <c r="Y148" s="211" t="s">
        <v>411</v>
      </c>
      <c r="Z148" s="218">
        <v>150000</v>
      </c>
      <c r="AA148" s="219" t="s">
        <v>384</v>
      </c>
      <c r="AB148" s="218">
        <v>30000</v>
      </c>
      <c r="AC148" s="128" t="s">
        <v>3806</v>
      </c>
      <c r="AH148" s="218">
        <f t="shared" si="18"/>
        <v>580000</v>
      </c>
      <c r="AK148" s="179">
        <f t="shared" si="23"/>
        <v>0</v>
      </c>
      <c r="AL148" s="128">
        <v>18609965679</v>
      </c>
      <c r="AM148" s="177"/>
      <c r="AO148" s="128">
        <f t="shared" si="19"/>
        <v>580000</v>
      </c>
      <c r="AP148" s="173">
        <f>0.4%+0.03%+0.12%</f>
        <v>0.0055</v>
      </c>
      <c r="AQ148" s="275">
        <f t="shared" si="20"/>
        <v>0</v>
      </c>
      <c r="AR148" s="218"/>
      <c r="AS148" s="218"/>
      <c r="AT148" s="218"/>
      <c r="AU148" s="218"/>
      <c r="AV148" s="218"/>
      <c r="AW148" s="218"/>
      <c r="AX148" s="218"/>
      <c r="AY148" s="218"/>
      <c r="AZ148" s="218"/>
      <c r="BB148" s="218"/>
      <c r="BH148" s="128">
        <v>580000</v>
      </c>
      <c r="CI148" s="128" t="s">
        <v>376</v>
      </c>
      <c r="CJ148" s="128" t="s">
        <v>387</v>
      </c>
      <c r="CK148" s="128" t="s">
        <v>377</v>
      </c>
    </row>
    <row r="149" s="101" customFormat="1" customHeight="1" spans="1:89">
      <c r="A149" s="199">
        <v>113</v>
      </c>
      <c r="C149" s="200"/>
      <c r="E149" s="101" t="s">
        <v>4035</v>
      </c>
      <c r="I149" s="101" t="s">
        <v>4036</v>
      </c>
      <c r="J149" s="101">
        <v>86.14</v>
      </c>
      <c r="M149" s="235"/>
      <c r="N149" s="202">
        <v>5008</v>
      </c>
      <c r="O149" s="158"/>
      <c r="P149" s="199"/>
      <c r="Q149" s="205"/>
      <c r="R149" s="202"/>
      <c r="S149" s="204"/>
      <c r="T149" s="199"/>
      <c r="U149" s="219"/>
      <c r="V149" s="202"/>
      <c r="X149" s="202"/>
      <c r="Y149" s="205"/>
      <c r="AA149" s="201"/>
      <c r="AB149" s="202"/>
      <c r="AH149" s="202">
        <f t="shared" si="18"/>
        <v>0</v>
      </c>
      <c r="AK149" s="201"/>
      <c r="AM149" s="200"/>
      <c r="AO149" s="101">
        <f t="shared" si="19"/>
        <v>0</v>
      </c>
      <c r="AP149" s="207"/>
      <c r="AQ149" s="268">
        <f t="shared" si="20"/>
        <v>0</v>
      </c>
      <c r="AR149" s="202"/>
      <c r="AS149" s="202"/>
      <c r="AT149" s="202"/>
      <c r="AU149" s="202"/>
      <c r="AV149" s="202"/>
      <c r="AW149" s="202"/>
      <c r="AX149" s="202"/>
      <c r="AY149" s="202"/>
      <c r="AZ149" s="202"/>
      <c r="BB149" s="202"/>
    </row>
    <row r="150" s="128" customFormat="1" customHeight="1" spans="1:89">
      <c r="A150" s="272">
        <v>114</v>
      </c>
      <c r="C150" s="184">
        <v>45414</v>
      </c>
      <c r="D150" s="128">
        <v>20240002494</v>
      </c>
      <c r="F150" s="1016" t="s">
        <v>4037</v>
      </c>
      <c r="G150" s="128" t="s">
        <v>4038</v>
      </c>
      <c r="H150" s="1016" t="s">
        <v>4039</v>
      </c>
      <c r="I150" s="128" t="s">
        <v>4040</v>
      </c>
      <c r="J150" s="128">
        <v>132.34</v>
      </c>
      <c r="K150" s="128">
        <v>132.34</v>
      </c>
      <c r="L150" s="128">
        <v>5088</v>
      </c>
      <c r="M150" s="274">
        <v>673348</v>
      </c>
      <c r="N150" s="218">
        <v>4988</v>
      </c>
      <c r="O150" s="168">
        <v>617750.46</v>
      </c>
      <c r="P150" s="1017" t="s">
        <v>4041</v>
      </c>
      <c r="Q150" s="211">
        <v>45828</v>
      </c>
      <c r="R150" s="218"/>
      <c r="S150" s="219"/>
      <c r="T150" s="272"/>
      <c r="U150" s="219" t="s">
        <v>677</v>
      </c>
      <c r="V150" s="218">
        <v>20000</v>
      </c>
      <c r="W150" s="219" t="s">
        <v>597</v>
      </c>
      <c r="X150" s="218">
        <v>115348</v>
      </c>
      <c r="Y150" s="219" t="s">
        <v>3862</v>
      </c>
      <c r="Z150" s="218">
        <v>538000</v>
      </c>
      <c r="AA150" s="219" t="s">
        <v>4042</v>
      </c>
      <c r="AB150" s="218"/>
      <c r="AH150" s="218">
        <f t="shared" si="18"/>
        <v>673348</v>
      </c>
      <c r="AK150" s="179">
        <f t="shared" si="23"/>
        <v>0</v>
      </c>
      <c r="AL150" s="128">
        <v>19609961341</v>
      </c>
      <c r="AM150" s="177"/>
      <c r="AO150" s="128">
        <f t="shared" si="19"/>
        <v>673348</v>
      </c>
      <c r="AP150" s="173">
        <f>0.7%+0.05%+0.12%</f>
        <v>0.0087</v>
      </c>
      <c r="AQ150" s="275">
        <f t="shared" si="20"/>
        <v>0</v>
      </c>
      <c r="AR150" s="218"/>
      <c r="AS150" s="218"/>
      <c r="AT150" s="218"/>
      <c r="AU150" s="218"/>
      <c r="AV150" s="218"/>
      <c r="AW150" s="218"/>
      <c r="AX150" s="218"/>
      <c r="AY150" s="218"/>
      <c r="AZ150" s="218"/>
      <c r="BB150" s="218"/>
      <c r="BI150" s="128">
        <v>135348</v>
      </c>
      <c r="BJ150" s="128">
        <v>538000</v>
      </c>
      <c r="CI150" s="128" t="s">
        <v>376</v>
      </c>
      <c r="CJ150" s="128" t="s">
        <v>387</v>
      </c>
      <c r="CK150" s="128" t="s">
        <v>377</v>
      </c>
    </row>
    <row r="151" s="101" customFormat="1" customHeight="1" spans="1:89">
      <c r="A151" s="199"/>
      <c r="C151" s="200"/>
      <c r="H151" s="288" t="s">
        <v>4043</v>
      </c>
      <c r="I151" s="101" t="s">
        <v>4044</v>
      </c>
      <c r="J151" s="288">
        <v>157.69</v>
      </c>
      <c r="M151" s="235"/>
      <c r="N151" s="202"/>
      <c r="O151" s="158"/>
      <c r="P151" s="199"/>
      <c r="Q151" s="205"/>
      <c r="R151" s="202"/>
      <c r="S151" s="204"/>
      <c r="T151" s="199"/>
      <c r="U151" s="219"/>
      <c r="V151" s="202"/>
      <c r="X151" s="202"/>
      <c r="Y151" s="205"/>
      <c r="AA151" s="201"/>
      <c r="AB151" s="202"/>
      <c r="AH151" s="202">
        <f t="shared" si="18"/>
        <v>0</v>
      </c>
      <c r="AK151" s="201"/>
      <c r="AM151" s="200"/>
      <c r="AO151" s="101">
        <f t="shared" si="19"/>
        <v>0</v>
      </c>
      <c r="AP151" s="207"/>
      <c r="AQ151" s="268">
        <f t="shared" si="20"/>
        <v>0</v>
      </c>
      <c r="AR151" s="202"/>
      <c r="AS151" s="202"/>
      <c r="AT151" s="202"/>
      <c r="AU151" s="202"/>
      <c r="AV151" s="202"/>
      <c r="AW151" s="202"/>
      <c r="AX151" s="202"/>
      <c r="AY151" s="202"/>
      <c r="AZ151" s="202"/>
      <c r="BB151" s="202"/>
    </row>
    <row r="152" s="101" customFormat="1" customHeight="1" spans="1:89">
      <c r="A152" s="199"/>
      <c r="C152" s="200"/>
      <c r="H152" s="288"/>
      <c r="I152" s="101" t="s">
        <v>4045</v>
      </c>
      <c r="J152" s="288"/>
      <c r="M152" s="235"/>
      <c r="N152" s="202"/>
      <c r="O152" s="158"/>
      <c r="P152" s="199"/>
      <c r="Q152" s="205"/>
      <c r="R152" s="202"/>
      <c r="S152" s="204"/>
      <c r="T152" s="199"/>
      <c r="U152" s="219"/>
      <c r="V152" s="202"/>
      <c r="X152" s="202"/>
      <c r="Y152" s="205"/>
      <c r="AA152" s="201"/>
      <c r="AB152" s="202"/>
      <c r="AH152" s="202">
        <f t="shared" si="18"/>
        <v>0</v>
      </c>
      <c r="AK152" s="201"/>
      <c r="AM152" s="200"/>
      <c r="AO152" s="101">
        <f t="shared" si="19"/>
        <v>0</v>
      </c>
      <c r="AP152" s="207"/>
      <c r="AQ152" s="268">
        <f t="shared" si="20"/>
        <v>0</v>
      </c>
      <c r="AR152" s="202"/>
      <c r="AS152" s="202"/>
      <c r="AT152" s="202"/>
      <c r="AU152" s="202"/>
      <c r="AV152" s="202"/>
      <c r="AW152" s="202"/>
      <c r="AX152" s="202"/>
      <c r="AY152" s="202"/>
      <c r="AZ152" s="202"/>
      <c r="BB152" s="202"/>
    </row>
    <row r="153" s="128" customFormat="1" customHeight="1" spans="1:89">
      <c r="A153" s="272">
        <v>115</v>
      </c>
      <c r="C153" s="184">
        <v>45707</v>
      </c>
      <c r="D153" s="128">
        <v>20250000724</v>
      </c>
      <c r="F153" s="1016" t="s">
        <v>4046</v>
      </c>
      <c r="G153" s="128" t="s">
        <v>3340</v>
      </c>
      <c r="H153" s="1016" t="s">
        <v>4047</v>
      </c>
      <c r="I153" s="128" t="s">
        <v>4048</v>
      </c>
      <c r="J153" s="128">
        <v>146.29</v>
      </c>
      <c r="K153" s="128">
        <v>146.29</v>
      </c>
      <c r="L153" s="128">
        <v>5058.445</v>
      </c>
      <c r="M153" s="274">
        <v>740000</v>
      </c>
      <c r="N153" s="218">
        <v>5018</v>
      </c>
      <c r="O153" s="168">
        <v>678899.08</v>
      </c>
      <c r="P153" s="1017" t="s">
        <v>4049</v>
      </c>
      <c r="Q153" s="211">
        <v>45831</v>
      </c>
      <c r="R153" s="218"/>
      <c r="S153" s="219"/>
      <c r="T153" s="272"/>
      <c r="U153" s="219" t="s">
        <v>393</v>
      </c>
      <c r="V153" s="218">
        <v>10000</v>
      </c>
      <c r="W153" s="219" t="s">
        <v>4050</v>
      </c>
      <c r="X153" s="218">
        <v>60000</v>
      </c>
      <c r="Y153" s="219" t="s">
        <v>4051</v>
      </c>
      <c r="Z153" s="218">
        <v>30000</v>
      </c>
      <c r="AA153" s="219" t="s">
        <v>3449</v>
      </c>
      <c r="AB153" s="218">
        <v>50000</v>
      </c>
      <c r="AC153" s="219" t="s">
        <v>3444</v>
      </c>
      <c r="AD153" s="218">
        <v>590000</v>
      </c>
      <c r="AE153" s="219" t="s">
        <v>3205</v>
      </c>
      <c r="AH153" s="218">
        <f t="shared" si="18"/>
        <v>740000</v>
      </c>
      <c r="AK153" s="179">
        <f>M153-AH153</f>
        <v>0</v>
      </c>
      <c r="AL153" s="128">
        <v>13779339862</v>
      </c>
      <c r="AM153" s="177"/>
      <c r="AO153" s="128">
        <f t="shared" si="19"/>
        <v>740000</v>
      </c>
      <c r="AP153" s="173">
        <f>0.7%+0.05%+0.12%</f>
        <v>0.0087</v>
      </c>
      <c r="AQ153" s="275">
        <f t="shared" si="20"/>
        <v>0</v>
      </c>
      <c r="AR153" s="218"/>
      <c r="AS153" s="218"/>
      <c r="AT153" s="218"/>
      <c r="AU153" s="218"/>
      <c r="AV153" s="218"/>
      <c r="AW153" s="218"/>
      <c r="AX153" s="218"/>
      <c r="AY153" s="218"/>
      <c r="AZ153" s="218"/>
      <c r="BB153" s="218"/>
      <c r="BR153" s="128">
        <v>150000</v>
      </c>
      <c r="BS153" s="128">
        <v>590000</v>
      </c>
      <c r="CI153" s="128" t="s">
        <v>376</v>
      </c>
      <c r="CK153" s="128" t="s">
        <v>377</v>
      </c>
    </row>
    <row r="154" s="128" customFormat="1" customHeight="1" spans="1:89">
      <c r="A154" s="272">
        <v>116</v>
      </c>
      <c r="C154" s="184">
        <v>45532</v>
      </c>
      <c r="D154" s="128">
        <v>20240004924</v>
      </c>
      <c r="F154" s="1016" t="s">
        <v>4052</v>
      </c>
      <c r="G154" s="128" t="s">
        <v>4053</v>
      </c>
      <c r="H154" s="1016" t="s">
        <v>4054</v>
      </c>
      <c r="I154" s="128" t="s">
        <v>4055</v>
      </c>
      <c r="J154" s="128">
        <v>153.46</v>
      </c>
      <c r="K154" s="128">
        <v>153.46</v>
      </c>
      <c r="L154" s="128">
        <v>4887.27</v>
      </c>
      <c r="M154" s="274">
        <v>750000</v>
      </c>
      <c r="N154" s="218">
        <v>4887.27</v>
      </c>
      <c r="O154" s="168">
        <v>688073.39</v>
      </c>
      <c r="P154" s="1017" t="s">
        <v>4056</v>
      </c>
      <c r="Q154" s="211">
        <v>45831</v>
      </c>
      <c r="R154" s="218"/>
      <c r="S154" s="219"/>
      <c r="T154" s="272"/>
      <c r="U154" s="219" t="s">
        <v>486</v>
      </c>
      <c r="V154" s="218">
        <v>20000</v>
      </c>
      <c r="W154" s="219" t="s">
        <v>835</v>
      </c>
      <c r="X154" s="218">
        <v>130000</v>
      </c>
      <c r="Y154" s="211" t="s">
        <v>1236</v>
      </c>
      <c r="Z154" s="218">
        <v>600000</v>
      </c>
      <c r="AA154" s="219" t="s">
        <v>4057</v>
      </c>
      <c r="AB154" s="218"/>
      <c r="AH154" s="218">
        <f t="shared" si="18"/>
        <v>750000</v>
      </c>
      <c r="AK154" s="179">
        <f>M154-AH154</f>
        <v>0</v>
      </c>
      <c r="AL154" s="128">
        <v>19109969555</v>
      </c>
      <c r="AM154" s="177"/>
      <c r="AO154" s="128">
        <f t="shared" si="19"/>
        <v>750000</v>
      </c>
      <c r="AP154" s="173">
        <f>0.4%+0.02%+0.08%</f>
        <v>0.005</v>
      </c>
      <c r="AQ154" s="275">
        <f t="shared" si="20"/>
        <v>0</v>
      </c>
      <c r="AR154" s="218"/>
      <c r="AS154" s="218"/>
      <c r="AT154" s="218"/>
      <c r="AU154" s="218"/>
      <c r="AV154" s="218"/>
      <c r="AW154" s="218"/>
      <c r="AX154" s="218"/>
      <c r="AY154" s="218"/>
      <c r="AZ154" s="218"/>
      <c r="BB154" s="218"/>
      <c r="BL154" s="128">
        <v>150000</v>
      </c>
      <c r="BN154" s="128">
        <v>600000</v>
      </c>
      <c r="CI154" s="128" t="s">
        <v>376</v>
      </c>
      <c r="CK154" s="128" t="s">
        <v>377</v>
      </c>
    </row>
    <row r="155" s="128" customFormat="1" customHeight="1" spans="1:89">
      <c r="A155" s="272">
        <v>117</v>
      </c>
      <c r="C155" s="184">
        <v>45499</v>
      </c>
      <c r="D155" s="128">
        <v>20240004266</v>
      </c>
      <c r="E155" s="128" t="s">
        <v>4058</v>
      </c>
      <c r="F155" s="1016" t="s">
        <v>4059</v>
      </c>
      <c r="G155" s="128" t="s">
        <v>4060</v>
      </c>
      <c r="I155" s="128" t="s">
        <v>4061</v>
      </c>
      <c r="J155" s="128">
        <v>86.14</v>
      </c>
      <c r="K155" s="128">
        <v>86.14</v>
      </c>
      <c r="L155" s="128">
        <f>M155/K155</f>
        <v>4643.60343626654</v>
      </c>
      <c r="M155" s="274">
        <v>400000</v>
      </c>
      <c r="N155" s="218">
        <v>4965</v>
      </c>
      <c r="O155" s="168">
        <v>366972.48</v>
      </c>
      <c r="P155" s="1017" t="s">
        <v>4062</v>
      </c>
      <c r="Q155" s="211">
        <v>45831</v>
      </c>
      <c r="R155" s="218"/>
      <c r="S155" s="219"/>
      <c r="T155" s="272"/>
      <c r="U155" s="219"/>
      <c r="V155" s="218">
        <v>200000</v>
      </c>
      <c r="W155" s="219" t="s">
        <v>599</v>
      </c>
      <c r="X155" s="218">
        <v>37000</v>
      </c>
      <c r="Y155" s="211" t="s">
        <v>786</v>
      </c>
      <c r="Z155" s="218">
        <v>63000</v>
      </c>
      <c r="AA155" s="219" t="s">
        <v>4063</v>
      </c>
      <c r="AB155" s="218">
        <v>100000</v>
      </c>
      <c r="AC155" s="219" t="s">
        <v>3591</v>
      </c>
      <c r="AH155" s="218">
        <f t="shared" si="18"/>
        <v>400000</v>
      </c>
      <c r="AK155" s="179">
        <f>M155-AH155</f>
        <v>0</v>
      </c>
      <c r="AM155" s="177"/>
      <c r="AO155" s="128">
        <f t="shared" si="19"/>
        <v>0</v>
      </c>
      <c r="AP155" s="173"/>
      <c r="AQ155" s="275">
        <f t="shared" si="20"/>
        <v>0</v>
      </c>
      <c r="AR155" s="218"/>
      <c r="AS155" s="218"/>
      <c r="AT155" s="218"/>
      <c r="AU155" s="218"/>
      <c r="AV155" s="218"/>
      <c r="AW155" s="218"/>
      <c r="AX155" s="218"/>
      <c r="AY155" s="218"/>
      <c r="AZ155" s="218"/>
      <c r="BB155" s="218"/>
      <c r="CI155" s="128" t="s">
        <v>376</v>
      </c>
      <c r="CK155" s="128" t="s">
        <v>377</v>
      </c>
    </row>
    <row r="156" s="128" customFormat="1" customHeight="1" spans="1:89">
      <c r="A156" s="272">
        <v>118</v>
      </c>
      <c r="C156" s="184">
        <v>45419</v>
      </c>
      <c r="D156" s="128">
        <v>20240002660</v>
      </c>
      <c r="F156" s="1016" t="s">
        <v>4064</v>
      </c>
      <c r="G156" s="128" t="s">
        <v>4065</v>
      </c>
      <c r="H156" s="1016" t="s">
        <v>4066</v>
      </c>
      <c r="I156" s="128" t="s">
        <v>4067</v>
      </c>
      <c r="J156" s="128">
        <v>146.29</v>
      </c>
      <c r="K156" s="128">
        <v>146.29</v>
      </c>
      <c r="L156" s="128">
        <v>5092</v>
      </c>
      <c r="M156" s="274">
        <v>745000</v>
      </c>
      <c r="N156" s="218">
        <v>4955</v>
      </c>
      <c r="O156" s="168"/>
      <c r="P156" s="272"/>
      <c r="Q156" s="211"/>
      <c r="R156" s="218"/>
      <c r="S156" s="219"/>
      <c r="T156" s="272"/>
      <c r="U156" s="219" t="s">
        <v>677</v>
      </c>
      <c r="V156" s="218">
        <v>20000</v>
      </c>
      <c r="W156" s="219" t="s">
        <v>4068</v>
      </c>
      <c r="X156" s="218">
        <v>325000</v>
      </c>
      <c r="Y156" s="219" t="s">
        <v>4069</v>
      </c>
      <c r="Z156" s="218">
        <v>400000</v>
      </c>
      <c r="AA156" s="219" t="s">
        <v>2231</v>
      </c>
      <c r="AB156" s="218"/>
      <c r="AH156" s="218">
        <f t="shared" si="18"/>
        <v>745000</v>
      </c>
      <c r="AK156" s="179">
        <f>M156-AH156</f>
        <v>0</v>
      </c>
      <c r="AL156" s="128">
        <v>13699332517</v>
      </c>
      <c r="AM156" s="177"/>
      <c r="AO156" s="128">
        <f t="shared" si="19"/>
        <v>745000</v>
      </c>
      <c r="AP156" s="173">
        <f>0.7%+0.05%+0.12%</f>
        <v>0.0087</v>
      </c>
      <c r="AQ156" s="275">
        <f t="shared" si="20"/>
        <v>0</v>
      </c>
      <c r="AR156" s="218"/>
      <c r="AS156" s="218"/>
      <c r="AT156" s="218"/>
      <c r="AU156" s="218"/>
      <c r="AV156" s="218"/>
      <c r="AW156" s="218"/>
      <c r="AX156" s="218"/>
      <c r="AY156" s="218"/>
      <c r="AZ156" s="218"/>
      <c r="BB156" s="218"/>
      <c r="BI156" s="128">
        <v>345000</v>
      </c>
      <c r="BU156" s="128">
        <v>400000</v>
      </c>
      <c r="CI156" s="128" t="s">
        <v>376</v>
      </c>
      <c r="CJ156" s="128" t="s">
        <v>387</v>
      </c>
      <c r="CK156" s="128" t="s">
        <v>377</v>
      </c>
    </row>
    <row r="157" s="128" customFormat="1" customHeight="1" spans="1:89">
      <c r="A157" s="272">
        <v>119</v>
      </c>
      <c r="C157" s="184">
        <v>45356</v>
      </c>
      <c r="D157" s="128">
        <v>20240001155</v>
      </c>
      <c r="F157" s="128" t="s">
        <v>4070</v>
      </c>
      <c r="G157" s="128" t="s">
        <v>4071</v>
      </c>
      <c r="H157" s="1016" t="s">
        <v>4072</v>
      </c>
      <c r="I157" s="128" t="s">
        <v>4073</v>
      </c>
      <c r="J157" s="128">
        <v>153.46</v>
      </c>
      <c r="K157" s="128">
        <v>153.46</v>
      </c>
      <c r="L157" s="128">
        <v>5017.59</v>
      </c>
      <c r="M157" s="274">
        <v>770000</v>
      </c>
      <c r="N157" s="218">
        <v>4988</v>
      </c>
      <c r="O157" s="168">
        <v>706422.02</v>
      </c>
      <c r="P157" s="1017" t="s">
        <v>4074</v>
      </c>
      <c r="Q157" s="211">
        <v>45980</v>
      </c>
      <c r="R157" s="218"/>
      <c r="S157" s="219"/>
      <c r="T157" s="272"/>
      <c r="U157" s="219" t="s">
        <v>410</v>
      </c>
      <c r="V157" s="218">
        <v>10000</v>
      </c>
      <c r="W157" s="219" t="s">
        <v>479</v>
      </c>
      <c r="X157" s="218">
        <v>200000</v>
      </c>
      <c r="Y157" s="211" t="s">
        <v>479</v>
      </c>
      <c r="Z157" s="128">
        <v>560000</v>
      </c>
      <c r="AA157" s="179" t="s">
        <v>3819</v>
      </c>
      <c r="AB157" s="218"/>
      <c r="AH157" s="218">
        <f t="shared" si="18"/>
        <v>770000</v>
      </c>
      <c r="AK157" s="179">
        <f>M157-AH157</f>
        <v>0</v>
      </c>
      <c r="AL157" s="128">
        <v>15739828181</v>
      </c>
      <c r="AM157" s="177"/>
      <c r="AO157" s="128">
        <f t="shared" si="19"/>
        <v>770000</v>
      </c>
      <c r="AP157" s="173">
        <f>0.7%+0.05%+0.14%</f>
        <v>0.0089</v>
      </c>
      <c r="AQ157" s="275">
        <f t="shared" si="20"/>
        <v>0</v>
      </c>
      <c r="AR157" s="218"/>
      <c r="AS157" s="218"/>
      <c r="AT157" s="218"/>
      <c r="AU157" s="218"/>
      <c r="AV157" s="218"/>
      <c r="AW157" s="218"/>
      <c r="AX157" s="218"/>
      <c r="AY157" s="218"/>
      <c r="AZ157" s="218"/>
      <c r="BB157" s="218"/>
      <c r="BG157" s="128">
        <v>770000</v>
      </c>
      <c r="CI157" s="128" t="s">
        <v>376</v>
      </c>
      <c r="CJ157" s="128" t="s">
        <v>387</v>
      </c>
      <c r="CK157" s="128" t="s">
        <v>377</v>
      </c>
    </row>
    <row r="158" s="128" customFormat="1" ht="36" customHeight="1" spans="1:89">
      <c r="A158" s="272">
        <v>120</v>
      </c>
      <c r="C158" s="184">
        <v>45465</v>
      </c>
      <c r="D158" s="128">
        <v>20240003572</v>
      </c>
      <c r="F158" s="1016" t="s">
        <v>4075</v>
      </c>
      <c r="G158" s="177" t="s">
        <v>4076</v>
      </c>
      <c r="H158" s="1016" t="s">
        <v>4077</v>
      </c>
      <c r="I158" s="128" t="s">
        <v>4078</v>
      </c>
      <c r="J158" s="128">
        <v>86.14</v>
      </c>
      <c r="K158" s="128">
        <v>86.14</v>
      </c>
      <c r="L158" s="179">
        <f>M158/K158</f>
        <v>4875.78360807987</v>
      </c>
      <c r="M158" s="274">
        <v>420000</v>
      </c>
      <c r="N158" s="218">
        <v>4875.78</v>
      </c>
      <c r="O158" s="168">
        <v>385321.1</v>
      </c>
      <c r="P158" s="1017" t="s">
        <v>4079</v>
      </c>
      <c r="Q158" s="211">
        <v>45831</v>
      </c>
      <c r="R158" s="218"/>
      <c r="S158" s="219"/>
      <c r="T158" s="272"/>
      <c r="U158" s="219" t="s">
        <v>524</v>
      </c>
      <c r="V158" s="218">
        <v>20000</v>
      </c>
      <c r="W158" s="219" t="s">
        <v>3443</v>
      </c>
      <c r="X158" s="218">
        <v>64000</v>
      </c>
      <c r="Y158" s="211" t="s">
        <v>4051</v>
      </c>
      <c r="Z158" s="218">
        <v>336000</v>
      </c>
      <c r="AA158" s="219" t="s">
        <v>4063</v>
      </c>
      <c r="AB158" s="218"/>
      <c r="AH158" s="218">
        <f t="shared" si="18"/>
        <v>420000</v>
      </c>
      <c r="AK158" s="179">
        <f t="shared" ref="AK158:AK162" si="24">M158-AH158</f>
        <v>0</v>
      </c>
      <c r="AL158" s="128">
        <v>15999164022</v>
      </c>
      <c r="AM158" s="177" t="s">
        <v>3956</v>
      </c>
      <c r="AO158" s="128">
        <f t="shared" si="19"/>
        <v>420000</v>
      </c>
      <c r="AP158" s="173">
        <f>0.4%+0.02%+0.08%</f>
        <v>0.005</v>
      </c>
      <c r="AQ158" s="275">
        <f t="shared" si="20"/>
        <v>0</v>
      </c>
      <c r="AR158" s="218"/>
      <c r="AS158" s="218"/>
      <c r="AT158" s="218"/>
      <c r="AU158" s="218"/>
      <c r="AV158" s="218"/>
      <c r="AW158" s="218"/>
      <c r="AX158" s="218"/>
      <c r="AY158" s="218"/>
      <c r="AZ158" s="218"/>
      <c r="BB158" s="218"/>
      <c r="BJ158" s="128">
        <v>84000</v>
      </c>
      <c r="BL158" s="128">
        <v>336000</v>
      </c>
      <c r="CI158" s="128" t="s">
        <v>376</v>
      </c>
      <c r="CJ158" s="128" t="s">
        <v>387</v>
      </c>
      <c r="CK158" s="128" t="s">
        <v>377</v>
      </c>
    </row>
    <row r="159" s="128" customFormat="1" customHeight="1" spans="1:89">
      <c r="A159" s="272">
        <v>121</v>
      </c>
      <c r="C159" s="184">
        <v>45401</v>
      </c>
      <c r="D159" s="128">
        <v>20240002189</v>
      </c>
      <c r="F159" s="1016" t="s">
        <v>4080</v>
      </c>
      <c r="G159" s="128" t="s">
        <v>4081</v>
      </c>
      <c r="I159" s="128" t="s">
        <v>4082</v>
      </c>
      <c r="J159" s="128">
        <v>146.29</v>
      </c>
      <c r="K159" s="128">
        <v>146.29</v>
      </c>
      <c r="L159" s="128">
        <v>5000</v>
      </c>
      <c r="M159" s="274">
        <v>731450</v>
      </c>
      <c r="N159" s="218">
        <v>4998</v>
      </c>
      <c r="O159" s="168">
        <v>671055.05</v>
      </c>
      <c r="P159" s="1017" t="s">
        <v>4083</v>
      </c>
      <c r="Q159" s="211">
        <v>45831</v>
      </c>
      <c r="R159" s="218"/>
      <c r="S159" s="219"/>
      <c r="T159" s="272"/>
      <c r="U159" s="219" t="s">
        <v>410</v>
      </c>
      <c r="V159" s="218">
        <v>20000</v>
      </c>
      <c r="W159" s="219" t="s">
        <v>553</v>
      </c>
      <c r="X159" s="218">
        <v>151450</v>
      </c>
      <c r="Y159" s="219" t="s">
        <v>385</v>
      </c>
      <c r="Z159" s="218">
        <v>560000</v>
      </c>
      <c r="AA159" s="219" t="s">
        <v>4084</v>
      </c>
      <c r="AB159" s="218"/>
      <c r="AH159" s="218">
        <f t="shared" si="18"/>
        <v>731450</v>
      </c>
      <c r="AK159" s="179">
        <f t="shared" si="24"/>
        <v>0</v>
      </c>
      <c r="AL159" s="128">
        <v>18742874110</v>
      </c>
      <c r="AM159" s="177"/>
      <c r="AO159" s="128">
        <f t="shared" si="19"/>
        <v>731450</v>
      </c>
      <c r="AP159" s="173">
        <f>0.7%+0.05%+0.12%</f>
        <v>0.0087</v>
      </c>
      <c r="AQ159" s="275">
        <f t="shared" si="20"/>
        <v>0</v>
      </c>
      <c r="AR159" s="218"/>
      <c r="AS159" s="218"/>
      <c r="AT159" s="218"/>
      <c r="AU159" s="218"/>
      <c r="AV159" s="218"/>
      <c r="AW159" s="218"/>
      <c r="AX159" s="218"/>
      <c r="AY159" s="218"/>
      <c r="AZ159" s="218"/>
      <c r="BB159" s="218"/>
      <c r="BH159" s="128">
        <v>171450</v>
      </c>
      <c r="BK159" s="128">
        <v>560000</v>
      </c>
      <c r="CI159" s="128" t="s">
        <v>376</v>
      </c>
      <c r="CJ159" s="128" t="s">
        <v>387</v>
      </c>
      <c r="CK159" s="128" t="s">
        <v>377</v>
      </c>
    </row>
    <row r="160" s="128" customFormat="1" customHeight="1" spans="1:89">
      <c r="A160" s="272">
        <v>122</v>
      </c>
      <c r="C160" s="184">
        <v>45314</v>
      </c>
      <c r="D160" s="128">
        <v>20240000535</v>
      </c>
      <c r="F160" s="128" t="s">
        <v>4085</v>
      </c>
      <c r="G160" s="128" t="s">
        <v>4086</v>
      </c>
      <c r="H160" s="1016" t="s">
        <v>4087</v>
      </c>
      <c r="I160" s="128" t="s">
        <v>4088</v>
      </c>
      <c r="J160" s="128">
        <v>132.34</v>
      </c>
      <c r="K160" s="128">
        <v>132.34</v>
      </c>
      <c r="L160" s="128">
        <v>5124</v>
      </c>
      <c r="M160" s="274">
        <v>678110</v>
      </c>
      <c r="N160" s="218">
        <v>5024</v>
      </c>
      <c r="O160" s="168">
        <v>622119.27</v>
      </c>
      <c r="P160" s="284" t="s">
        <v>4089</v>
      </c>
      <c r="Q160" s="211">
        <v>45820</v>
      </c>
      <c r="R160" s="218"/>
      <c r="S160" s="219"/>
      <c r="T160" s="1017" t="s">
        <v>4090</v>
      </c>
      <c r="U160" s="219" t="s">
        <v>486</v>
      </c>
      <c r="V160" s="218">
        <v>2000</v>
      </c>
      <c r="W160" s="219" t="s">
        <v>1128</v>
      </c>
      <c r="X160" s="218">
        <v>18000</v>
      </c>
      <c r="Y160" s="219" t="s">
        <v>682</v>
      </c>
      <c r="Z160" s="218">
        <f>21000+37110+60000</f>
        <v>118110</v>
      </c>
      <c r="AA160" s="179" t="s">
        <v>3876</v>
      </c>
      <c r="AB160" s="218">
        <v>540000</v>
      </c>
      <c r="AC160" s="219" t="s">
        <v>642</v>
      </c>
      <c r="AH160" s="218">
        <f t="shared" si="18"/>
        <v>678110</v>
      </c>
      <c r="AK160" s="179">
        <f t="shared" si="24"/>
        <v>0</v>
      </c>
      <c r="AL160" s="128">
        <v>15099220882</v>
      </c>
      <c r="AM160" s="177"/>
      <c r="AO160" s="128">
        <f t="shared" si="19"/>
        <v>678110</v>
      </c>
      <c r="AP160" s="173">
        <f>0.4%+0.03%+0.08%</f>
        <v>0.0051</v>
      </c>
      <c r="AQ160" s="275">
        <f t="shared" si="20"/>
        <v>0</v>
      </c>
      <c r="AR160" s="218"/>
      <c r="AS160" s="218"/>
      <c r="AT160" s="218"/>
      <c r="AU160" s="218"/>
      <c r="AV160" s="218"/>
      <c r="AW160" s="218"/>
      <c r="AX160" s="218"/>
      <c r="AY160" s="218"/>
      <c r="AZ160" s="218"/>
      <c r="BB160" s="218"/>
      <c r="BE160" s="128">
        <v>138110</v>
      </c>
      <c r="BG160" s="128">
        <v>540000</v>
      </c>
      <c r="CI160" s="128" t="s">
        <v>376</v>
      </c>
      <c r="CJ160" s="128" t="s">
        <v>387</v>
      </c>
      <c r="CK160" s="128" t="s">
        <v>377</v>
      </c>
    </row>
    <row r="161" s="128" customFormat="1" customHeight="1" spans="1:92">
      <c r="A161" s="272">
        <v>123</v>
      </c>
      <c r="C161" s="184">
        <v>45377</v>
      </c>
      <c r="D161" s="128">
        <v>20240001643</v>
      </c>
      <c r="F161" s="1016" t="s">
        <v>4091</v>
      </c>
      <c r="G161" s="128" t="s">
        <v>4092</v>
      </c>
      <c r="I161" s="128" t="s">
        <v>4093</v>
      </c>
      <c r="J161" s="128">
        <v>86.14</v>
      </c>
      <c r="K161" s="128">
        <v>86.14</v>
      </c>
      <c r="L161" s="128">
        <f>M161/K161</f>
        <v>5107.9637798932</v>
      </c>
      <c r="M161" s="274">
        <v>440000</v>
      </c>
      <c r="N161" s="218">
        <v>5044</v>
      </c>
      <c r="O161" s="168">
        <v>403669.72</v>
      </c>
      <c r="P161" s="1017" t="s">
        <v>4094</v>
      </c>
      <c r="Q161" s="211">
        <v>45831</v>
      </c>
      <c r="R161" s="218"/>
      <c r="S161" s="219"/>
      <c r="T161" s="272"/>
      <c r="U161" s="219"/>
      <c r="V161" s="218">
        <f>56800-56800</f>
        <v>0</v>
      </c>
      <c r="W161" s="278" t="s">
        <v>411</v>
      </c>
      <c r="X161" s="272">
        <v>28000</v>
      </c>
      <c r="Y161" s="211" t="s">
        <v>4050</v>
      </c>
      <c r="Z161" s="218">
        <v>62000</v>
      </c>
      <c r="AA161" s="219" t="s">
        <v>4095</v>
      </c>
      <c r="AB161" s="218">
        <v>350000</v>
      </c>
      <c r="AC161" s="219" t="s">
        <v>672</v>
      </c>
      <c r="AH161" s="218">
        <f t="shared" si="18"/>
        <v>440000</v>
      </c>
      <c r="AK161" s="179">
        <f t="shared" si="24"/>
        <v>0</v>
      </c>
      <c r="AL161" s="128">
        <v>17399136763</v>
      </c>
      <c r="AM161" s="177"/>
      <c r="AO161" s="128">
        <f t="shared" si="19"/>
        <v>440000</v>
      </c>
      <c r="AP161" s="173">
        <f>0.7%+0.05%+0.12%</f>
        <v>0.0087</v>
      </c>
      <c r="AQ161" s="275">
        <f t="shared" si="20"/>
        <v>0</v>
      </c>
      <c r="AR161" s="218"/>
      <c r="AS161" s="218"/>
      <c r="AT161" s="218"/>
      <c r="AU161" s="218"/>
      <c r="AV161" s="218"/>
      <c r="AW161" s="218"/>
      <c r="AX161" s="218"/>
      <c r="AY161" s="218"/>
      <c r="AZ161" s="218"/>
      <c r="BB161" s="218"/>
      <c r="BH161" s="128">
        <v>90000</v>
      </c>
      <c r="BI161" s="128">
        <v>350000</v>
      </c>
      <c r="CI161" s="128" t="s">
        <v>376</v>
      </c>
      <c r="CJ161" s="128" t="s">
        <v>387</v>
      </c>
      <c r="CK161" s="128" t="s">
        <v>377</v>
      </c>
    </row>
    <row r="162" s="128" customFormat="1" ht="51" customHeight="1" spans="1:92">
      <c r="A162" s="272">
        <v>124</v>
      </c>
      <c r="C162" s="184">
        <v>45314</v>
      </c>
      <c r="D162" s="128">
        <v>20240000533</v>
      </c>
      <c r="F162" s="1016" t="s">
        <v>4096</v>
      </c>
      <c r="G162" s="177" t="s">
        <v>4097</v>
      </c>
      <c r="H162" s="1016" t="s">
        <v>4098</v>
      </c>
      <c r="I162" s="128" t="s">
        <v>4099</v>
      </c>
      <c r="J162" s="128">
        <v>126.97</v>
      </c>
      <c r="K162" s="128">
        <v>126.97</v>
      </c>
      <c r="L162" s="128">
        <v>5158.69</v>
      </c>
      <c r="M162" s="274">
        <v>655000</v>
      </c>
      <c r="N162" s="218">
        <v>5034</v>
      </c>
      <c r="O162" s="168">
        <v>600917.43</v>
      </c>
      <c r="P162" s="1017" t="s">
        <v>4100</v>
      </c>
      <c r="Q162" s="211">
        <v>45831</v>
      </c>
      <c r="R162" s="218"/>
      <c r="S162" s="219"/>
      <c r="T162" s="284" t="s">
        <v>4101</v>
      </c>
      <c r="U162" s="219" t="s">
        <v>4102</v>
      </c>
      <c r="V162" s="218">
        <f>2000-2000</f>
        <v>0</v>
      </c>
      <c r="W162" s="219" t="s">
        <v>422</v>
      </c>
      <c r="X162" s="218">
        <v>20000</v>
      </c>
      <c r="Y162" s="219" t="s">
        <v>1657</v>
      </c>
      <c r="Z162" s="128">
        <v>45000</v>
      </c>
      <c r="AA162" s="179" t="s">
        <v>3876</v>
      </c>
      <c r="AB162" s="218">
        <v>240000</v>
      </c>
      <c r="AC162" s="128" t="s">
        <v>3876</v>
      </c>
      <c r="AD162" s="218">
        <v>350000</v>
      </c>
      <c r="AE162" s="219" t="s">
        <v>1029</v>
      </c>
      <c r="AH162" s="218">
        <f t="shared" si="18"/>
        <v>655000</v>
      </c>
      <c r="AK162" s="179">
        <f t="shared" si="24"/>
        <v>0</v>
      </c>
      <c r="AL162" s="128">
        <v>13345457989</v>
      </c>
      <c r="AM162" s="177"/>
      <c r="AO162" s="128">
        <f t="shared" si="19"/>
        <v>655000</v>
      </c>
      <c r="AP162" s="173">
        <f>0.7%+0.04%+0.12%</f>
        <v>0.0086</v>
      </c>
      <c r="AQ162" s="275">
        <f t="shared" si="20"/>
        <v>0</v>
      </c>
      <c r="AR162" s="218"/>
      <c r="AS162" s="218"/>
      <c r="AT162" s="218"/>
      <c r="AU162" s="218"/>
      <c r="AV162" s="218"/>
      <c r="AW162" s="218"/>
      <c r="AX162" s="218"/>
      <c r="AY162" s="218"/>
      <c r="AZ162" s="218"/>
      <c r="BB162" s="218"/>
      <c r="BE162" s="128">
        <v>305000</v>
      </c>
      <c r="BF162" s="128">
        <v>350000</v>
      </c>
      <c r="CI162" s="128" t="s">
        <v>376</v>
      </c>
      <c r="CJ162" s="128" t="s">
        <v>387</v>
      </c>
      <c r="CK162" s="128" t="s">
        <v>377</v>
      </c>
    </row>
    <row r="163" s="128" customFormat="1" customHeight="1" spans="1:92">
      <c r="A163" s="272">
        <v>125</v>
      </c>
      <c r="C163" s="184">
        <v>45293</v>
      </c>
      <c r="D163" s="128">
        <v>20240000015</v>
      </c>
      <c r="F163" s="1016" t="s">
        <v>4103</v>
      </c>
      <c r="G163" s="128" t="s">
        <v>4104</v>
      </c>
      <c r="H163" s="1016" t="s">
        <v>4105</v>
      </c>
      <c r="I163" s="128" t="s">
        <v>4106</v>
      </c>
      <c r="J163" s="128">
        <v>132.34</v>
      </c>
      <c r="K163" s="128">
        <v>132.34</v>
      </c>
      <c r="L163" s="128">
        <v>5175</v>
      </c>
      <c r="M163" s="274">
        <v>684860</v>
      </c>
      <c r="N163" s="218">
        <v>5075</v>
      </c>
      <c r="O163" s="168"/>
      <c r="P163" s="272"/>
      <c r="Q163" s="211"/>
      <c r="R163" s="218"/>
      <c r="S163" s="219"/>
      <c r="T163" s="1017" t="s">
        <v>2476</v>
      </c>
      <c r="U163" s="219" t="s">
        <v>677</v>
      </c>
      <c r="V163" s="218">
        <v>10000</v>
      </c>
      <c r="W163" s="219" t="s">
        <v>588</v>
      </c>
      <c r="X163" s="218">
        <v>340000</v>
      </c>
      <c r="Y163" s="219" t="s">
        <v>701</v>
      </c>
      <c r="AA163" s="179"/>
      <c r="AB163" s="218"/>
      <c r="AH163" s="218">
        <f t="shared" si="18"/>
        <v>350000</v>
      </c>
      <c r="AK163" s="179">
        <f t="shared" ref="AK163:AK168" si="25">M163-AH163</f>
        <v>334860</v>
      </c>
      <c r="AL163" s="128">
        <v>19999465615</v>
      </c>
      <c r="AM163" s="177"/>
      <c r="AO163" s="128">
        <f t="shared" si="19"/>
        <v>0</v>
      </c>
      <c r="AP163" s="173">
        <f>0.4%+0.02%+0.08%</f>
        <v>0.005</v>
      </c>
      <c r="AQ163" s="275">
        <f t="shared" si="20"/>
        <v>0</v>
      </c>
      <c r="AR163" s="218"/>
      <c r="AS163" s="218"/>
      <c r="AT163" s="218"/>
      <c r="AU163" s="218"/>
      <c r="AV163" s="218"/>
      <c r="AW163" s="218"/>
      <c r="AX163" s="218"/>
      <c r="AY163" s="218"/>
      <c r="AZ163" s="218"/>
      <c r="BB163" s="218"/>
      <c r="CI163" s="128" t="s">
        <v>376</v>
      </c>
      <c r="CJ163" s="128" t="s">
        <v>387</v>
      </c>
      <c r="CK163" s="128" t="s">
        <v>377</v>
      </c>
    </row>
    <row r="164" s="128" customFormat="1" customHeight="1" spans="1:92">
      <c r="A164" s="272">
        <v>126</v>
      </c>
      <c r="C164" s="184">
        <v>45341</v>
      </c>
      <c r="D164" s="128">
        <v>20240000869</v>
      </c>
      <c r="F164" s="1016" t="s">
        <v>4107</v>
      </c>
      <c r="G164" s="128" t="s">
        <v>4108</v>
      </c>
      <c r="I164" s="128" t="s">
        <v>4109</v>
      </c>
      <c r="J164" s="128">
        <v>86.14</v>
      </c>
      <c r="K164" s="128">
        <v>86.14</v>
      </c>
      <c r="L164" s="128">
        <v>5205</v>
      </c>
      <c r="M164" s="274">
        <v>448359</v>
      </c>
      <c r="N164" s="218">
        <v>5105</v>
      </c>
      <c r="O164" s="168">
        <v>411338.53</v>
      </c>
      <c r="P164" s="1017" t="s">
        <v>4110</v>
      </c>
      <c r="Q164" s="211">
        <v>45831</v>
      </c>
      <c r="R164" s="218"/>
      <c r="S164" s="219"/>
      <c r="T164" s="1017" t="s">
        <v>4111</v>
      </c>
      <c r="U164" s="219" t="s">
        <v>393</v>
      </c>
      <c r="V164" s="218">
        <v>2000</v>
      </c>
      <c r="W164" s="219" t="s">
        <v>801</v>
      </c>
      <c r="X164" s="218">
        <v>18000</v>
      </c>
      <c r="Y164" s="211" t="s">
        <v>630</v>
      </c>
      <c r="Z164" s="218">
        <v>128359</v>
      </c>
      <c r="AA164" s="219" t="s">
        <v>3852</v>
      </c>
      <c r="AB164" s="218">
        <v>200000</v>
      </c>
      <c r="AC164" s="128" t="s">
        <v>1071</v>
      </c>
      <c r="AD164" s="218">
        <v>100000</v>
      </c>
      <c r="AE164" s="219" t="s">
        <v>4112</v>
      </c>
      <c r="AH164" s="218">
        <f t="shared" si="18"/>
        <v>448359</v>
      </c>
      <c r="AK164" s="179">
        <f t="shared" si="25"/>
        <v>0</v>
      </c>
      <c r="AL164" s="128">
        <v>18699679191</v>
      </c>
      <c r="AM164" s="177"/>
      <c r="AO164" s="128">
        <f t="shared" si="19"/>
        <v>448359</v>
      </c>
      <c r="AP164" s="173">
        <f>0.4%+0.02%+0.08%</f>
        <v>0.005</v>
      </c>
      <c r="AQ164" s="275">
        <f t="shared" si="20"/>
        <v>0</v>
      </c>
      <c r="AR164" s="218"/>
      <c r="AS164" s="218"/>
      <c r="AT164" s="218"/>
      <c r="AU164" s="218"/>
      <c r="AV164" s="218"/>
      <c r="AW164" s="218"/>
      <c r="AX164" s="218"/>
      <c r="AY164" s="218"/>
      <c r="AZ164" s="218"/>
      <c r="BB164" s="218"/>
      <c r="BF164" s="128">
        <v>348359</v>
      </c>
      <c r="BG164" s="128">
        <v>100000</v>
      </c>
      <c r="CI164" s="128" t="s">
        <v>376</v>
      </c>
      <c r="CJ164" s="128" t="s">
        <v>387</v>
      </c>
      <c r="CK164" s="128" t="s">
        <v>377</v>
      </c>
    </row>
    <row r="165" s="128" customFormat="1" customHeight="1" spans="1:92">
      <c r="A165" s="272">
        <v>127</v>
      </c>
      <c r="C165" s="184">
        <v>45374</v>
      </c>
      <c r="D165" s="128">
        <v>20240001570</v>
      </c>
      <c r="F165" s="1016" t="s">
        <v>4113</v>
      </c>
      <c r="G165" s="128" t="s">
        <v>4114</v>
      </c>
      <c r="H165" s="1016" t="s">
        <v>4115</v>
      </c>
      <c r="I165" s="128" t="s">
        <v>4116</v>
      </c>
      <c r="J165" s="128">
        <v>126.97</v>
      </c>
      <c r="K165" s="128">
        <v>126.97</v>
      </c>
      <c r="L165" s="128">
        <v>5198</v>
      </c>
      <c r="M165" s="274">
        <v>660000</v>
      </c>
      <c r="N165" s="218">
        <v>5085</v>
      </c>
      <c r="O165" s="168">
        <v>605504.59</v>
      </c>
      <c r="P165" s="1017" t="s">
        <v>4117</v>
      </c>
      <c r="Q165" s="211">
        <v>45831</v>
      </c>
      <c r="R165" s="218"/>
      <c r="S165" s="219"/>
      <c r="T165" s="272"/>
      <c r="U165" s="219" t="s">
        <v>410</v>
      </c>
      <c r="V165" s="218">
        <v>10000</v>
      </c>
      <c r="W165" s="219" t="s">
        <v>4118</v>
      </c>
      <c r="X165" s="218">
        <v>3000</v>
      </c>
      <c r="Y165" s="211" t="s">
        <v>1196</v>
      </c>
      <c r="Z165" s="218">
        <v>147000</v>
      </c>
      <c r="AA165" s="219" t="s">
        <v>784</v>
      </c>
      <c r="AB165" s="218">
        <v>500000</v>
      </c>
      <c r="AC165" s="219" t="s">
        <v>672</v>
      </c>
      <c r="AH165" s="218">
        <f t="shared" si="18"/>
        <v>660000</v>
      </c>
      <c r="AK165" s="179">
        <f t="shared" si="25"/>
        <v>0</v>
      </c>
      <c r="AL165" s="128">
        <v>13399968391</v>
      </c>
      <c r="AM165" s="177"/>
      <c r="AO165" s="128">
        <f t="shared" si="19"/>
        <v>660000</v>
      </c>
      <c r="AP165" s="173">
        <f>0.7%+0.05%+0.12%</f>
        <v>0.0087</v>
      </c>
      <c r="AQ165" s="275">
        <f t="shared" si="20"/>
        <v>0</v>
      </c>
      <c r="AR165" s="218"/>
      <c r="AS165" s="218"/>
      <c r="AT165" s="218"/>
      <c r="AU165" s="218"/>
      <c r="AV165" s="218"/>
      <c r="AW165" s="218"/>
      <c r="AX165" s="218"/>
      <c r="AY165" s="218"/>
      <c r="AZ165" s="218"/>
      <c r="BB165" s="218"/>
      <c r="BH165" s="128">
        <v>160000</v>
      </c>
      <c r="BI165" s="128">
        <v>500000</v>
      </c>
      <c r="CI165" s="128" t="s">
        <v>376</v>
      </c>
      <c r="CJ165" s="128" t="s">
        <v>387</v>
      </c>
      <c r="CK165" s="128" t="s">
        <v>377</v>
      </c>
    </row>
    <row r="166" s="128" customFormat="1" customHeight="1" spans="1:92">
      <c r="A166" s="272">
        <v>128</v>
      </c>
      <c r="C166" s="184">
        <v>45317</v>
      </c>
      <c r="D166" s="128">
        <v>20240000614</v>
      </c>
      <c r="F166" s="1016" t="s">
        <v>4119</v>
      </c>
      <c r="G166" s="128" t="s">
        <v>3744</v>
      </c>
      <c r="H166" s="1016" t="s">
        <v>4120</v>
      </c>
      <c r="I166" s="128" t="s">
        <v>4121</v>
      </c>
      <c r="J166" s="128">
        <v>132.34</v>
      </c>
      <c r="K166" s="128">
        <v>132.34</v>
      </c>
      <c r="L166" s="128">
        <v>5235</v>
      </c>
      <c r="M166" s="274">
        <v>692800</v>
      </c>
      <c r="N166" s="218">
        <v>5135</v>
      </c>
      <c r="O166" s="168">
        <v>635596.33</v>
      </c>
      <c r="P166" s="1017" t="s">
        <v>4122</v>
      </c>
      <c r="Q166" s="211">
        <v>45831</v>
      </c>
      <c r="R166" s="218"/>
      <c r="S166" s="219"/>
      <c r="T166" s="272"/>
      <c r="U166" s="219"/>
      <c r="V166" s="218">
        <v>20000</v>
      </c>
      <c r="W166" s="219" t="s">
        <v>701</v>
      </c>
      <c r="X166" s="218">
        <v>122800</v>
      </c>
      <c r="Y166" s="211" t="s">
        <v>727</v>
      </c>
      <c r="Z166" s="218">
        <v>20000</v>
      </c>
      <c r="AA166" s="219" t="s">
        <v>553</v>
      </c>
      <c r="AB166" s="218">
        <v>530000</v>
      </c>
      <c r="AC166" s="219" t="s">
        <v>384</v>
      </c>
      <c r="AH166" s="218">
        <f t="shared" si="18"/>
        <v>692800</v>
      </c>
      <c r="AK166" s="179">
        <f t="shared" si="25"/>
        <v>0</v>
      </c>
      <c r="AL166" s="128">
        <v>19999761588</v>
      </c>
      <c r="AM166" s="177"/>
      <c r="AO166" s="128">
        <f t="shared" si="19"/>
        <v>692800</v>
      </c>
      <c r="AP166" s="173">
        <f>0.6%+0.12%</f>
        <v>0.0072</v>
      </c>
      <c r="AQ166" s="275">
        <f t="shared" si="20"/>
        <v>0</v>
      </c>
      <c r="AR166" s="218"/>
      <c r="AS166" s="218"/>
      <c r="AT166" s="218"/>
      <c r="AU166" s="218"/>
      <c r="AV166" s="218"/>
      <c r="AW166" s="218"/>
      <c r="AX166" s="218"/>
      <c r="AY166" s="218"/>
      <c r="AZ166" s="218"/>
      <c r="BB166" s="218"/>
      <c r="BE166" s="128">
        <v>142800</v>
      </c>
      <c r="BH166" s="128">
        <v>550000</v>
      </c>
      <c r="CI166" s="128" t="s">
        <v>376</v>
      </c>
      <c r="CJ166" s="128" t="s">
        <v>387</v>
      </c>
      <c r="CK166" s="128" t="s">
        <v>377</v>
      </c>
    </row>
    <row r="167" s="128" customFormat="1" customHeight="1" spans="1:92">
      <c r="A167" s="272">
        <v>129</v>
      </c>
      <c r="C167" s="184">
        <v>45382</v>
      </c>
      <c r="D167" s="128">
        <v>20240001771</v>
      </c>
      <c r="F167" s="1016" t="s">
        <v>4123</v>
      </c>
      <c r="G167" s="128" t="s">
        <v>4124</v>
      </c>
      <c r="I167" s="128" t="s">
        <v>4125</v>
      </c>
      <c r="J167" s="128">
        <v>86.14</v>
      </c>
      <c r="K167" s="128">
        <v>86.14</v>
      </c>
      <c r="L167" s="128">
        <v>5282.099</v>
      </c>
      <c r="M167" s="274">
        <v>455000</v>
      </c>
      <c r="N167" s="218">
        <v>5185</v>
      </c>
      <c r="O167" s="168">
        <v>417431.19</v>
      </c>
      <c r="P167" s="1017" t="s">
        <v>4126</v>
      </c>
      <c r="Q167" s="211">
        <v>45831</v>
      </c>
      <c r="R167" s="218"/>
      <c r="S167" s="219"/>
      <c r="T167" s="272"/>
      <c r="U167" s="219" t="s">
        <v>410</v>
      </c>
      <c r="V167" s="218">
        <v>5000</v>
      </c>
      <c r="W167" s="219" t="s">
        <v>670</v>
      </c>
      <c r="X167" s="218">
        <v>450000</v>
      </c>
      <c r="Y167" s="211" t="s">
        <v>4127</v>
      </c>
      <c r="AA167" s="179"/>
      <c r="AB167" s="218"/>
      <c r="AH167" s="218">
        <f t="shared" si="18"/>
        <v>455000</v>
      </c>
      <c r="AK167" s="179">
        <f t="shared" si="25"/>
        <v>0</v>
      </c>
      <c r="AL167" s="128">
        <v>15099469395</v>
      </c>
      <c r="AM167" s="177"/>
      <c r="AO167" s="128">
        <f t="shared" si="19"/>
        <v>455000</v>
      </c>
      <c r="AP167" s="173">
        <f>0.7%+0.05%+0.12%</f>
        <v>0.0087</v>
      </c>
      <c r="AQ167" s="275">
        <f t="shared" si="20"/>
        <v>0</v>
      </c>
      <c r="AR167" s="218"/>
      <c r="AS167" s="218"/>
      <c r="AT167" s="218"/>
      <c r="AU167" s="218"/>
      <c r="AV167" s="218"/>
      <c r="AW167" s="218"/>
      <c r="AX167" s="218"/>
      <c r="AY167" s="218"/>
      <c r="AZ167" s="218"/>
      <c r="BB167" s="218"/>
      <c r="BH167" s="128">
        <v>455000</v>
      </c>
      <c r="CI167" s="128" t="s">
        <v>376</v>
      </c>
      <c r="CJ167" s="128" t="s">
        <v>387</v>
      </c>
      <c r="CK167" s="128" t="s">
        <v>377</v>
      </c>
    </row>
    <row r="168" s="128" customFormat="1" customHeight="1" spans="1:92">
      <c r="A168" s="272">
        <v>130</v>
      </c>
      <c r="C168" s="184">
        <v>45355</v>
      </c>
      <c r="D168" s="128">
        <v>20240001126</v>
      </c>
      <c r="F168" s="1016" t="s">
        <v>4128</v>
      </c>
      <c r="G168" s="128" t="s">
        <v>4129</v>
      </c>
      <c r="H168" s="1016" t="s">
        <v>4130</v>
      </c>
      <c r="I168" s="128" t="s">
        <v>4131</v>
      </c>
      <c r="J168" s="128">
        <v>126.97</v>
      </c>
      <c r="K168" s="128">
        <v>126.97</v>
      </c>
      <c r="L168" s="128">
        <v>5235</v>
      </c>
      <c r="M168" s="274">
        <v>664688</v>
      </c>
      <c r="N168" s="218">
        <v>5145</v>
      </c>
      <c r="O168" s="168">
        <v>609805.5</v>
      </c>
      <c r="P168" s="1017" t="s">
        <v>4132</v>
      </c>
      <c r="Q168" s="211">
        <v>45831</v>
      </c>
      <c r="R168" s="218"/>
      <c r="S168" s="219"/>
      <c r="T168" s="272"/>
      <c r="U168" s="219" t="s">
        <v>383</v>
      </c>
      <c r="V168" s="218">
        <v>20000</v>
      </c>
      <c r="W168" s="219" t="s">
        <v>1029</v>
      </c>
      <c r="X168" s="218">
        <v>244688</v>
      </c>
      <c r="Y168" s="219" t="s">
        <v>3904</v>
      </c>
      <c r="Z168" s="218">
        <v>400000</v>
      </c>
      <c r="AA168" s="219" t="s">
        <v>1360</v>
      </c>
      <c r="AB168" s="218"/>
      <c r="AH168" s="218">
        <f t="shared" si="18"/>
        <v>664688</v>
      </c>
      <c r="AK168" s="179">
        <f t="shared" si="25"/>
        <v>0</v>
      </c>
      <c r="AL168" s="128">
        <v>15099495165</v>
      </c>
      <c r="AM168" s="177"/>
      <c r="AO168" s="128">
        <f t="shared" si="19"/>
        <v>664688</v>
      </c>
      <c r="AP168" s="173">
        <f>0.5%+0.14%</f>
        <v>0.0064</v>
      </c>
      <c r="AQ168" s="275">
        <f t="shared" si="20"/>
        <v>0</v>
      </c>
      <c r="AR168" s="218"/>
      <c r="AS168" s="218"/>
      <c r="AT168" s="218"/>
      <c r="AU168" s="218"/>
      <c r="AV168" s="218"/>
      <c r="AW168" s="218"/>
      <c r="AX168" s="218"/>
      <c r="AY168" s="218"/>
      <c r="AZ168" s="218"/>
      <c r="BB168" s="218"/>
      <c r="BG168" s="128">
        <v>264688</v>
      </c>
      <c r="BH168" s="128">
        <v>400000</v>
      </c>
      <c r="CI168" s="128" t="s">
        <v>376</v>
      </c>
      <c r="CJ168" s="128" t="s">
        <v>387</v>
      </c>
      <c r="CK168" s="128" t="s">
        <v>377</v>
      </c>
    </row>
    <row r="169" s="128" customFormat="1" customHeight="1" spans="1:92">
      <c r="A169" s="272">
        <v>131</v>
      </c>
      <c r="C169" s="184">
        <v>45306</v>
      </c>
      <c r="D169" s="128">
        <v>20240000357</v>
      </c>
      <c r="F169" s="1016" t="s">
        <v>4133</v>
      </c>
      <c r="G169" s="128" t="s">
        <v>4134</v>
      </c>
      <c r="H169" s="1016" t="s">
        <v>4135</v>
      </c>
      <c r="I169" s="128" t="s">
        <v>4136</v>
      </c>
      <c r="J169" s="128">
        <v>132.34</v>
      </c>
      <c r="K169" s="128">
        <v>132.34</v>
      </c>
      <c r="L169" s="128">
        <v>5237</v>
      </c>
      <c r="M169" s="274">
        <v>693065</v>
      </c>
      <c r="N169" s="218">
        <v>5187</v>
      </c>
      <c r="O169" s="168">
        <v>635839.45</v>
      </c>
      <c r="P169" s="1017" t="s">
        <v>4137</v>
      </c>
      <c r="Q169" s="211">
        <v>45831</v>
      </c>
      <c r="R169" s="218"/>
      <c r="S169" s="219"/>
      <c r="T169" s="1017" t="s">
        <v>4138</v>
      </c>
      <c r="U169" s="219" t="s">
        <v>2278</v>
      </c>
      <c r="V169" s="218">
        <v>2000</v>
      </c>
      <c r="W169" s="219" t="s">
        <v>2112</v>
      </c>
      <c r="X169" s="218">
        <v>18000</v>
      </c>
      <c r="Y169" s="219" t="s">
        <v>630</v>
      </c>
      <c r="Z169" s="218">
        <v>170065</v>
      </c>
      <c r="AA169" s="219" t="s">
        <v>3913</v>
      </c>
      <c r="AB169" s="218">
        <v>10000</v>
      </c>
      <c r="AC169" s="128" t="s">
        <v>4139</v>
      </c>
      <c r="AD169" s="218">
        <v>493000</v>
      </c>
      <c r="AE169" s="219" t="s">
        <v>553</v>
      </c>
      <c r="AH169" s="218">
        <f t="shared" si="18"/>
        <v>693065</v>
      </c>
      <c r="AK169" s="179">
        <f t="shared" ref="AK169:AK174" si="26">M169-AH169</f>
        <v>0</v>
      </c>
      <c r="AL169" s="128">
        <v>17609941943</v>
      </c>
      <c r="AM169" s="177"/>
      <c r="AO169" s="128">
        <f t="shared" si="19"/>
        <v>693065</v>
      </c>
      <c r="AP169" s="173">
        <f>0.4%+0.02%+0.08%</f>
        <v>0.005</v>
      </c>
      <c r="AQ169" s="275">
        <f t="shared" si="20"/>
        <v>0</v>
      </c>
      <c r="AR169" s="218"/>
      <c r="AS169" s="218"/>
      <c r="AT169" s="218"/>
      <c r="AU169" s="218"/>
      <c r="AV169" s="218"/>
      <c r="AW169" s="218"/>
      <c r="AX169" s="218"/>
      <c r="AY169" s="218"/>
      <c r="AZ169" s="218"/>
      <c r="BB169" s="218"/>
      <c r="BE169" s="128">
        <v>200065</v>
      </c>
      <c r="BG169" s="128">
        <v>493000</v>
      </c>
      <c r="CI169" s="128" t="s">
        <v>376</v>
      </c>
      <c r="CJ169" s="128" t="s">
        <v>387</v>
      </c>
      <c r="CK169" s="128" t="s">
        <v>377</v>
      </c>
    </row>
    <row r="170" s="128" customFormat="1" customHeight="1" spans="1:92">
      <c r="A170" s="272">
        <v>132</v>
      </c>
      <c r="C170" s="184">
        <v>45345</v>
      </c>
      <c r="D170" s="128">
        <v>20240000937</v>
      </c>
      <c r="F170" s="1016" t="s">
        <v>4140</v>
      </c>
      <c r="G170" s="128" t="s">
        <v>4141</v>
      </c>
      <c r="H170" s="1016" t="s">
        <v>4142</v>
      </c>
      <c r="I170" s="128" t="s">
        <v>4143</v>
      </c>
      <c r="J170" s="128">
        <v>86.14</v>
      </c>
      <c r="K170" s="128">
        <v>86.14</v>
      </c>
      <c r="L170" s="128">
        <v>5340.14</v>
      </c>
      <c r="M170" s="274">
        <v>460000</v>
      </c>
      <c r="N170" s="218">
        <v>5247</v>
      </c>
      <c r="O170" s="168">
        <v>422018.35</v>
      </c>
      <c r="P170" s="1017" t="s">
        <v>4144</v>
      </c>
      <c r="Q170" s="211">
        <v>45831</v>
      </c>
      <c r="R170" s="218"/>
      <c r="S170" s="219"/>
      <c r="T170" s="272"/>
      <c r="U170" s="219" t="s">
        <v>393</v>
      </c>
      <c r="V170" s="218">
        <v>20000</v>
      </c>
      <c r="W170" s="219" t="s">
        <v>1029</v>
      </c>
      <c r="X170" s="218">
        <v>280000</v>
      </c>
      <c r="Y170" s="211" t="s">
        <v>4145</v>
      </c>
      <c r="Z170" s="218">
        <v>160000</v>
      </c>
      <c r="AA170" s="219" t="s">
        <v>1196</v>
      </c>
      <c r="AB170" s="218"/>
      <c r="AH170" s="218">
        <f t="shared" si="18"/>
        <v>460000</v>
      </c>
      <c r="AK170" s="179">
        <f t="shared" si="26"/>
        <v>0</v>
      </c>
      <c r="AL170" s="128">
        <v>16609967350</v>
      </c>
      <c r="AM170" s="177"/>
      <c r="AO170" s="128">
        <f t="shared" si="19"/>
        <v>460000</v>
      </c>
      <c r="AP170" s="173">
        <f>0.6%+0.05%+0.14%</f>
        <v>0.0079</v>
      </c>
      <c r="AQ170" s="275">
        <f t="shared" si="20"/>
        <v>0</v>
      </c>
      <c r="AR170" s="218"/>
      <c r="AS170" s="218"/>
      <c r="AT170" s="218"/>
      <c r="AU170" s="218"/>
      <c r="AV170" s="218"/>
      <c r="AW170" s="218"/>
      <c r="AX170" s="218"/>
      <c r="AY170" s="218"/>
      <c r="AZ170" s="218"/>
      <c r="BB170" s="218"/>
      <c r="BG170" s="128">
        <v>460000</v>
      </c>
      <c r="CI170" s="128" t="s">
        <v>376</v>
      </c>
      <c r="CJ170" s="128" t="s">
        <v>387</v>
      </c>
      <c r="CK170" s="128" t="s">
        <v>377</v>
      </c>
    </row>
    <row r="171" s="128" customFormat="1" customHeight="1" spans="1:92">
      <c r="A171" s="272">
        <v>133</v>
      </c>
      <c r="C171" s="184">
        <v>45374</v>
      </c>
      <c r="D171" s="128">
        <v>20240001569</v>
      </c>
      <c r="F171" s="1016" t="s">
        <v>4146</v>
      </c>
      <c r="G171" s="128" t="s">
        <v>4147</v>
      </c>
      <c r="H171" s="1016" t="s">
        <v>4148</v>
      </c>
      <c r="I171" s="128" t="s">
        <v>4149</v>
      </c>
      <c r="J171" s="128">
        <v>126.97</v>
      </c>
      <c r="K171" s="128">
        <v>126.97</v>
      </c>
      <c r="L171" s="128">
        <v>5261.05</v>
      </c>
      <c r="M171" s="274">
        <v>668000</v>
      </c>
      <c r="N171" s="218">
        <v>5197</v>
      </c>
      <c r="O171" s="168">
        <v>612844.04</v>
      </c>
      <c r="P171" s="1017" t="s">
        <v>4150</v>
      </c>
      <c r="Q171" s="211">
        <v>45831</v>
      </c>
      <c r="R171" s="218"/>
      <c r="S171" s="219"/>
      <c r="T171" s="272"/>
      <c r="U171" s="219" t="s">
        <v>662</v>
      </c>
      <c r="V171" s="218">
        <v>20000</v>
      </c>
      <c r="W171" s="219" t="s">
        <v>4151</v>
      </c>
      <c r="X171" s="218">
        <v>188000</v>
      </c>
      <c r="Y171" s="211" t="s">
        <v>1196</v>
      </c>
      <c r="Z171" s="218">
        <v>130000</v>
      </c>
      <c r="AA171" s="219" t="s">
        <v>4152</v>
      </c>
      <c r="AB171" s="218">
        <v>330000</v>
      </c>
      <c r="AC171" s="128" t="s">
        <v>385</v>
      </c>
      <c r="AH171" s="218">
        <f t="shared" si="18"/>
        <v>668000</v>
      </c>
      <c r="AK171" s="179">
        <f t="shared" si="26"/>
        <v>0</v>
      </c>
      <c r="AL171" s="128">
        <v>13709956017</v>
      </c>
      <c r="AM171" s="177"/>
      <c r="AO171" s="128">
        <f t="shared" si="19"/>
        <v>668000</v>
      </c>
      <c r="AP171" s="173">
        <f>0.4%+0.12%</f>
        <v>0.0052</v>
      </c>
      <c r="AQ171" s="275">
        <f t="shared" si="20"/>
        <v>0</v>
      </c>
      <c r="AR171" s="218"/>
      <c r="AS171" s="218"/>
      <c r="AT171" s="218"/>
      <c r="AU171" s="218"/>
      <c r="AV171" s="218"/>
      <c r="AW171" s="218"/>
      <c r="AX171" s="218"/>
      <c r="AY171" s="218"/>
      <c r="AZ171" s="218"/>
      <c r="BB171" s="218"/>
      <c r="BH171" s="128">
        <v>668000</v>
      </c>
      <c r="CI171" s="128" t="s">
        <v>376</v>
      </c>
      <c r="CJ171" s="128" t="s">
        <v>387</v>
      </c>
      <c r="CK171" s="128" t="s">
        <v>377</v>
      </c>
    </row>
    <row r="172" s="128" customFormat="1" customHeight="1" spans="1:92">
      <c r="A172" s="272">
        <v>134</v>
      </c>
      <c r="C172" s="184">
        <v>45308</v>
      </c>
      <c r="D172" s="128">
        <v>20240000403</v>
      </c>
      <c r="F172" s="1016" t="s">
        <v>4153</v>
      </c>
      <c r="G172" s="128" t="s">
        <v>4154</v>
      </c>
      <c r="H172" s="1016" t="s">
        <v>4155</v>
      </c>
      <c r="I172" s="128" t="s">
        <v>4156</v>
      </c>
      <c r="J172" s="128">
        <v>132.34</v>
      </c>
      <c r="K172" s="128">
        <v>132.34</v>
      </c>
      <c r="L172" s="128">
        <v>5236.51</v>
      </c>
      <c r="M172" s="274">
        <v>693000</v>
      </c>
      <c r="N172" s="218">
        <v>5217</v>
      </c>
      <c r="O172" s="168">
        <v>635779.82</v>
      </c>
      <c r="P172" s="1017" t="s">
        <v>4157</v>
      </c>
      <c r="Q172" s="211">
        <v>45831</v>
      </c>
      <c r="R172" s="218"/>
      <c r="S172" s="219"/>
      <c r="T172" s="272"/>
      <c r="U172" s="219" t="s">
        <v>400</v>
      </c>
      <c r="V172" s="218">
        <v>20000</v>
      </c>
      <c r="W172" s="219" t="s">
        <v>630</v>
      </c>
      <c r="X172" s="218">
        <v>203000</v>
      </c>
      <c r="Y172" s="219" t="s">
        <v>4158</v>
      </c>
      <c r="Z172" s="128">
        <v>80000</v>
      </c>
      <c r="AA172" s="179" t="s">
        <v>4159</v>
      </c>
      <c r="AB172" s="218">
        <v>390000</v>
      </c>
      <c r="AC172" s="219" t="s">
        <v>643</v>
      </c>
      <c r="AH172" s="218">
        <f t="shared" si="18"/>
        <v>693000</v>
      </c>
      <c r="AK172" s="179">
        <f t="shared" si="26"/>
        <v>0</v>
      </c>
      <c r="AL172" s="128">
        <v>18793106742</v>
      </c>
      <c r="AM172" s="177"/>
      <c r="AO172" s="128">
        <f t="shared" si="19"/>
        <v>693000</v>
      </c>
      <c r="AP172" s="173">
        <f>0.5%+0.02%+0.08%</f>
        <v>0.006</v>
      </c>
      <c r="AQ172" s="275">
        <f t="shared" si="20"/>
        <v>0</v>
      </c>
      <c r="AR172" s="218"/>
      <c r="AS172" s="218"/>
      <c r="AT172" s="218"/>
      <c r="AU172" s="218"/>
      <c r="AV172" s="218"/>
      <c r="AW172" s="218"/>
      <c r="AX172" s="218"/>
      <c r="AY172" s="218"/>
      <c r="AZ172" s="218"/>
      <c r="BB172" s="218"/>
      <c r="BE172" s="128">
        <v>303000</v>
      </c>
      <c r="BG172" s="128">
        <v>390000</v>
      </c>
      <c r="CI172" s="128" t="s">
        <v>376</v>
      </c>
      <c r="CJ172" s="128" t="s">
        <v>387</v>
      </c>
      <c r="CK172" s="128" t="s">
        <v>377</v>
      </c>
    </row>
    <row r="173" s="128" customFormat="1" ht="83" customHeight="1" spans="1:92">
      <c r="A173" s="272">
        <v>135</v>
      </c>
      <c r="C173" s="184">
        <v>45457</v>
      </c>
      <c r="D173" s="128">
        <v>20240003503</v>
      </c>
      <c r="F173" s="1016" t="s">
        <v>4160</v>
      </c>
      <c r="G173" s="177" t="s">
        <v>4161</v>
      </c>
      <c r="H173" s="177" t="s">
        <v>4162</v>
      </c>
      <c r="I173" s="128" t="s">
        <v>4163</v>
      </c>
      <c r="J173" s="128">
        <v>86.14</v>
      </c>
      <c r="K173" s="128">
        <v>86.14</v>
      </c>
      <c r="L173" s="128">
        <f>M173/K173</f>
        <v>5456.23403761319</v>
      </c>
      <c r="M173" s="274">
        <f>251070+218930</f>
        <v>470000</v>
      </c>
      <c r="N173" s="218">
        <v>5267</v>
      </c>
      <c r="O173" s="168">
        <v>431192.66</v>
      </c>
      <c r="P173" s="1017" t="s">
        <v>4164</v>
      </c>
      <c r="Q173" s="211">
        <v>45831</v>
      </c>
      <c r="R173" s="218"/>
      <c r="S173" s="219"/>
      <c r="T173" s="272"/>
      <c r="U173" s="219"/>
      <c r="V173" s="218">
        <f>243576+218930</f>
        <v>462506</v>
      </c>
      <c r="W173" s="219" t="s">
        <v>618</v>
      </c>
      <c r="X173" s="218">
        <v>7494</v>
      </c>
      <c r="Y173" s="211" t="s">
        <v>618</v>
      </c>
      <c r="AA173" s="179"/>
      <c r="AB173" s="218"/>
      <c r="AH173" s="218">
        <f t="shared" si="18"/>
        <v>470000</v>
      </c>
      <c r="AK173" s="179">
        <f t="shared" si="26"/>
        <v>0</v>
      </c>
      <c r="AM173" s="177"/>
      <c r="AO173" s="128">
        <f t="shared" si="19"/>
        <v>0</v>
      </c>
      <c r="AP173" s="173"/>
      <c r="AQ173" s="275">
        <f t="shared" si="20"/>
        <v>0</v>
      </c>
      <c r="AR173" s="218"/>
      <c r="AS173" s="218"/>
      <c r="AT173" s="218"/>
      <c r="AU173" s="218"/>
      <c r="AV173" s="218"/>
      <c r="AW173" s="218"/>
      <c r="AX173" s="218"/>
      <c r="AY173" s="218"/>
      <c r="AZ173" s="218"/>
      <c r="BB173" s="218"/>
      <c r="CI173" s="128" t="s">
        <v>376</v>
      </c>
      <c r="CK173" s="128" t="s">
        <v>377</v>
      </c>
    </row>
    <row r="174" s="128" customFormat="1" customHeight="1" spans="1:92">
      <c r="A174" s="272">
        <v>136</v>
      </c>
      <c r="C174" s="184">
        <v>45356</v>
      </c>
      <c r="D174" s="128">
        <v>20240001176</v>
      </c>
      <c r="F174" s="1016" t="s">
        <v>4165</v>
      </c>
      <c r="G174" s="128" t="s">
        <v>4166</v>
      </c>
      <c r="I174" s="128" t="s">
        <v>4167</v>
      </c>
      <c r="J174" s="128">
        <v>126.97</v>
      </c>
      <c r="K174" s="128">
        <v>126.97</v>
      </c>
      <c r="L174" s="128">
        <v>5327</v>
      </c>
      <c r="M174" s="274">
        <v>676369</v>
      </c>
      <c r="N174" s="218">
        <v>5227</v>
      </c>
      <c r="O174" s="168">
        <v>620522.02</v>
      </c>
      <c r="P174" s="1017" t="s">
        <v>4168</v>
      </c>
      <c r="Q174" s="211">
        <v>45838</v>
      </c>
      <c r="R174" s="218"/>
      <c r="S174" s="219"/>
      <c r="T174" s="272"/>
      <c r="U174" s="219" t="s">
        <v>400</v>
      </c>
      <c r="V174" s="218">
        <v>49369</v>
      </c>
      <c r="W174" s="219" t="s">
        <v>871</v>
      </c>
      <c r="X174" s="218">
        <v>86000</v>
      </c>
      <c r="Y174" s="211" t="s">
        <v>3869</v>
      </c>
      <c r="Z174" s="218">
        <v>541000</v>
      </c>
      <c r="AA174" s="219" t="s">
        <v>4069</v>
      </c>
      <c r="AB174" s="218"/>
      <c r="AH174" s="218">
        <f t="shared" si="18"/>
        <v>676369</v>
      </c>
      <c r="AK174" s="179">
        <f t="shared" si="26"/>
        <v>0</v>
      </c>
      <c r="AM174" s="177"/>
      <c r="AO174" s="128">
        <f t="shared" si="19"/>
        <v>676369</v>
      </c>
      <c r="AP174" s="173">
        <f>0.7%+0.04%+0.12%</f>
        <v>0.0086</v>
      </c>
      <c r="AQ174" s="275">
        <f t="shared" si="20"/>
        <v>0</v>
      </c>
      <c r="AR174" s="218"/>
      <c r="AS174" s="218"/>
      <c r="AT174" s="218"/>
      <c r="AU174" s="218"/>
      <c r="AV174" s="218"/>
      <c r="AW174" s="218"/>
      <c r="AX174" s="218"/>
      <c r="AY174" s="218"/>
      <c r="AZ174" s="218"/>
      <c r="BB174" s="218"/>
      <c r="BG174" s="128">
        <v>135369</v>
      </c>
      <c r="BI174" s="128">
        <v>541000</v>
      </c>
      <c r="CI174" s="128" t="s">
        <v>376</v>
      </c>
      <c r="CJ174" s="128" t="s">
        <v>387</v>
      </c>
      <c r="CK174" s="128" t="s">
        <v>377</v>
      </c>
      <c r="CN174" s="128">
        <f>CL174-CM174</f>
        <v>0</v>
      </c>
    </row>
    <row r="175" s="128" customFormat="1" customHeight="1" spans="1:92">
      <c r="A175" s="272">
        <v>137</v>
      </c>
      <c r="C175" s="184">
        <v>45312</v>
      </c>
      <c r="D175" s="128">
        <v>20240000481</v>
      </c>
      <c r="F175" s="1016" t="s">
        <v>4169</v>
      </c>
      <c r="G175" s="128" t="s">
        <v>3740</v>
      </c>
      <c r="H175" s="1016" t="s">
        <v>4170</v>
      </c>
      <c r="I175" s="128" t="s">
        <v>4171</v>
      </c>
      <c r="J175" s="128">
        <v>132.34</v>
      </c>
      <c r="K175" s="128">
        <v>132.34</v>
      </c>
      <c r="L175" s="128">
        <v>5288.44</v>
      </c>
      <c r="M175" s="274">
        <v>699872</v>
      </c>
      <c r="N175" s="218">
        <v>5264</v>
      </c>
      <c r="O175" s="168">
        <v>642084.4</v>
      </c>
      <c r="P175" s="1017" t="s">
        <v>4172</v>
      </c>
      <c r="Q175" s="211">
        <v>45838</v>
      </c>
      <c r="R175" s="218"/>
      <c r="S175" s="219"/>
      <c r="T175" s="272"/>
      <c r="U175" s="219" t="s">
        <v>400</v>
      </c>
      <c r="V175" s="218">
        <v>20000</v>
      </c>
      <c r="W175" s="219" t="s">
        <v>1872</v>
      </c>
      <c r="X175" s="218">
        <f>124000+65872</f>
        <v>189872</v>
      </c>
      <c r="Y175" s="211" t="s">
        <v>2732</v>
      </c>
      <c r="Z175" s="128">
        <v>90000</v>
      </c>
      <c r="AA175" s="179" t="s">
        <v>564</v>
      </c>
      <c r="AB175" s="218">
        <v>400000</v>
      </c>
      <c r="AC175" s="219" t="s">
        <v>4173</v>
      </c>
      <c r="AH175" s="218">
        <f t="shared" si="18"/>
        <v>699872</v>
      </c>
      <c r="AK175" s="179">
        <f t="shared" ref="AK175:AK180" si="27">M175-AH175</f>
        <v>0</v>
      </c>
      <c r="AL175" s="128">
        <v>15739881080</v>
      </c>
      <c r="AM175" s="177"/>
      <c r="AO175" s="128">
        <f t="shared" si="19"/>
        <v>699872</v>
      </c>
      <c r="AP175" s="173">
        <f>0.7%+0.03%+0.12%</f>
        <v>0.0085</v>
      </c>
      <c r="AQ175" s="275">
        <f t="shared" si="20"/>
        <v>0</v>
      </c>
      <c r="AR175" s="218"/>
      <c r="AS175" s="218"/>
      <c r="AT175" s="218"/>
      <c r="AU175" s="218"/>
      <c r="AV175" s="218"/>
      <c r="AW175" s="218"/>
      <c r="AX175" s="218"/>
      <c r="AY175" s="218"/>
      <c r="AZ175" s="218"/>
      <c r="BB175" s="218"/>
      <c r="BE175" s="128">
        <v>299872</v>
      </c>
      <c r="BG175" s="128">
        <v>400000</v>
      </c>
      <c r="CI175" s="128" t="s">
        <v>376</v>
      </c>
      <c r="CJ175" s="128" t="s">
        <v>387</v>
      </c>
      <c r="CK175" s="128" t="s">
        <v>377</v>
      </c>
    </row>
    <row r="176" s="128" customFormat="1" customHeight="1" spans="1:92">
      <c r="A176" s="272">
        <v>138</v>
      </c>
      <c r="B176" s="128"/>
      <c r="C176" s="184">
        <v>45646</v>
      </c>
      <c r="D176" s="128">
        <v>20240007359</v>
      </c>
      <c r="F176" s="1016" t="s">
        <v>4174</v>
      </c>
      <c r="G176" s="177" t="s">
        <v>4175</v>
      </c>
      <c r="H176" s="1016" t="s">
        <v>4176</v>
      </c>
      <c r="I176" s="128" t="s">
        <v>4177</v>
      </c>
      <c r="J176" s="128">
        <v>86.14</v>
      </c>
      <c r="K176" s="128">
        <v>86.14</v>
      </c>
      <c r="L176" s="128">
        <v>5030.35</v>
      </c>
      <c r="M176" s="274">
        <v>433314</v>
      </c>
      <c r="N176" s="218">
        <v>5305</v>
      </c>
      <c r="O176" s="168">
        <v>397535.78</v>
      </c>
      <c r="P176" s="1017" t="s">
        <v>4178</v>
      </c>
      <c r="Q176" s="211">
        <v>45838</v>
      </c>
      <c r="R176" s="218"/>
      <c r="S176" s="219"/>
      <c r="T176" s="272"/>
      <c r="U176" s="219" t="s">
        <v>496</v>
      </c>
      <c r="V176" s="218">
        <f>314+20000</f>
        <v>20314</v>
      </c>
      <c r="W176" s="219" t="s">
        <v>3399</v>
      </c>
      <c r="X176" s="218">
        <v>200000</v>
      </c>
      <c r="Y176" s="219" t="s">
        <v>3414</v>
      </c>
      <c r="Z176" s="218">
        <v>213000</v>
      </c>
      <c r="AA176" s="219" t="s">
        <v>4179</v>
      </c>
      <c r="AB176" s="218"/>
      <c r="AH176" s="218">
        <f t="shared" si="18"/>
        <v>433314</v>
      </c>
      <c r="AK176" s="179">
        <f t="shared" si="27"/>
        <v>0</v>
      </c>
      <c r="AL176" s="128">
        <v>18340309633</v>
      </c>
      <c r="AM176" s="177" t="s">
        <v>3585</v>
      </c>
      <c r="AO176" s="128">
        <f t="shared" si="19"/>
        <v>433314</v>
      </c>
      <c r="AP176" s="173">
        <f>0.6%+0.03%+0.08%+0.03%</f>
        <v>0.0074</v>
      </c>
      <c r="AQ176" s="275">
        <f t="shared" si="20"/>
        <v>0</v>
      </c>
      <c r="AR176" s="218"/>
      <c r="AS176" s="218"/>
      <c r="AT176" s="218"/>
      <c r="AU176" s="218"/>
      <c r="AV176" s="218"/>
      <c r="AW176" s="218"/>
      <c r="AX176" s="218"/>
      <c r="AY176" s="218"/>
      <c r="AZ176" s="218"/>
      <c r="BB176" s="218"/>
      <c r="BQ176" s="128">
        <v>220314</v>
      </c>
      <c r="BR176" s="128">
        <v>213000</v>
      </c>
      <c r="CI176" s="128" t="s">
        <v>376</v>
      </c>
      <c r="CK176" s="128" t="s">
        <v>377</v>
      </c>
    </row>
    <row r="177" s="128" customFormat="1" customHeight="1" spans="1:92">
      <c r="A177" s="272">
        <v>139</v>
      </c>
      <c r="C177" s="184">
        <v>45356</v>
      </c>
      <c r="D177" s="128">
        <v>20240001164</v>
      </c>
      <c r="F177" s="1016" t="s">
        <v>4180</v>
      </c>
      <c r="G177" s="128" t="s">
        <v>3446</v>
      </c>
      <c r="H177" s="1016" t="s">
        <v>4181</v>
      </c>
      <c r="I177" s="128" t="s">
        <v>4182</v>
      </c>
      <c r="J177" s="128">
        <v>126.97</v>
      </c>
      <c r="K177" s="128">
        <v>126.97</v>
      </c>
      <c r="L177" s="128">
        <v>5300</v>
      </c>
      <c r="M177" s="274">
        <v>672941</v>
      </c>
      <c r="N177" s="218">
        <v>5274</v>
      </c>
      <c r="O177" s="168">
        <v>617377.06</v>
      </c>
      <c r="P177" s="1017" t="s">
        <v>4183</v>
      </c>
      <c r="Q177" s="211">
        <v>45838</v>
      </c>
      <c r="R177" s="218"/>
      <c r="S177" s="219"/>
      <c r="T177" s="272"/>
      <c r="U177" s="219" t="s">
        <v>400</v>
      </c>
      <c r="V177" s="218">
        <v>10000</v>
      </c>
      <c r="W177" s="219" t="s">
        <v>1071</v>
      </c>
      <c r="X177" s="218">
        <v>192941</v>
      </c>
      <c r="Y177" s="219" t="s">
        <v>871</v>
      </c>
      <c r="Z177" s="218">
        <v>470000</v>
      </c>
      <c r="AA177" s="128" t="s">
        <v>3905</v>
      </c>
      <c r="AB177" s="218"/>
      <c r="AH177" s="218">
        <f t="shared" si="18"/>
        <v>672941</v>
      </c>
      <c r="AK177" s="179">
        <f t="shared" si="27"/>
        <v>0</v>
      </c>
      <c r="AL177" s="128">
        <v>19916461484</v>
      </c>
      <c r="AM177" s="177"/>
      <c r="AO177" s="128">
        <f t="shared" si="19"/>
        <v>672941</v>
      </c>
      <c r="AP177" s="173">
        <f>0.6%+0.04%+0.14%</f>
        <v>0.0078</v>
      </c>
      <c r="AQ177" s="275">
        <f t="shared" si="20"/>
        <v>0</v>
      </c>
      <c r="AR177" s="218"/>
      <c r="AS177" s="218"/>
      <c r="AT177" s="218"/>
      <c r="AU177" s="218"/>
      <c r="AV177" s="218"/>
      <c r="AW177" s="218"/>
      <c r="AX177" s="218"/>
      <c r="AY177" s="218"/>
      <c r="AZ177" s="218"/>
      <c r="BB177" s="218"/>
      <c r="BG177" s="128">
        <v>672941</v>
      </c>
      <c r="CI177" s="128" t="s">
        <v>376</v>
      </c>
      <c r="CJ177" s="128" t="s">
        <v>387</v>
      </c>
      <c r="CK177" s="128" t="s">
        <v>377</v>
      </c>
    </row>
    <row r="178" s="128" customFormat="1" customHeight="1" spans="1:92">
      <c r="A178" s="272">
        <v>140</v>
      </c>
      <c r="C178" s="184">
        <v>45325</v>
      </c>
      <c r="D178" s="128">
        <v>20240000768</v>
      </c>
      <c r="F178" s="1016" t="s">
        <v>4184</v>
      </c>
      <c r="G178" s="128" t="s">
        <v>4185</v>
      </c>
      <c r="I178" s="128" t="s">
        <v>4186</v>
      </c>
      <c r="J178" s="128">
        <v>132.34</v>
      </c>
      <c r="K178" s="128">
        <v>132.34</v>
      </c>
      <c r="L178" s="128">
        <v>5360</v>
      </c>
      <c r="M178" s="274">
        <v>709343</v>
      </c>
      <c r="N178" s="218">
        <v>5297</v>
      </c>
      <c r="O178" s="168">
        <v>650773.39</v>
      </c>
      <c r="P178" s="1017" t="s">
        <v>4187</v>
      </c>
      <c r="Q178" s="211">
        <v>45838</v>
      </c>
      <c r="R178" s="218"/>
      <c r="S178" s="219"/>
      <c r="T178" s="272"/>
      <c r="U178" s="219" t="s">
        <v>383</v>
      </c>
      <c r="V178" s="218">
        <v>20000</v>
      </c>
      <c r="W178" s="219" t="s">
        <v>564</v>
      </c>
      <c r="X178" s="218">
        <v>94343</v>
      </c>
      <c r="Y178" s="211" t="s">
        <v>4188</v>
      </c>
      <c r="Z178" s="218">
        <v>35000</v>
      </c>
      <c r="AA178" s="219" t="s">
        <v>3898</v>
      </c>
      <c r="AB178" s="218">
        <v>560000</v>
      </c>
      <c r="AC178" s="219" t="s">
        <v>385</v>
      </c>
      <c r="AH178" s="218">
        <f t="shared" si="18"/>
        <v>709343</v>
      </c>
      <c r="AK178" s="179">
        <f t="shared" si="27"/>
        <v>0</v>
      </c>
      <c r="AL178" s="128">
        <v>18299788507</v>
      </c>
      <c r="AM178" s="177"/>
      <c r="AO178" s="128">
        <f t="shared" si="19"/>
        <v>709343</v>
      </c>
      <c r="AP178" s="173">
        <f>0.6%+0.12%</f>
        <v>0.0072</v>
      </c>
      <c r="AQ178" s="275">
        <f t="shared" si="20"/>
        <v>0</v>
      </c>
      <c r="AR178" s="218"/>
      <c r="AS178" s="218"/>
      <c r="AT178" s="218"/>
      <c r="AU178" s="218"/>
      <c r="AV178" s="218"/>
      <c r="AW178" s="218"/>
      <c r="AX178" s="218"/>
      <c r="AY178" s="218"/>
      <c r="AZ178" s="218"/>
      <c r="BB178" s="218"/>
      <c r="BG178" s="128">
        <v>149343</v>
      </c>
      <c r="BH178" s="128">
        <v>560000</v>
      </c>
      <c r="CI178" s="128" t="s">
        <v>376</v>
      </c>
      <c r="CJ178" s="128" t="s">
        <v>387</v>
      </c>
      <c r="CK178" s="128" t="s">
        <v>377</v>
      </c>
    </row>
    <row r="179" s="128" customFormat="1" customHeight="1" spans="1:92">
      <c r="A179" s="272">
        <v>141</v>
      </c>
      <c r="B179" s="128"/>
      <c r="C179" s="184">
        <v>45569</v>
      </c>
      <c r="D179" s="128">
        <v>20240005800</v>
      </c>
      <c r="F179" s="1016" t="s">
        <v>4189</v>
      </c>
      <c r="G179" s="128" t="s">
        <v>4190</v>
      </c>
      <c r="H179" s="1016" t="s">
        <v>4191</v>
      </c>
      <c r="I179" s="128" t="s">
        <v>4192</v>
      </c>
      <c r="J179" s="128">
        <v>86.14</v>
      </c>
      <c r="K179" s="128">
        <v>86.14</v>
      </c>
      <c r="L179" s="128">
        <v>5224.05</v>
      </c>
      <c r="M179" s="274">
        <v>450000</v>
      </c>
      <c r="N179" s="218">
        <v>5224.05</v>
      </c>
      <c r="O179" s="168">
        <v>412844.04</v>
      </c>
      <c r="P179" s="1017" t="s">
        <v>4193</v>
      </c>
      <c r="Q179" s="211">
        <v>45838</v>
      </c>
      <c r="R179" s="218"/>
      <c r="S179" s="219"/>
      <c r="T179" s="272"/>
      <c r="U179" s="219" t="s">
        <v>772</v>
      </c>
      <c r="V179" s="218">
        <v>10000</v>
      </c>
      <c r="W179" s="219">
        <v>45559</v>
      </c>
      <c r="X179" s="218">
        <v>71000</v>
      </c>
      <c r="Y179" s="219" t="s">
        <v>613</v>
      </c>
      <c r="Z179" s="128">
        <v>219000</v>
      </c>
      <c r="AA179" s="179" t="s">
        <v>4194</v>
      </c>
      <c r="AB179" s="218">
        <v>150000</v>
      </c>
      <c r="AC179" s="219" t="s">
        <v>498</v>
      </c>
      <c r="AH179" s="218">
        <f t="shared" si="18"/>
        <v>450000</v>
      </c>
      <c r="AK179" s="179">
        <f t="shared" si="27"/>
        <v>0</v>
      </c>
      <c r="AL179" s="128">
        <v>13779243720</v>
      </c>
      <c r="AM179" s="177" t="s">
        <v>3936</v>
      </c>
      <c r="AO179" s="128">
        <f t="shared" si="19"/>
        <v>450000</v>
      </c>
      <c r="AP179" s="173">
        <f>0.5%+0.04%+0.1%</f>
        <v>0.0064</v>
      </c>
      <c r="AQ179" s="275">
        <f t="shared" si="20"/>
        <v>0</v>
      </c>
      <c r="AR179" s="218"/>
      <c r="AS179" s="218"/>
      <c r="AT179" s="218"/>
      <c r="AU179" s="218"/>
      <c r="AV179" s="218"/>
      <c r="AW179" s="218"/>
      <c r="AX179" s="218"/>
      <c r="AY179" s="218"/>
      <c r="AZ179" s="218"/>
      <c r="BB179" s="218"/>
      <c r="BN179" s="128">
        <v>300000</v>
      </c>
      <c r="BO179" s="128">
        <v>150000</v>
      </c>
      <c r="CI179" s="128" t="s">
        <v>376</v>
      </c>
      <c r="CK179" s="128" t="s">
        <v>377</v>
      </c>
    </row>
    <row r="180" s="128" customFormat="1" customHeight="1" spans="1:92">
      <c r="A180" s="272">
        <v>142</v>
      </c>
      <c r="C180" s="184">
        <v>45380</v>
      </c>
      <c r="D180" s="128">
        <v>20240001739</v>
      </c>
      <c r="F180" s="1016" t="s">
        <v>4195</v>
      </c>
      <c r="G180" s="128" t="s">
        <v>4196</v>
      </c>
      <c r="H180" s="1016" t="s">
        <v>4197</v>
      </c>
      <c r="I180" s="128" t="s">
        <v>4198</v>
      </c>
      <c r="J180" s="128">
        <v>126.97</v>
      </c>
      <c r="K180" s="128">
        <v>126.97</v>
      </c>
      <c r="L180" s="128">
        <v>5400</v>
      </c>
      <c r="M180" s="274">
        <v>685638</v>
      </c>
      <c r="N180" s="218">
        <v>5307</v>
      </c>
      <c r="O180" s="168">
        <v>629025.69</v>
      </c>
      <c r="P180" s="1017" t="s">
        <v>4199</v>
      </c>
      <c r="Q180" s="211">
        <v>45838</v>
      </c>
      <c r="R180" s="218"/>
      <c r="S180" s="219"/>
      <c r="T180" s="272"/>
      <c r="U180" s="219" t="s">
        <v>383</v>
      </c>
      <c r="V180" s="218">
        <v>20000</v>
      </c>
      <c r="W180" s="219" t="s">
        <v>4200</v>
      </c>
      <c r="X180" s="218">
        <f>170000+115638</f>
        <v>285638</v>
      </c>
      <c r="Y180" s="211" t="s">
        <v>643</v>
      </c>
      <c r="Z180" s="218">
        <v>380000</v>
      </c>
      <c r="AA180" s="219">
        <v>45537</v>
      </c>
      <c r="AB180" s="218"/>
      <c r="AH180" s="218">
        <f t="shared" si="18"/>
        <v>685638</v>
      </c>
      <c r="AK180" s="179">
        <f t="shared" si="27"/>
        <v>0</v>
      </c>
      <c r="AL180" s="128">
        <v>19839627526</v>
      </c>
      <c r="AM180" s="177"/>
      <c r="AO180" s="128">
        <f t="shared" si="19"/>
        <v>685638</v>
      </c>
      <c r="AP180" s="173">
        <f>0.6%+0.12%</f>
        <v>0.0072</v>
      </c>
      <c r="AQ180" s="275">
        <f t="shared" si="20"/>
        <v>0</v>
      </c>
      <c r="AR180" s="218"/>
      <c r="AS180" s="218"/>
      <c r="AT180" s="218"/>
      <c r="AU180" s="218"/>
      <c r="AV180" s="218"/>
      <c r="AW180" s="218"/>
      <c r="AX180" s="218"/>
      <c r="AY180" s="218"/>
      <c r="AZ180" s="218"/>
      <c r="BB180" s="218"/>
      <c r="BH180" s="128">
        <v>305638</v>
      </c>
      <c r="BM180" s="128">
        <v>380000</v>
      </c>
      <c r="CI180" s="128" t="s">
        <v>376</v>
      </c>
      <c r="CK180" s="128" t="s">
        <v>377</v>
      </c>
    </row>
    <row r="181" s="128" customFormat="1" customHeight="1" spans="1:92">
      <c r="A181" s="272">
        <v>143</v>
      </c>
      <c r="C181" s="184">
        <v>45359</v>
      </c>
      <c r="D181" s="128">
        <v>20240001229</v>
      </c>
      <c r="F181" s="1016" t="s">
        <v>4201</v>
      </c>
      <c r="G181" s="128" t="s">
        <v>4202</v>
      </c>
      <c r="H181" s="1016" t="s">
        <v>4203</v>
      </c>
      <c r="I181" s="128" t="s">
        <v>4204</v>
      </c>
      <c r="J181" s="128">
        <v>132.34</v>
      </c>
      <c r="K181" s="128">
        <v>132.34</v>
      </c>
      <c r="L181" s="128">
        <v>5400</v>
      </c>
      <c r="M181" s="274">
        <v>714636</v>
      </c>
      <c r="N181" s="218">
        <v>5334</v>
      </c>
      <c r="O181" s="168">
        <v>655629.36</v>
      </c>
      <c r="P181" s="1017" t="s">
        <v>4205</v>
      </c>
      <c r="Q181" s="211">
        <v>45838</v>
      </c>
      <c r="R181" s="218"/>
      <c r="S181" s="219"/>
      <c r="T181" s="272"/>
      <c r="U181" s="219" t="s">
        <v>662</v>
      </c>
      <c r="V181" s="218">
        <v>20000</v>
      </c>
      <c r="W181" s="219" t="s">
        <v>3904</v>
      </c>
      <c r="X181" s="218">
        <v>224636</v>
      </c>
      <c r="Y181" s="211" t="s">
        <v>3983</v>
      </c>
      <c r="Z181" s="128">
        <v>470000</v>
      </c>
      <c r="AA181" s="179" t="s">
        <v>4206</v>
      </c>
      <c r="AB181" s="218"/>
      <c r="AH181" s="218">
        <f t="shared" si="18"/>
        <v>714636</v>
      </c>
      <c r="AK181" s="179">
        <f t="shared" ref="AK181:AK190" si="28">M181-AH181</f>
        <v>0</v>
      </c>
      <c r="AL181" s="128">
        <v>18909966805</v>
      </c>
      <c r="AM181" s="177"/>
      <c r="AO181" s="128">
        <f t="shared" si="19"/>
        <v>714636</v>
      </c>
      <c r="AP181" s="173">
        <f>0.4%+0.12%</f>
        <v>0.0052</v>
      </c>
      <c r="AQ181" s="275">
        <f t="shared" si="20"/>
        <v>0</v>
      </c>
      <c r="AR181" s="218"/>
      <c r="AS181" s="218"/>
      <c r="AT181" s="218"/>
      <c r="AU181" s="218"/>
      <c r="AV181" s="218"/>
      <c r="AW181" s="218"/>
      <c r="AX181" s="218"/>
      <c r="AY181" s="218"/>
      <c r="AZ181" s="218"/>
      <c r="BB181" s="218"/>
      <c r="BG181" s="128">
        <v>714636</v>
      </c>
      <c r="CI181" s="128" t="s">
        <v>376</v>
      </c>
      <c r="CJ181" s="128" t="s">
        <v>387</v>
      </c>
      <c r="CK181" s="128" t="s">
        <v>377</v>
      </c>
    </row>
    <row r="182" s="128" customFormat="1" customHeight="1" spans="1:92">
      <c r="A182" s="272">
        <v>144</v>
      </c>
      <c r="C182" s="184">
        <v>45639</v>
      </c>
      <c r="D182" s="128">
        <v>20240007158</v>
      </c>
      <c r="E182" s="177" t="s">
        <v>4207</v>
      </c>
      <c r="F182" s="128" t="s">
        <v>4208</v>
      </c>
      <c r="G182" s="177" t="s">
        <v>4209</v>
      </c>
      <c r="I182" s="128" t="s">
        <v>4210</v>
      </c>
      <c r="J182" s="128">
        <v>86.14</v>
      </c>
      <c r="K182" s="128">
        <v>86.14</v>
      </c>
      <c r="L182" s="128">
        <f>M182/K182</f>
        <v>5500</v>
      </c>
      <c r="M182" s="274">
        <v>473770</v>
      </c>
      <c r="N182" s="218">
        <v>5367</v>
      </c>
      <c r="O182" s="168">
        <v>434651.38</v>
      </c>
      <c r="P182" s="1017" t="s">
        <v>4211</v>
      </c>
      <c r="Q182" s="211">
        <v>45838</v>
      </c>
      <c r="R182" s="218"/>
      <c r="S182" s="219"/>
      <c r="T182" s="272"/>
      <c r="U182" s="219"/>
      <c r="V182" s="218">
        <f>192133+204238+77399</f>
        <v>473770</v>
      </c>
      <c r="W182" s="219" t="s">
        <v>4212</v>
      </c>
      <c r="X182" s="218"/>
      <c r="Y182" s="211"/>
      <c r="AA182" s="179"/>
      <c r="AB182" s="218"/>
      <c r="AH182" s="218">
        <f t="shared" si="18"/>
        <v>473770</v>
      </c>
      <c r="AK182" s="179">
        <f t="shared" si="28"/>
        <v>0</v>
      </c>
      <c r="AM182" s="177"/>
      <c r="AO182" s="128">
        <f t="shared" si="19"/>
        <v>0</v>
      </c>
      <c r="AP182" s="173"/>
      <c r="AQ182" s="275">
        <f t="shared" si="20"/>
        <v>0</v>
      </c>
      <c r="AR182" s="218"/>
      <c r="AS182" s="218"/>
      <c r="AT182" s="218"/>
      <c r="AU182" s="218"/>
      <c r="AV182" s="218"/>
      <c r="AW182" s="218"/>
      <c r="AX182" s="218"/>
      <c r="AY182" s="218"/>
      <c r="AZ182" s="218"/>
      <c r="BB182" s="218"/>
      <c r="CI182" s="128" t="s">
        <v>376</v>
      </c>
      <c r="CK182" s="128" t="s">
        <v>377</v>
      </c>
    </row>
    <row r="183" s="128" customFormat="1" customHeight="1" spans="1:92">
      <c r="A183" s="272">
        <v>145</v>
      </c>
      <c r="C183" s="285">
        <v>45294</v>
      </c>
      <c r="D183" s="128">
        <v>20240000056</v>
      </c>
      <c r="F183" s="128" t="s">
        <v>4213</v>
      </c>
      <c r="G183" s="128" t="s">
        <v>4214</v>
      </c>
      <c r="H183" s="1016" t="s">
        <v>4215</v>
      </c>
      <c r="I183" s="128" t="s">
        <v>4216</v>
      </c>
      <c r="J183" s="128">
        <v>126.97</v>
      </c>
      <c r="K183" s="128">
        <v>126.97</v>
      </c>
      <c r="L183" s="128">
        <v>5444</v>
      </c>
      <c r="M183" s="274">
        <v>691225</v>
      </c>
      <c r="N183" s="218">
        <v>5344</v>
      </c>
      <c r="O183" s="168">
        <v>634151.38</v>
      </c>
      <c r="P183" s="1017" t="s">
        <v>4217</v>
      </c>
      <c r="Q183" s="211">
        <v>45838</v>
      </c>
      <c r="R183" s="218"/>
      <c r="S183" s="278"/>
      <c r="T183" s="1018" t="s">
        <v>4218</v>
      </c>
      <c r="U183" s="219" t="s">
        <v>400</v>
      </c>
      <c r="V183" s="218">
        <v>2000</v>
      </c>
      <c r="W183" s="278" t="s">
        <v>2831</v>
      </c>
      <c r="X183" s="218">
        <v>18000</v>
      </c>
      <c r="Y183" s="211" t="s">
        <v>630</v>
      </c>
      <c r="Z183" s="218">
        <f>60000+111225</f>
        <v>171225</v>
      </c>
      <c r="AA183" s="278" t="s">
        <v>3887</v>
      </c>
      <c r="AB183" s="218">
        <v>500000</v>
      </c>
      <c r="AC183" s="278" t="s">
        <v>3983</v>
      </c>
      <c r="AH183" s="218">
        <f t="shared" si="18"/>
        <v>691225</v>
      </c>
      <c r="AK183" s="179">
        <f t="shared" si="28"/>
        <v>0</v>
      </c>
      <c r="AL183" s="128">
        <v>19944270256</v>
      </c>
      <c r="AM183" s="177"/>
      <c r="AO183" s="128">
        <f t="shared" si="19"/>
        <v>691225</v>
      </c>
      <c r="AP183" s="173">
        <f>0.5%+0.02%+0.08%</f>
        <v>0.006</v>
      </c>
      <c r="AQ183" s="275">
        <f t="shared" si="20"/>
        <v>0</v>
      </c>
      <c r="AR183" s="218"/>
      <c r="AS183" s="218"/>
      <c r="AT183" s="218"/>
      <c r="AU183" s="218"/>
      <c r="AV183" s="218"/>
      <c r="AW183" s="218"/>
      <c r="AX183" s="218"/>
      <c r="AY183" s="218"/>
      <c r="AZ183" s="218"/>
      <c r="BB183" s="218"/>
      <c r="BE183" s="128">
        <v>191225</v>
      </c>
      <c r="BG183" s="128">
        <v>500000</v>
      </c>
      <c r="CI183" s="128" t="s">
        <v>376</v>
      </c>
      <c r="CJ183" s="128" t="s">
        <v>387</v>
      </c>
      <c r="CK183" s="128" t="s">
        <v>377</v>
      </c>
    </row>
    <row r="184" s="128" customFormat="1" customHeight="1" spans="1:92">
      <c r="A184" s="272">
        <v>146</v>
      </c>
      <c r="C184" s="184">
        <v>45395</v>
      </c>
      <c r="D184" s="128">
        <v>20240002044</v>
      </c>
      <c r="F184" s="1016" t="s">
        <v>4219</v>
      </c>
      <c r="G184" s="128" t="s">
        <v>4220</v>
      </c>
      <c r="H184" s="1016" t="s">
        <v>4221</v>
      </c>
      <c r="I184" s="128" t="s">
        <v>4222</v>
      </c>
      <c r="J184" s="128">
        <v>132.34</v>
      </c>
      <c r="K184" s="128">
        <v>132.34</v>
      </c>
      <c r="L184" s="128">
        <v>5380.08</v>
      </c>
      <c r="M184" s="274">
        <v>712000</v>
      </c>
      <c r="N184" s="218">
        <v>5362</v>
      </c>
      <c r="O184" s="168">
        <v>653211.01</v>
      </c>
      <c r="P184" s="1017" t="s">
        <v>4223</v>
      </c>
      <c r="Q184" s="211">
        <v>45838</v>
      </c>
      <c r="R184" s="218"/>
      <c r="S184" s="219"/>
      <c r="T184" s="272"/>
      <c r="U184" s="219" t="s">
        <v>383</v>
      </c>
      <c r="V184" s="218">
        <v>20000</v>
      </c>
      <c r="W184" s="219" t="s">
        <v>670</v>
      </c>
      <c r="X184" s="218">
        <v>692000</v>
      </c>
      <c r="Y184" s="211" t="s">
        <v>4224</v>
      </c>
      <c r="AA184" s="179"/>
      <c r="AB184" s="218"/>
      <c r="AH184" s="218">
        <f t="shared" si="18"/>
        <v>712000</v>
      </c>
      <c r="AK184" s="179">
        <f t="shared" si="28"/>
        <v>0</v>
      </c>
      <c r="AL184" s="128">
        <v>13119072854</v>
      </c>
      <c r="AM184" s="177"/>
      <c r="AO184" s="128">
        <f t="shared" si="19"/>
        <v>712000</v>
      </c>
      <c r="AP184" s="173">
        <f>0.6%+0.12%</f>
        <v>0.0072</v>
      </c>
      <c r="AQ184" s="275">
        <f t="shared" si="20"/>
        <v>0</v>
      </c>
      <c r="AR184" s="218"/>
      <c r="AS184" s="218"/>
      <c r="AT184" s="218"/>
      <c r="AU184" s="218"/>
      <c r="AV184" s="218"/>
      <c r="AW184" s="218"/>
      <c r="AX184" s="218"/>
      <c r="AY184" s="218"/>
      <c r="AZ184" s="218"/>
      <c r="BB184" s="218"/>
      <c r="BH184" s="128">
        <v>712000</v>
      </c>
      <c r="CI184" s="128" t="s">
        <v>376</v>
      </c>
      <c r="CJ184" s="128" t="s">
        <v>387</v>
      </c>
      <c r="CK184" s="128" t="s">
        <v>377</v>
      </c>
    </row>
    <row r="185" s="128" customFormat="1" customHeight="1" spans="1:92">
      <c r="A185" s="272">
        <v>147</v>
      </c>
      <c r="B185" s="128"/>
      <c r="C185" s="184">
        <v>45640</v>
      </c>
      <c r="D185" s="128">
        <v>20240007184</v>
      </c>
      <c r="F185" s="1016" t="s">
        <v>4225</v>
      </c>
      <c r="G185" s="128" t="s">
        <v>4226</v>
      </c>
      <c r="I185" s="128" t="s">
        <v>4227</v>
      </c>
      <c r="J185" s="128">
        <v>86.14</v>
      </c>
      <c r="K185" s="128">
        <v>86.14</v>
      </c>
      <c r="L185" s="128">
        <v>5275.86</v>
      </c>
      <c r="M185" s="274">
        <v>454463</v>
      </c>
      <c r="N185" s="218">
        <v>5382</v>
      </c>
      <c r="O185" s="168">
        <v>416938.53</v>
      </c>
      <c r="P185" s="1017" t="s">
        <v>4228</v>
      </c>
      <c r="Q185" s="211">
        <v>45838</v>
      </c>
      <c r="R185" s="218"/>
      <c r="S185" s="219"/>
      <c r="T185" s="272"/>
      <c r="U185" s="219" t="s">
        <v>373</v>
      </c>
      <c r="V185" s="218">
        <f>20000+10000</f>
        <v>30000</v>
      </c>
      <c r="W185" s="219" t="s">
        <v>2909</v>
      </c>
      <c r="X185" s="218">
        <v>64463</v>
      </c>
      <c r="Y185" s="211" t="s">
        <v>4229</v>
      </c>
      <c r="Z185" s="218">
        <v>360000</v>
      </c>
      <c r="AA185" s="219" t="s">
        <v>4230</v>
      </c>
      <c r="AB185" s="218"/>
      <c r="AH185" s="218">
        <f t="shared" si="18"/>
        <v>454463</v>
      </c>
      <c r="AK185" s="179">
        <f t="shared" si="28"/>
        <v>0</v>
      </c>
      <c r="AM185" s="177" t="s">
        <v>3402</v>
      </c>
      <c r="AO185" s="128">
        <f t="shared" si="19"/>
        <v>454463</v>
      </c>
      <c r="AP185" s="173">
        <f>0.5%+0.02%+0.12%+0.03%</f>
        <v>0.0067</v>
      </c>
      <c r="AQ185" s="275">
        <f t="shared" si="20"/>
        <v>0</v>
      </c>
      <c r="AR185" s="218"/>
      <c r="AS185" s="218"/>
      <c r="AT185" s="218"/>
      <c r="AU185" s="218"/>
      <c r="AV185" s="218"/>
      <c r="AW185" s="218"/>
      <c r="AX185" s="218"/>
      <c r="AY185" s="218"/>
      <c r="AZ185" s="218"/>
      <c r="BB185" s="218"/>
      <c r="BP185" s="128">
        <v>94463</v>
      </c>
      <c r="BQ185" s="128">
        <v>360000</v>
      </c>
      <c r="CI185" s="128" t="s">
        <v>376</v>
      </c>
      <c r="CK185" s="128" t="s">
        <v>377</v>
      </c>
    </row>
    <row r="186" s="128" customFormat="1" customHeight="1" spans="1:92">
      <c r="A186" s="272">
        <v>148</v>
      </c>
      <c r="C186" s="184">
        <v>45381</v>
      </c>
      <c r="D186" s="128">
        <v>20240001749</v>
      </c>
      <c r="F186" s="128" t="s">
        <v>4231</v>
      </c>
      <c r="G186" s="128" t="s">
        <v>4232</v>
      </c>
      <c r="H186" s="1016" t="s">
        <v>4233</v>
      </c>
      <c r="I186" s="128" t="s">
        <v>4234</v>
      </c>
      <c r="J186" s="128">
        <v>126.97</v>
      </c>
      <c r="K186" s="128">
        <v>126.97</v>
      </c>
      <c r="L186" s="128">
        <v>5423</v>
      </c>
      <c r="M186" s="274">
        <v>688663</v>
      </c>
      <c r="N186" s="218">
        <v>5372</v>
      </c>
      <c r="O186" s="168">
        <v>631800.92</v>
      </c>
      <c r="P186" s="1017" t="s">
        <v>4235</v>
      </c>
      <c r="Q186" s="211">
        <v>45845</v>
      </c>
      <c r="R186" s="218"/>
      <c r="S186" s="219"/>
      <c r="T186" s="272"/>
      <c r="U186" s="219" t="s">
        <v>2278</v>
      </c>
      <c r="V186" s="218">
        <v>10000</v>
      </c>
      <c r="W186" s="219" t="s">
        <v>4050</v>
      </c>
      <c r="X186" s="218">
        <v>128663</v>
      </c>
      <c r="Y186" s="211" t="s">
        <v>411</v>
      </c>
      <c r="Z186" s="218">
        <v>550000</v>
      </c>
      <c r="AA186" s="219" t="s">
        <v>543</v>
      </c>
      <c r="AB186" s="218"/>
      <c r="AH186" s="218">
        <f t="shared" si="18"/>
        <v>688663</v>
      </c>
      <c r="AK186" s="179">
        <f t="shared" si="28"/>
        <v>0</v>
      </c>
      <c r="AL186" s="128">
        <v>17604863423</v>
      </c>
      <c r="AM186" s="177"/>
      <c r="AO186" s="128">
        <f t="shared" si="19"/>
        <v>688663</v>
      </c>
      <c r="AP186" s="173">
        <f>0.5%+0.04%+0.12%</f>
        <v>0.0066</v>
      </c>
      <c r="AQ186" s="275">
        <f t="shared" si="20"/>
        <v>0</v>
      </c>
      <c r="AR186" s="218"/>
      <c r="AS186" s="218"/>
      <c r="AT186" s="218"/>
      <c r="AU186" s="218"/>
      <c r="AV186" s="218"/>
      <c r="AW186" s="218"/>
      <c r="AX186" s="218"/>
      <c r="AY186" s="218"/>
      <c r="AZ186" s="218"/>
      <c r="BB186" s="218"/>
      <c r="BG186" s="128">
        <v>138663</v>
      </c>
      <c r="BJ186" s="128">
        <v>550000</v>
      </c>
      <c r="CI186" s="128" t="s">
        <v>376</v>
      </c>
      <c r="CJ186" s="128" t="s">
        <v>387</v>
      </c>
      <c r="CK186" s="128" t="s">
        <v>377</v>
      </c>
      <c r="CN186" s="128">
        <f>CL186-CM186</f>
        <v>0</v>
      </c>
    </row>
    <row r="187" s="128" customFormat="1" customHeight="1" spans="1:92">
      <c r="A187" s="272">
        <v>149</v>
      </c>
      <c r="C187" s="184">
        <v>45300</v>
      </c>
      <c r="D187" s="128">
        <v>20240000205</v>
      </c>
      <c r="F187" s="1016" t="s">
        <v>4236</v>
      </c>
      <c r="G187" s="128" t="s">
        <v>3751</v>
      </c>
      <c r="H187" s="1016" t="s">
        <v>4237</v>
      </c>
      <c r="I187" s="128" t="s">
        <v>4238</v>
      </c>
      <c r="J187" s="128">
        <v>132.34</v>
      </c>
      <c r="K187" s="128">
        <v>132.34</v>
      </c>
      <c r="L187" s="128">
        <v>5487</v>
      </c>
      <c r="M187" s="274">
        <v>726150</v>
      </c>
      <c r="N187" s="218">
        <v>5387</v>
      </c>
      <c r="O187" s="168">
        <v>666192.66</v>
      </c>
      <c r="P187" s="1017" t="s">
        <v>4239</v>
      </c>
      <c r="Q187" s="211">
        <v>45845</v>
      </c>
      <c r="R187" s="218"/>
      <c r="S187" s="219"/>
      <c r="T187" s="272"/>
      <c r="U187" s="219" t="s">
        <v>662</v>
      </c>
      <c r="V187" s="218">
        <v>20000</v>
      </c>
      <c r="W187" s="219" t="s">
        <v>726</v>
      </c>
      <c r="X187" s="218">
        <v>706150</v>
      </c>
      <c r="Y187" s="211" t="s">
        <v>740</v>
      </c>
      <c r="AA187" s="179"/>
      <c r="AB187" s="218"/>
      <c r="AH187" s="218">
        <f t="shared" si="18"/>
        <v>726150</v>
      </c>
      <c r="AK187" s="179">
        <f t="shared" si="28"/>
        <v>0</v>
      </c>
      <c r="AL187" s="128">
        <v>18599361936</v>
      </c>
      <c r="AM187" s="177"/>
      <c r="AO187" s="128">
        <f t="shared" si="19"/>
        <v>726150</v>
      </c>
      <c r="AP187" s="173">
        <f>0.7%+0.12%</f>
        <v>0.0082</v>
      </c>
      <c r="AQ187" s="275">
        <f t="shared" si="20"/>
        <v>0</v>
      </c>
      <c r="AR187" s="218"/>
      <c r="AS187" s="218"/>
      <c r="AT187" s="218"/>
      <c r="AU187" s="218"/>
      <c r="AV187" s="218"/>
      <c r="AW187" s="218"/>
      <c r="AX187" s="218"/>
      <c r="AY187" s="218"/>
      <c r="AZ187" s="218"/>
      <c r="BB187" s="218"/>
      <c r="BE187" s="128">
        <v>726150</v>
      </c>
      <c r="CI187" s="128" t="s">
        <v>376</v>
      </c>
      <c r="CJ187" s="128" t="s">
        <v>387</v>
      </c>
      <c r="CK187" s="128" t="s">
        <v>377</v>
      </c>
    </row>
    <row r="188" s="128" customFormat="1" customHeight="1" spans="1:92">
      <c r="A188" s="272">
        <v>150</v>
      </c>
      <c r="B188" s="128"/>
      <c r="C188" s="184">
        <v>45778</v>
      </c>
      <c r="D188" s="128">
        <v>20250002344</v>
      </c>
      <c r="F188" s="1016" t="s">
        <v>4240</v>
      </c>
      <c r="G188" s="128" t="s">
        <v>4241</v>
      </c>
      <c r="I188" s="128" t="s">
        <v>4242</v>
      </c>
      <c r="J188" s="128">
        <v>86.14</v>
      </c>
      <c r="K188" s="128">
        <v>86.14</v>
      </c>
      <c r="L188" s="128">
        <v>5374.97</v>
      </c>
      <c r="M188" s="274">
        <v>463000</v>
      </c>
      <c r="N188" s="218">
        <v>5374.97</v>
      </c>
      <c r="O188" s="168">
        <v>424770.64</v>
      </c>
      <c r="P188" s="287" t="s">
        <v>4243</v>
      </c>
      <c r="Q188" s="211">
        <v>45800</v>
      </c>
      <c r="R188" s="218"/>
      <c r="S188" s="219"/>
      <c r="T188" s="272"/>
      <c r="U188" s="219" t="s">
        <v>807</v>
      </c>
      <c r="V188" s="218">
        <v>5000</v>
      </c>
      <c r="W188" s="219" t="s">
        <v>4244</v>
      </c>
      <c r="X188" s="218">
        <v>10000</v>
      </c>
      <c r="Y188" s="211" t="s">
        <v>4245</v>
      </c>
      <c r="Z188" s="128">
        <v>55000</v>
      </c>
      <c r="AA188" s="179" t="s">
        <v>4246</v>
      </c>
      <c r="AB188" s="218">
        <v>393000</v>
      </c>
      <c r="AC188" s="219" t="s">
        <v>3461</v>
      </c>
      <c r="AH188" s="218">
        <f t="shared" si="18"/>
        <v>463000</v>
      </c>
      <c r="AK188" s="179">
        <f t="shared" si="28"/>
        <v>0</v>
      </c>
      <c r="AL188" s="128">
        <v>13072010331</v>
      </c>
      <c r="AM188" s="177" t="s">
        <v>3640</v>
      </c>
      <c r="AO188" s="128">
        <f t="shared" si="19"/>
        <v>463000</v>
      </c>
      <c r="AP188" s="173">
        <f>0.4%+0.08%+0.03%</f>
        <v>0.0051</v>
      </c>
      <c r="AQ188" s="275">
        <f t="shared" si="20"/>
        <v>0</v>
      </c>
      <c r="AR188" s="218"/>
      <c r="AS188" s="218"/>
      <c r="AT188" s="218"/>
      <c r="AU188" s="218"/>
      <c r="AV188" s="218"/>
      <c r="AW188" s="218"/>
      <c r="AX188" s="218"/>
      <c r="AY188" s="218"/>
      <c r="AZ188" s="218"/>
      <c r="BB188" s="218"/>
      <c r="BU188" s="128">
        <v>463000</v>
      </c>
      <c r="CI188" s="128" t="s">
        <v>376</v>
      </c>
      <c r="CK188" s="128" t="s">
        <v>377</v>
      </c>
    </row>
    <row r="189" s="128" customFormat="1" customHeight="1" spans="1:92">
      <c r="A189" s="272">
        <v>151</v>
      </c>
      <c r="C189" s="184">
        <v>45383</v>
      </c>
      <c r="D189" s="128">
        <v>20240001791</v>
      </c>
      <c r="F189" s="1016" t="s">
        <v>4247</v>
      </c>
      <c r="G189" s="128" t="s">
        <v>4248</v>
      </c>
      <c r="H189" s="1016" t="s">
        <v>4249</v>
      </c>
      <c r="I189" s="128" t="s">
        <v>4250</v>
      </c>
      <c r="J189" s="128">
        <v>126.97</v>
      </c>
      <c r="K189" s="128">
        <v>126.97</v>
      </c>
      <c r="L189" s="128">
        <v>5497</v>
      </c>
      <c r="M189" s="274">
        <v>698000</v>
      </c>
      <c r="N189" s="218">
        <v>5397</v>
      </c>
      <c r="O189" s="168">
        <v>640366.97</v>
      </c>
      <c r="P189" s="1017" t="s">
        <v>4251</v>
      </c>
      <c r="Q189" s="211">
        <v>45845</v>
      </c>
      <c r="R189" s="218"/>
      <c r="S189" s="219"/>
      <c r="T189" s="272"/>
      <c r="U189" s="219" t="s">
        <v>393</v>
      </c>
      <c r="V189" s="218">
        <v>20000</v>
      </c>
      <c r="W189" s="219" t="s">
        <v>670</v>
      </c>
      <c r="X189" s="218">
        <v>120000</v>
      </c>
      <c r="Y189" s="211" t="s">
        <v>670</v>
      </c>
      <c r="Z189" s="128">
        <v>558000</v>
      </c>
      <c r="AA189" s="179" t="s">
        <v>3806</v>
      </c>
      <c r="AB189" s="218"/>
      <c r="AH189" s="218">
        <f t="shared" si="18"/>
        <v>698000</v>
      </c>
      <c r="AK189" s="179">
        <f t="shared" si="28"/>
        <v>0</v>
      </c>
      <c r="AL189" s="128">
        <v>18510342124</v>
      </c>
      <c r="AM189" s="177"/>
      <c r="AO189" s="128">
        <f t="shared" si="19"/>
        <v>698000</v>
      </c>
      <c r="AP189" s="173">
        <f>0.7%+0.05%+0.12%</f>
        <v>0.0087</v>
      </c>
      <c r="AQ189" s="275">
        <f t="shared" si="20"/>
        <v>0</v>
      </c>
      <c r="AR189" s="218"/>
      <c r="AS189" s="218"/>
      <c r="AT189" s="218"/>
      <c r="AU189" s="218"/>
      <c r="AV189" s="218"/>
      <c r="AW189" s="218"/>
      <c r="AX189" s="218"/>
      <c r="AY189" s="218"/>
      <c r="AZ189" s="218"/>
      <c r="BB189" s="218"/>
      <c r="BH189" s="128">
        <v>698000</v>
      </c>
      <c r="CI189" s="128" t="s">
        <v>376</v>
      </c>
      <c r="CJ189" s="128" t="s">
        <v>387</v>
      </c>
      <c r="CK189" s="128" t="s">
        <v>377</v>
      </c>
    </row>
    <row r="190" s="128" customFormat="1" ht="30" customHeight="1" spans="1:92">
      <c r="A190" s="272">
        <v>152</v>
      </c>
      <c r="C190" s="184">
        <v>45569</v>
      </c>
      <c r="D190" s="128">
        <v>20240005820</v>
      </c>
      <c r="F190" s="1016" t="s">
        <v>4252</v>
      </c>
      <c r="G190" s="177" t="s">
        <v>4253</v>
      </c>
      <c r="H190" s="1019" t="s">
        <v>4254</v>
      </c>
      <c r="I190" s="128" t="s">
        <v>4255</v>
      </c>
      <c r="J190" s="128">
        <v>132.34</v>
      </c>
      <c r="K190" s="128">
        <v>132.34</v>
      </c>
      <c r="L190" s="179">
        <f>M190/K190</f>
        <v>5402.75049115913</v>
      </c>
      <c r="M190" s="274">
        <v>715000</v>
      </c>
      <c r="N190" s="218">
        <v>5402.75</v>
      </c>
      <c r="O190" s="168">
        <v>655963.3</v>
      </c>
      <c r="P190" s="1017" t="s">
        <v>4256</v>
      </c>
      <c r="Q190" s="211">
        <v>45845</v>
      </c>
      <c r="R190" s="218"/>
      <c r="S190" s="278"/>
      <c r="T190" s="284"/>
      <c r="U190" s="219" t="s">
        <v>393</v>
      </c>
      <c r="V190" s="218">
        <v>20000</v>
      </c>
      <c r="W190" s="278" t="s">
        <v>3390</v>
      </c>
      <c r="X190" s="218">
        <v>113000</v>
      </c>
      <c r="Y190" s="278" t="s">
        <v>613</v>
      </c>
      <c r="Z190" s="218">
        <v>572000</v>
      </c>
      <c r="AA190" s="278" t="s">
        <v>507</v>
      </c>
      <c r="AB190" s="218">
        <v>10000</v>
      </c>
      <c r="AC190" s="278" t="s">
        <v>621</v>
      </c>
      <c r="AH190" s="218">
        <f t="shared" si="18"/>
        <v>715000</v>
      </c>
      <c r="AK190" s="179">
        <f t="shared" si="28"/>
        <v>0</v>
      </c>
      <c r="AL190" s="128">
        <v>15090288289</v>
      </c>
      <c r="AM190" s="177"/>
      <c r="AN190" s="279"/>
      <c r="AO190" s="128">
        <f t="shared" si="19"/>
        <v>715000</v>
      </c>
      <c r="AP190" s="173">
        <f>0.4%+0.02%+0.08%</f>
        <v>0.005</v>
      </c>
      <c r="AQ190" s="275">
        <f t="shared" si="20"/>
        <v>0</v>
      </c>
      <c r="AR190" s="218"/>
      <c r="AS190" s="218"/>
      <c r="AT190" s="218"/>
      <c r="AU190" s="218"/>
      <c r="AV190" s="218"/>
      <c r="AW190" s="218"/>
      <c r="AX190" s="218"/>
      <c r="AY190" s="218"/>
      <c r="AZ190" s="218"/>
      <c r="BB190" s="218"/>
      <c r="BQ190" s="128">
        <v>715000</v>
      </c>
      <c r="CI190" s="128" t="s">
        <v>376</v>
      </c>
      <c r="CK190" s="128" t="s">
        <v>377</v>
      </c>
    </row>
    <row r="191" s="101" customFormat="1" ht="55" customHeight="1" spans="1:92">
      <c r="A191" s="199">
        <v>153</v>
      </c>
      <c r="C191" s="200"/>
      <c r="E191" s="101" t="s">
        <v>4020</v>
      </c>
      <c r="G191" s="200"/>
      <c r="H191" s="200"/>
      <c r="I191" s="101" t="s">
        <v>4257</v>
      </c>
      <c r="J191" s="101">
        <v>86.14</v>
      </c>
      <c r="M191" s="235"/>
      <c r="N191" s="202">
        <v>5412</v>
      </c>
      <c r="O191" s="158"/>
      <c r="P191" s="199"/>
      <c r="Q191" s="205"/>
      <c r="R191" s="202"/>
      <c r="S191" s="289"/>
      <c r="T191" s="290"/>
      <c r="U191" s="219"/>
      <c r="V191" s="202"/>
      <c r="W191" s="289"/>
      <c r="X191" s="202"/>
      <c r="Y191" s="201"/>
      <c r="AA191" s="201"/>
      <c r="AB191" s="202"/>
      <c r="AH191" s="202">
        <f t="shared" si="18"/>
        <v>0</v>
      </c>
      <c r="AK191" s="201"/>
      <c r="AM191" s="200"/>
      <c r="AN191" s="203"/>
      <c r="AO191" s="101">
        <f t="shared" si="19"/>
        <v>0</v>
      </c>
      <c r="AP191" s="159"/>
      <c r="AQ191" s="268">
        <f t="shared" si="20"/>
        <v>0</v>
      </c>
      <c r="AR191" s="202"/>
      <c r="AS191" s="202"/>
      <c r="AT191" s="202"/>
      <c r="AU191" s="202"/>
      <c r="AV191" s="202"/>
      <c r="AW191" s="202"/>
      <c r="AX191" s="202"/>
      <c r="AY191" s="202"/>
      <c r="AZ191" s="202"/>
      <c r="BA191" s="291"/>
      <c r="BB191" s="202"/>
      <c r="BC191" s="291"/>
    </row>
    <row r="192" s="128" customFormat="1" customHeight="1" spans="1:92">
      <c r="A192" s="272">
        <v>154</v>
      </c>
      <c r="C192" s="184">
        <v>45417</v>
      </c>
      <c r="D192" s="128">
        <v>20240002564</v>
      </c>
      <c r="F192" s="1016" t="s">
        <v>4258</v>
      </c>
      <c r="G192" s="128" t="s">
        <v>4259</v>
      </c>
      <c r="H192" s="1016" t="s">
        <v>4260</v>
      </c>
      <c r="I192" s="128" t="s">
        <v>4261</v>
      </c>
      <c r="J192" s="128">
        <v>126.97</v>
      </c>
      <c r="K192" s="128">
        <v>126.97</v>
      </c>
      <c r="L192" s="128">
        <v>5434.35</v>
      </c>
      <c r="M192" s="274">
        <v>690000</v>
      </c>
      <c r="N192" s="218">
        <v>5417</v>
      </c>
      <c r="O192" s="168">
        <v>633027.52</v>
      </c>
      <c r="P192" s="1017" t="s">
        <v>4262</v>
      </c>
      <c r="Q192" s="211">
        <v>45845</v>
      </c>
      <c r="R192" s="218"/>
      <c r="T192" s="272"/>
      <c r="U192" s="219" t="s">
        <v>662</v>
      </c>
      <c r="V192" s="218">
        <v>20000</v>
      </c>
      <c r="W192" s="128" t="s">
        <v>826</v>
      </c>
      <c r="X192" s="218">
        <v>44000</v>
      </c>
      <c r="Y192" s="179" t="s">
        <v>1083</v>
      </c>
      <c r="Z192" s="218">
        <v>74000</v>
      </c>
      <c r="AA192" s="128" t="s">
        <v>3793</v>
      </c>
      <c r="AB192" s="218">
        <v>552000</v>
      </c>
      <c r="AC192" s="128" t="s">
        <v>405</v>
      </c>
      <c r="AH192" s="218">
        <f t="shared" si="18"/>
        <v>690000</v>
      </c>
      <c r="AK192" s="179">
        <f t="shared" ref="AK192:AK198" si="29">M192-AH192</f>
        <v>0</v>
      </c>
      <c r="AL192" s="128">
        <v>18149847557</v>
      </c>
      <c r="AM192" s="177"/>
      <c r="AN192" s="279"/>
      <c r="AO192" s="128">
        <f t="shared" si="19"/>
        <v>690000</v>
      </c>
      <c r="AP192" s="169">
        <f>0.7%+0.08%</f>
        <v>0.0078</v>
      </c>
      <c r="AQ192" s="275">
        <f t="shared" si="20"/>
        <v>0</v>
      </c>
      <c r="AR192" s="218"/>
      <c r="AS192" s="218"/>
      <c r="AT192" s="218"/>
      <c r="AU192" s="218"/>
      <c r="AV192" s="218"/>
      <c r="AW192" s="218"/>
      <c r="AX192" s="218"/>
      <c r="AY192" s="218"/>
      <c r="AZ192" s="218"/>
      <c r="BA192" s="292"/>
      <c r="BB192" s="218"/>
      <c r="BC192" s="292"/>
      <c r="BJ192" s="128">
        <v>138000</v>
      </c>
      <c r="BK192" s="128">
        <v>552000</v>
      </c>
      <c r="CI192" s="128" t="s">
        <v>376</v>
      </c>
      <c r="CJ192" s="128" t="s">
        <v>387</v>
      </c>
      <c r="CK192" s="128" t="s">
        <v>377</v>
      </c>
    </row>
    <row r="193" s="128" customFormat="1" customHeight="1" spans="1:92">
      <c r="A193" s="272">
        <v>155</v>
      </c>
      <c r="C193" s="184">
        <v>45434</v>
      </c>
      <c r="D193" s="128">
        <v>20240003053</v>
      </c>
      <c r="F193" s="1016" t="s">
        <v>4263</v>
      </c>
      <c r="G193" s="128" t="s">
        <v>4264</v>
      </c>
      <c r="H193" s="1016" t="s">
        <v>4265</v>
      </c>
      <c r="I193" s="128" t="s">
        <v>4266</v>
      </c>
      <c r="J193" s="128">
        <v>132.34</v>
      </c>
      <c r="K193" s="128">
        <v>132.34</v>
      </c>
      <c r="L193" s="128">
        <v>5213.84</v>
      </c>
      <c r="M193" s="274">
        <v>690000</v>
      </c>
      <c r="N193" s="218">
        <v>5213.84</v>
      </c>
      <c r="O193" s="168">
        <v>633027.52</v>
      </c>
      <c r="P193" s="1017" t="s">
        <v>4267</v>
      </c>
      <c r="Q193" s="211">
        <v>45845</v>
      </c>
      <c r="R193" s="218"/>
      <c r="S193" s="219"/>
      <c r="T193" s="272"/>
      <c r="U193" s="219" t="s">
        <v>2278</v>
      </c>
      <c r="V193" s="218">
        <v>20000</v>
      </c>
      <c r="W193" s="219" t="s">
        <v>386</v>
      </c>
      <c r="X193" s="218">
        <v>80000</v>
      </c>
      <c r="Y193" s="179" t="s">
        <v>555</v>
      </c>
      <c r="Z193" s="218">
        <v>40000</v>
      </c>
      <c r="AA193" s="219" t="s">
        <v>4268</v>
      </c>
      <c r="AB193" s="218">
        <v>550000</v>
      </c>
      <c r="AC193" s="219">
        <v>45548</v>
      </c>
      <c r="AH193" s="218">
        <f t="shared" si="18"/>
        <v>690000</v>
      </c>
      <c r="AK193" s="179">
        <f t="shared" si="29"/>
        <v>0</v>
      </c>
      <c r="AL193" s="128">
        <v>15559346699</v>
      </c>
      <c r="AM193" s="177" t="s">
        <v>3956</v>
      </c>
      <c r="AN193" s="279"/>
      <c r="AO193" s="128">
        <f t="shared" si="19"/>
        <v>690000</v>
      </c>
      <c r="AP193" s="169">
        <f>0.5%+0.02%+0.08%</f>
        <v>0.006</v>
      </c>
      <c r="AQ193" s="275">
        <f t="shared" si="20"/>
        <v>0</v>
      </c>
      <c r="AR193" s="218"/>
      <c r="AS193" s="218"/>
      <c r="AT193" s="218"/>
      <c r="AU193" s="218"/>
      <c r="AV193" s="218"/>
      <c r="AW193" s="218"/>
      <c r="AX193" s="218"/>
      <c r="AY193" s="218"/>
      <c r="AZ193" s="218"/>
      <c r="BA193" s="292"/>
      <c r="BB193" s="218"/>
      <c r="BC193" s="292"/>
      <c r="BL193" s="128">
        <v>140000</v>
      </c>
      <c r="BM193" s="128">
        <v>550000</v>
      </c>
      <c r="CI193" s="128" t="s">
        <v>376</v>
      </c>
      <c r="CJ193" s="128" t="s">
        <v>387</v>
      </c>
      <c r="CK193" s="128" t="s">
        <v>377</v>
      </c>
    </row>
    <row r="194" s="128" customFormat="1" customHeight="1" spans="1:92">
      <c r="A194" s="272">
        <v>156</v>
      </c>
      <c r="C194" s="184">
        <v>46006</v>
      </c>
      <c r="D194" s="128">
        <v>20250006428</v>
      </c>
      <c r="E194" s="128" t="s">
        <v>4269</v>
      </c>
      <c r="F194" s="128" t="s">
        <v>4021</v>
      </c>
      <c r="G194" s="128" t="s">
        <v>4270</v>
      </c>
      <c r="I194" s="128" t="s">
        <v>4271</v>
      </c>
      <c r="J194" s="128">
        <v>86.14</v>
      </c>
      <c r="K194" s="128">
        <v>86.14</v>
      </c>
      <c r="L194" s="128">
        <v>5768.09</v>
      </c>
      <c r="M194" s="274">
        <v>496863</v>
      </c>
      <c r="N194" s="218">
        <v>5422</v>
      </c>
      <c r="O194" s="168">
        <v>455837.61</v>
      </c>
      <c r="P194" s="1017" t="s">
        <v>4272</v>
      </c>
      <c r="Q194" s="211">
        <v>46006</v>
      </c>
      <c r="R194" s="218"/>
      <c r="S194" s="171"/>
      <c r="T194" s="272"/>
      <c r="U194" s="219"/>
      <c r="V194" s="218">
        <v>496863</v>
      </c>
      <c r="W194" s="171">
        <v>46006</v>
      </c>
      <c r="X194" s="218"/>
      <c r="Y194" s="179"/>
      <c r="AA194" s="179"/>
      <c r="AB194" s="218"/>
      <c r="AH194" s="218">
        <f t="shared" si="18"/>
        <v>496863</v>
      </c>
      <c r="AK194" s="179">
        <f t="shared" si="29"/>
        <v>0</v>
      </c>
      <c r="AM194" s="177"/>
      <c r="AN194" s="279"/>
      <c r="AO194" s="128">
        <f t="shared" si="19"/>
        <v>0</v>
      </c>
      <c r="AP194" s="169"/>
      <c r="AQ194" s="275">
        <f t="shared" si="20"/>
        <v>0</v>
      </c>
      <c r="AR194" s="218"/>
      <c r="AS194" s="218"/>
      <c r="AT194" s="218"/>
      <c r="AU194" s="218"/>
      <c r="AV194" s="218"/>
      <c r="AW194" s="218"/>
      <c r="AX194" s="218"/>
      <c r="AY194" s="218"/>
      <c r="AZ194" s="218"/>
      <c r="BA194" s="292"/>
      <c r="BB194" s="218"/>
      <c r="BC194" s="292"/>
      <c r="CI194" s="128" t="s">
        <v>3376</v>
      </c>
      <c r="CK194" s="128" t="s">
        <v>3773</v>
      </c>
    </row>
    <row r="195" s="128" customFormat="1" customHeight="1" spans="1:92">
      <c r="A195" s="272">
        <v>157</v>
      </c>
      <c r="C195" s="184">
        <v>45397</v>
      </c>
      <c r="D195" s="128">
        <v>20240002075</v>
      </c>
      <c r="F195" s="1016" t="s">
        <v>4273</v>
      </c>
      <c r="G195" s="177" t="s">
        <v>4274</v>
      </c>
      <c r="H195" s="1019" t="s">
        <v>4275</v>
      </c>
      <c r="I195" s="128" t="s">
        <v>4276</v>
      </c>
      <c r="J195" s="128">
        <v>126.97</v>
      </c>
      <c r="K195" s="128">
        <v>126.97</v>
      </c>
      <c r="L195" s="179">
        <v>5538</v>
      </c>
      <c r="M195" s="274">
        <v>703160</v>
      </c>
      <c r="N195" s="218">
        <v>5438</v>
      </c>
      <c r="O195" s="168">
        <v>645100.92</v>
      </c>
      <c r="P195" s="1017" t="s">
        <v>4277</v>
      </c>
      <c r="Q195" s="211">
        <v>45845</v>
      </c>
      <c r="R195" s="218"/>
      <c r="S195" s="278"/>
      <c r="T195" s="284"/>
      <c r="U195" s="219" t="s">
        <v>2278</v>
      </c>
      <c r="V195" s="218">
        <v>10000</v>
      </c>
      <c r="W195" s="278" t="s">
        <v>1360</v>
      </c>
      <c r="X195" s="218">
        <v>83160</v>
      </c>
      <c r="Y195" s="179" t="s">
        <v>554</v>
      </c>
      <c r="Z195" s="128">
        <v>50000</v>
      </c>
      <c r="AA195" s="179" t="s">
        <v>4127</v>
      </c>
      <c r="AB195" s="218">
        <v>560000</v>
      </c>
      <c r="AC195" s="278" t="s">
        <v>573</v>
      </c>
      <c r="AH195" s="218">
        <f t="shared" si="18"/>
        <v>703160</v>
      </c>
      <c r="AK195" s="179">
        <f t="shared" si="29"/>
        <v>0</v>
      </c>
      <c r="AL195" s="128">
        <v>17690928304</v>
      </c>
      <c r="AM195" s="177"/>
      <c r="AN195" s="279"/>
      <c r="AO195" s="128">
        <f t="shared" si="19"/>
        <v>703160</v>
      </c>
      <c r="AP195" s="169">
        <f>0.4%+0.03%+0.12%</f>
        <v>0.0055</v>
      </c>
      <c r="AQ195" s="275">
        <f t="shared" si="20"/>
        <v>0</v>
      </c>
      <c r="AR195" s="218"/>
      <c r="AS195" s="218"/>
      <c r="AT195" s="218"/>
      <c r="AU195" s="218"/>
      <c r="AV195" s="218"/>
      <c r="AW195" s="218"/>
      <c r="AX195" s="218"/>
      <c r="AY195" s="218"/>
      <c r="AZ195" s="218"/>
      <c r="BA195" s="292"/>
      <c r="BB195" s="218"/>
      <c r="BC195" s="292"/>
      <c r="BH195" s="128">
        <v>143160</v>
      </c>
      <c r="BI195" s="128">
        <v>560000</v>
      </c>
      <c r="CI195" s="128" t="s">
        <v>376</v>
      </c>
      <c r="CJ195" s="128" t="s">
        <v>387</v>
      </c>
      <c r="CK195" s="128" t="s">
        <v>377</v>
      </c>
    </row>
    <row r="196" s="128" customFormat="1" customHeight="1" spans="1:92">
      <c r="A196" s="272">
        <v>158</v>
      </c>
      <c r="C196" s="184">
        <v>45469</v>
      </c>
      <c r="D196" s="128">
        <v>20240003675</v>
      </c>
      <c r="F196" s="1016" t="s">
        <v>4278</v>
      </c>
      <c r="G196" s="128" t="s">
        <v>4279</v>
      </c>
      <c r="I196" s="128" t="s">
        <v>4280</v>
      </c>
      <c r="J196" s="128">
        <v>132.34</v>
      </c>
      <c r="K196" s="128">
        <v>132.34</v>
      </c>
      <c r="L196" s="128">
        <f>M196/K196</f>
        <v>5097.99758198579</v>
      </c>
      <c r="M196" s="274">
        <v>674669</v>
      </c>
      <c r="N196" s="218">
        <v>4998</v>
      </c>
      <c r="O196" s="168">
        <v>618962.39</v>
      </c>
      <c r="P196" s="1017" t="s">
        <v>4281</v>
      </c>
      <c r="Q196" s="211">
        <v>45845</v>
      </c>
      <c r="R196" s="218"/>
      <c r="T196" s="272"/>
      <c r="U196" s="219" t="s">
        <v>400</v>
      </c>
      <c r="V196" s="218">
        <v>16669</v>
      </c>
      <c r="W196" s="128" t="s">
        <v>4282</v>
      </c>
      <c r="X196" s="218">
        <v>20000</v>
      </c>
      <c r="Y196" s="278" t="s">
        <v>643</v>
      </c>
      <c r="Z196" s="218">
        <v>65000</v>
      </c>
      <c r="AA196" s="128" t="s">
        <v>752</v>
      </c>
      <c r="AB196" s="218">
        <v>573000</v>
      </c>
      <c r="AC196" s="128" t="s">
        <v>4084</v>
      </c>
      <c r="AH196" s="218">
        <f t="shared" si="18"/>
        <v>674669</v>
      </c>
      <c r="AK196" s="179">
        <f t="shared" si="29"/>
        <v>0</v>
      </c>
      <c r="AL196" s="287" t="s">
        <v>4283</v>
      </c>
      <c r="AM196" s="177"/>
      <c r="AN196" s="279"/>
      <c r="AO196" s="128">
        <f t="shared" si="19"/>
        <v>674669</v>
      </c>
      <c r="AP196" s="169">
        <f>0.7%+0.04%+0.12%</f>
        <v>0.0086</v>
      </c>
      <c r="AQ196" s="275">
        <f t="shared" si="20"/>
        <v>0</v>
      </c>
      <c r="AR196" s="218"/>
      <c r="AS196" s="218"/>
      <c r="AT196" s="218"/>
      <c r="AU196" s="218"/>
      <c r="AV196" s="218"/>
      <c r="AW196" s="218"/>
      <c r="AX196" s="218"/>
      <c r="AY196" s="218"/>
      <c r="AZ196" s="218"/>
      <c r="BA196" s="292"/>
      <c r="BB196" s="218"/>
      <c r="BC196" s="292"/>
      <c r="BK196" s="128">
        <v>674669</v>
      </c>
      <c r="CI196" s="128" t="s">
        <v>376</v>
      </c>
      <c r="CJ196" s="128" t="s">
        <v>387</v>
      </c>
      <c r="CK196" s="128" t="s">
        <v>377</v>
      </c>
    </row>
    <row r="197" s="101" customFormat="1" customHeight="1" spans="1:92">
      <c r="A197" s="199">
        <v>159</v>
      </c>
      <c r="C197" s="200"/>
      <c r="E197" s="101" t="s">
        <v>4284</v>
      </c>
      <c r="G197" s="200"/>
      <c r="H197" s="200"/>
      <c r="I197" s="101" t="s">
        <v>4285</v>
      </c>
      <c r="J197" s="101">
        <v>86.14</v>
      </c>
      <c r="M197" s="235"/>
      <c r="N197" s="202">
        <v>5018</v>
      </c>
      <c r="O197" s="158"/>
      <c r="P197" s="203"/>
      <c r="Q197" s="205"/>
      <c r="R197" s="202"/>
      <c r="S197" s="289"/>
      <c r="T197" s="290"/>
      <c r="U197" s="219"/>
      <c r="V197" s="202"/>
      <c r="W197" s="293"/>
      <c r="X197" s="202"/>
      <c r="Y197" s="201"/>
      <c r="AA197" s="201"/>
      <c r="AB197" s="202"/>
      <c r="AH197" s="202">
        <f t="shared" si="18"/>
        <v>0</v>
      </c>
      <c r="AK197" s="179">
        <f t="shared" si="29"/>
        <v>0</v>
      </c>
      <c r="AM197" s="200"/>
      <c r="AN197" s="203"/>
      <c r="AO197" s="101">
        <f t="shared" si="19"/>
        <v>0</v>
      </c>
      <c r="AP197" s="159"/>
      <c r="AQ197" s="268">
        <f t="shared" si="20"/>
        <v>0</v>
      </c>
      <c r="AR197" s="202"/>
      <c r="AS197" s="202"/>
      <c r="AT197" s="202"/>
      <c r="AU197" s="202"/>
      <c r="AV197" s="202"/>
      <c r="AW197" s="202"/>
      <c r="AX197" s="202"/>
      <c r="AY197" s="202"/>
      <c r="AZ197" s="202"/>
      <c r="BA197" s="291"/>
      <c r="BB197" s="202"/>
      <c r="BC197" s="291"/>
    </row>
    <row r="198" s="128" customFormat="1" customHeight="1" spans="1:92">
      <c r="A198" s="272">
        <v>160</v>
      </c>
      <c r="B198" s="128"/>
      <c r="C198" s="184">
        <v>45987</v>
      </c>
      <c r="D198" s="128">
        <v>20250006031</v>
      </c>
      <c r="F198" s="1016" t="s">
        <v>4286</v>
      </c>
      <c r="G198" s="177" t="s">
        <v>4287</v>
      </c>
      <c r="H198" s="1019" t="s">
        <v>4288</v>
      </c>
      <c r="I198" s="128" t="s">
        <v>4289</v>
      </c>
      <c r="J198" s="128">
        <v>126.97</v>
      </c>
      <c r="K198" s="128">
        <v>126.97</v>
      </c>
      <c r="L198" s="128">
        <v>4300</v>
      </c>
      <c r="M198" s="274">
        <v>545971</v>
      </c>
      <c r="N198" s="218">
        <f>4358-300</f>
        <v>4058</v>
      </c>
      <c r="O198" s="168">
        <v>500890.83</v>
      </c>
      <c r="P198" s="1017" t="s">
        <v>4290</v>
      </c>
      <c r="Q198" s="211">
        <v>45989</v>
      </c>
      <c r="R198" s="218"/>
      <c r="S198" s="278"/>
      <c r="T198" s="284"/>
      <c r="U198" s="219" t="s">
        <v>807</v>
      </c>
      <c r="V198" s="218">
        <v>20000</v>
      </c>
      <c r="W198" s="278">
        <v>45977</v>
      </c>
      <c r="X198" s="218">
        <v>225971</v>
      </c>
      <c r="Y198" s="278">
        <v>45987</v>
      </c>
      <c r="Z198" s="218">
        <v>300000</v>
      </c>
      <c r="AA198" s="278">
        <v>46002</v>
      </c>
      <c r="AB198" s="218"/>
      <c r="AH198" s="218">
        <f t="shared" si="18"/>
        <v>545971</v>
      </c>
      <c r="AK198" s="179">
        <f t="shared" si="29"/>
        <v>0</v>
      </c>
      <c r="AL198" s="128">
        <v>13565011898</v>
      </c>
      <c r="AM198" s="177" t="s">
        <v>3480</v>
      </c>
      <c r="AN198" s="279"/>
      <c r="AO198" s="128">
        <f t="shared" si="19"/>
        <v>545971</v>
      </c>
      <c r="AP198" s="169">
        <f>0.7%+0.08%+0.03%</f>
        <v>0.0081</v>
      </c>
      <c r="AQ198" s="275">
        <f t="shared" si="20"/>
        <v>0</v>
      </c>
      <c r="AR198" s="218"/>
      <c r="AS198" s="218"/>
      <c r="AT198" s="218"/>
      <c r="AU198" s="218"/>
      <c r="AV198" s="218"/>
      <c r="AW198" s="218"/>
      <c r="AX198" s="218"/>
      <c r="AY198" s="218"/>
      <c r="AZ198" s="218"/>
      <c r="BB198" s="218"/>
      <c r="CA198" s="128">
        <v>245971</v>
      </c>
      <c r="CB198" s="128">
        <v>300000</v>
      </c>
      <c r="CI198" s="128" t="s">
        <v>3376</v>
      </c>
      <c r="CK198" s="128" t="s">
        <v>4291</v>
      </c>
    </row>
    <row r="199" s="101" customFormat="1" customHeight="1" spans="1:92">
      <c r="A199" s="199">
        <v>161</v>
      </c>
      <c r="C199" s="200"/>
      <c r="E199" s="101" t="s">
        <v>4292</v>
      </c>
      <c r="G199" s="200"/>
      <c r="H199" s="200"/>
      <c r="I199" s="101" t="s">
        <v>4293</v>
      </c>
      <c r="J199" s="101">
        <v>153.46</v>
      </c>
      <c r="K199" s="101"/>
      <c r="L199" s="101">
        <v>5250</v>
      </c>
      <c r="M199" s="235"/>
      <c r="N199" s="202">
        <v>4935</v>
      </c>
      <c r="O199" s="158"/>
      <c r="P199" s="203"/>
      <c r="Q199" s="205"/>
      <c r="R199" s="202"/>
      <c r="S199" s="289"/>
      <c r="T199" s="290"/>
      <c r="U199" s="289"/>
      <c r="V199" s="202"/>
      <c r="W199" s="201"/>
      <c r="X199" s="202"/>
      <c r="Y199" s="201"/>
      <c r="AA199" s="201"/>
      <c r="AB199" s="202"/>
      <c r="AH199" s="202">
        <f t="shared" ref="AH199:AH262" si="30">V199+X199+Z199+AB199+AD199+AF199</f>
        <v>0</v>
      </c>
      <c r="AK199" s="201"/>
      <c r="AM199" s="200"/>
      <c r="AN199" s="203"/>
      <c r="AO199" s="101">
        <f t="shared" ref="AO199:AO262" si="31">SUM(AZ199:CF199)</f>
        <v>0</v>
      </c>
      <c r="AP199" s="159"/>
      <c r="AQ199" s="268">
        <f t="shared" ref="AQ199:AQ262" si="32">AR199+AS199+AT199+AU199+AV199+AW199+AX199+AY199</f>
        <v>0</v>
      </c>
      <c r="AR199" s="202"/>
      <c r="AS199" s="202"/>
      <c r="AT199" s="202"/>
      <c r="AU199" s="202"/>
      <c r="AV199" s="202"/>
      <c r="AW199" s="202"/>
      <c r="AX199" s="202"/>
      <c r="AY199" s="202"/>
      <c r="AZ199" s="202"/>
      <c r="BB199" s="202"/>
    </row>
    <row r="200" s="101" customFormat="1" customHeight="1" spans="1:92">
      <c r="A200" s="199">
        <v>162</v>
      </c>
      <c r="C200" s="200"/>
      <c r="G200" s="200"/>
      <c r="H200" s="200"/>
      <c r="I200" s="101" t="s">
        <v>4294</v>
      </c>
      <c r="J200" s="101">
        <v>86.14</v>
      </c>
      <c r="M200" s="235"/>
      <c r="N200" s="202">
        <v>4947</v>
      </c>
      <c r="O200" s="158"/>
      <c r="P200" s="203"/>
      <c r="Q200" s="205"/>
      <c r="R200" s="202"/>
      <c r="S200" s="289"/>
      <c r="T200" s="290"/>
      <c r="U200" s="289"/>
      <c r="V200" s="202"/>
      <c r="W200" s="201"/>
      <c r="X200" s="202"/>
      <c r="Y200" s="201"/>
      <c r="AA200" s="201"/>
      <c r="AB200" s="202"/>
      <c r="AH200" s="202">
        <f t="shared" si="30"/>
        <v>0</v>
      </c>
      <c r="AK200" s="201"/>
      <c r="AM200" s="200"/>
      <c r="AN200" s="203"/>
      <c r="AO200" s="101">
        <f t="shared" si="31"/>
        <v>0</v>
      </c>
      <c r="AP200" s="159"/>
      <c r="AQ200" s="268">
        <f t="shared" si="32"/>
        <v>0</v>
      </c>
      <c r="AR200" s="202"/>
      <c r="AS200" s="202"/>
      <c r="AT200" s="202"/>
      <c r="AU200" s="202"/>
      <c r="AV200" s="202"/>
      <c r="AW200" s="202"/>
      <c r="AX200" s="202"/>
      <c r="AY200" s="202"/>
      <c r="AZ200" s="202"/>
      <c r="BB200" s="202"/>
    </row>
    <row r="201" s="128" customFormat="1" customHeight="1" spans="1:92">
      <c r="A201" s="272">
        <v>163</v>
      </c>
      <c r="C201" s="184">
        <v>45568</v>
      </c>
      <c r="D201" s="128">
        <v>20240005753</v>
      </c>
      <c r="F201" s="1016" t="s">
        <v>4295</v>
      </c>
      <c r="G201" s="177" t="s">
        <v>4296</v>
      </c>
      <c r="H201" s="1019" t="s">
        <v>4297</v>
      </c>
      <c r="I201" s="128" t="s">
        <v>4298</v>
      </c>
      <c r="J201" s="128">
        <v>102.67</v>
      </c>
      <c r="K201" s="128">
        <v>102.67</v>
      </c>
      <c r="L201" s="128">
        <v>5000</v>
      </c>
      <c r="M201" s="274">
        <v>513350</v>
      </c>
      <c r="N201" s="218">
        <v>4945</v>
      </c>
      <c r="O201" s="168"/>
      <c r="P201" s="272"/>
      <c r="Q201" s="211"/>
      <c r="R201" s="218"/>
      <c r="S201" s="278"/>
      <c r="T201" s="284"/>
      <c r="U201" s="278" t="s">
        <v>486</v>
      </c>
      <c r="V201" s="218">
        <v>20000</v>
      </c>
      <c r="W201" s="278" t="s">
        <v>3766</v>
      </c>
      <c r="X201" s="218">
        <v>133350</v>
      </c>
      <c r="Y201" s="278" t="s">
        <v>888</v>
      </c>
      <c r="Z201" s="218">
        <v>360000</v>
      </c>
      <c r="AA201" s="278" t="s">
        <v>2230</v>
      </c>
      <c r="AB201" s="218"/>
      <c r="AH201" s="218">
        <f t="shared" si="30"/>
        <v>513350</v>
      </c>
      <c r="AK201" s="179">
        <f>M201-AH201</f>
        <v>0</v>
      </c>
      <c r="AL201" s="128">
        <v>19999191818</v>
      </c>
      <c r="AM201" s="177"/>
      <c r="AN201" s="279"/>
      <c r="AO201" s="128">
        <f t="shared" si="31"/>
        <v>513350</v>
      </c>
      <c r="AP201" s="169">
        <f>0.4%+0.03%+0.12%</f>
        <v>0.0055</v>
      </c>
      <c r="AQ201" s="275">
        <f t="shared" si="32"/>
        <v>0</v>
      </c>
      <c r="AR201" s="218"/>
      <c r="AS201" s="218"/>
      <c r="AT201" s="218"/>
      <c r="AU201" s="218"/>
      <c r="AV201" s="218"/>
      <c r="AW201" s="218"/>
      <c r="AX201" s="218"/>
      <c r="AY201" s="218"/>
      <c r="AZ201" s="218"/>
      <c r="BB201" s="218"/>
      <c r="BN201" s="128">
        <v>153350</v>
      </c>
      <c r="BU201" s="128">
        <v>360000</v>
      </c>
      <c r="CI201" s="128" t="s">
        <v>376</v>
      </c>
      <c r="CK201" s="128" t="s">
        <v>377</v>
      </c>
    </row>
    <row r="202" s="128" customFormat="1" customHeight="1" spans="1:92">
      <c r="A202" s="272">
        <v>164</v>
      </c>
      <c r="B202" s="128"/>
      <c r="C202" s="184">
        <v>45778</v>
      </c>
      <c r="D202" s="128">
        <v>20250002278</v>
      </c>
      <c r="F202" s="128" t="s">
        <v>4299</v>
      </c>
      <c r="G202" s="177" t="s">
        <v>4300</v>
      </c>
      <c r="H202" s="1019" t="s">
        <v>4301</v>
      </c>
      <c r="I202" s="128" t="s">
        <v>4302</v>
      </c>
      <c r="J202" s="128">
        <v>153.46</v>
      </c>
      <c r="K202" s="128">
        <v>153.46</v>
      </c>
      <c r="L202" s="128">
        <v>4730.875</v>
      </c>
      <c r="M202" s="274">
        <v>726000</v>
      </c>
      <c r="N202" s="274">
        <v>4730.875</v>
      </c>
      <c r="O202" s="168">
        <v>666055.05</v>
      </c>
      <c r="P202" s="1017" t="s">
        <v>4303</v>
      </c>
      <c r="Q202" s="211">
        <v>45910</v>
      </c>
      <c r="R202" s="218"/>
      <c r="S202" s="278"/>
      <c r="T202" s="284"/>
      <c r="U202" s="278" t="s">
        <v>383</v>
      </c>
      <c r="V202" s="218">
        <v>20000</v>
      </c>
      <c r="W202" s="278" t="s">
        <v>4244</v>
      </c>
      <c r="X202" s="218">
        <v>206000</v>
      </c>
      <c r="Y202" s="278" t="s">
        <v>3681</v>
      </c>
      <c r="Z202" s="218">
        <v>500000</v>
      </c>
      <c r="AA202" s="278" t="s">
        <v>3075</v>
      </c>
      <c r="AB202" s="218"/>
      <c r="AH202" s="218">
        <f t="shared" si="30"/>
        <v>726000</v>
      </c>
      <c r="AK202" s="179">
        <f>M202-AH202</f>
        <v>0</v>
      </c>
      <c r="AL202" s="128">
        <v>13283874113</v>
      </c>
      <c r="AM202" s="177" t="s">
        <v>3480</v>
      </c>
      <c r="AN202" s="279"/>
      <c r="AO202" s="128">
        <f t="shared" si="31"/>
        <v>726000</v>
      </c>
      <c r="AP202" s="173">
        <f>0.7%+0.08%+0.03%</f>
        <v>0.0081</v>
      </c>
      <c r="AQ202" s="275">
        <f t="shared" si="32"/>
        <v>0</v>
      </c>
      <c r="AR202" s="218"/>
      <c r="AS202" s="218"/>
      <c r="AT202" s="218"/>
      <c r="AU202" s="218"/>
      <c r="AV202" s="218"/>
      <c r="AW202" s="218"/>
      <c r="AX202" s="218"/>
      <c r="AY202" s="218"/>
      <c r="AZ202" s="218"/>
      <c r="BB202" s="218"/>
      <c r="BU202" s="128">
        <v>226000</v>
      </c>
      <c r="BV202" s="128">
        <v>500000</v>
      </c>
      <c r="CI202" s="128" t="s">
        <v>376</v>
      </c>
      <c r="CK202" s="128" t="s">
        <v>377</v>
      </c>
    </row>
    <row r="203" s="101" customFormat="1" customHeight="1" spans="1:92">
      <c r="A203" s="199">
        <v>165</v>
      </c>
      <c r="C203" s="200"/>
      <c r="E203" s="101" t="s">
        <v>4304</v>
      </c>
      <c r="G203" s="200"/>
      <c r="H203" s="200"/>
      <c r="I203" s="101" t="s">
        <v>4305</v>
      </c>
      <c r="J203" s="101">
        <v>86.14</v>
      </c>
      <c r="M203" s="235"/>
      <c r="N203" s="202">
        <v>4975</v>
      </c>
      <c r="O203" s="158"/>
      <c r="P203" s="199"/>
      <c r="Q203" s="205"/>
      <c r="R203" s="202"/>
      <c r="S203" s="289"/>
      <c r="T203" s="290"/>
      <c r="U203" s="289"/>
      <c r="V203" s="202"/>
      <c r="W203" s="201"/>
      <c r="X203" s="202"/>
      <c r="Y203" s="201"/>
      <c r="AA203" s="201"/>
      <c r="AB203" s="202"/>
      <c r="AH203" s="202">
        <f t="shared" si="30"/>
        <v>0</v>
      </c>
      <c r="AK203" s="201"/>
      <c r="AM203" s="200"/>
      <c r="AN203" s="203"/>
      <c r="AO203" s="101">
        <f t="shared" si="31"/>
        <v>0</v>
      </c>
      <c r="AP203" s="159"/>
      <c r="AQ203" s="268">
        <f t="shared" si="32"/>
        <v>0</v>
      </c>
      <c r="AR203" s="202"/>
      <c r="AS203" s="202"/>
      <c r="AT203" s="202"/>
      <c r="AU203" s="202"/>
      <c r="AV203" s="202"/>
      <c r="AW203" s="202"/>
      <c r="AX203" s="202"/>
      <c r="AY203" s="202"/>
      <c r="AZ203" s="202"/>
      <c r="BB203" s="202"/>
    </row>
    <row r="204" s="128" customFormat="1" customHeight="1" spans="1:92">
      <c r="A204" s="272">
        <v>166</v>
      </c>
      <c r="C204" s="184">
        <v>45366</v>
      </c>
      <c r="D204" s="128">
        <v>20240001393</v>
      </c>
      <c r="F204" s="1016" t="s">
        <v>4306</v>
      </c>
      <c r="G204" s="177" t="s">
        <v>4307</v>
      </c>
      <c r="H204" s="1019" t="s">
        <v>4308</v>
      </c>
      <c r="I204" s="128" t="s">
        <v>4309</v>
      </c>
      <c r="J204" s="128">
        <v>115.78</v>
      </c>
      <c r="K204" s="128">
        <v>115.78</v>
      </c>
      <c r="L204" s="128">
        <v>5100</v>
      </c>
      <c r="M204" s="274">
        <v>590478</v>
      </c>
      <c r="N204" s="218">
        <v>4975</v>
      </c>
      <c r="O204" s="168">
        <v>541722.94</v>
      </c>
      <c r="P204" s="1017" t="s">
        <v>4310</v>
      </c>
      <c r="Q204" s="211">
        <v>45846</v>
      </c>
      <c r="R204" s="218"/>
      <c r="S204" s="278"/>
      <c r="T204" s="284"/>
      <c r="U204" s="278" t="s">
        <v>2278</v>
      </c>
      <c r="V204" s="218">
        <v>20000</v>
      </c>
      <c r="W204" s="278" t="s">
        <v>3983</v>
      </c>
      <c r="X204" s="218">
        <f>100000+30478</f>
        <v>130478</v>
      </c>
      <c r="Y204" s="179" t="s">
        <v>4173</v>
      </c>
      <c r="Z204" s="218">
        <v>440000</v>
      </c>
      <c r="AA204" s="278" t="s">
        <v>672</v>
      </c>
      <c r="AB204" s="218"/>
      <c r="AH204" s="218">
        <f t="shared" si="30"/>
        <v>590478</v>
      </c>
      <c r="AK204" s="179">
        <f>M204-AH204</f>
        <v>0</v>
      </c>
      <c r="AL204" s="128">
        <v>18799800947</v>
      </c>
      <c r="AM204" s="177"/>
      <c r="AN204" s="279"/>
      <c r="AO204" s="128">
        <f t="shared" si="31"/>
        <v>590478</v>
      </c>
      <c r="AP204" s="173">
        <f>0.5%+0.04%+0.12%</f>
        <v>0.0066</v>
      </c>
      <c r="AQ204" s="275">
        <f t="shared" si="32"/>
        <v>0</v>
      </c>
      <c r="AR204" s="218"/>
      <c r="AS204" s="218"/>
      <c r="AT204" s="218"/>
      <c r="AU204" s="218"/>
      <c r="AV204" s="218"/>
      <c r="AW204" s="218"/>
      <c r="AX204" s="218"/>
      <c r="AY204" s="218"/>
      <c r="AZ204" s="218"/>
      <c r="BB204" s="218"/>
      <c r="BG204" s="128">
        <v>150478</v>
      </c>
      <c r="BI204" s="128">
        <v>440000</v>
      </c>
      <c r="CI204" s="128" t="s">
        <v>376</v>
      </c>
      <c r="CJ204" s="128" t="s">
        <v>387</v>
      </c>
      <c r="CK204" s="128" t="s">
        <v>377</v>
      </c>
      <c r="CN204" s="128">
        <f>CL204-CM204</f>
        <v>0</v>
      </c>
    </row>
    <row r="205" s="128" customFormat="1" customHeight="1" spans="1:92">
      <c r="A205" s="272">
        <v>167</v>
      </c>
      <c r="C205" s="184">
        <v>45440</v>
      </c>
      <c r="D205" s="128">
        <v>20240003146</v>
      </c>
      <c r="F205" s="1016" t="s">
        <v>4311</v>
      </c>
      <c r="G205" s="177" t="s">
        <v>4312</v>
      </c>
      <c r="H205" s="1019" t="s">
        <v>4313</v>
      </c>
      <c r="I205" s="128" t="s">
        <v>4314</v>
      </c>
      <c r="J205" s="128">
        <v>153.46</v>
      </c>
      <c r="K205" s="128">
        <v>153.46</v>
      </c>
      <c r="L205" s="128">
        <v>5082.75</v>
      </c>
      <c r="M205" s="274">
        <v>780000</v>
      </c>
      <c r="N205" s="218">
        <v>5008</v>
      </c>
      <c r="O205" s="168">
        <v>715596.33</v>
      </c>
      <c r="P205" s="1017" t="s">
        <v>4315</v>
      </c>
      <c r="Q205" s="211">
        <v>45846</v>
      </c>
      <c r="R205" s="218"/>
      <c r="S205" s="278"/>
      <c r="T205" s="284"/>
      <c r="U205" s="278" t="s">
        <v>677</v>
      </c>
      <c r="V205" s="218">
        <v>30000</v>
      </c>
      <c r="W205" s="278" t="s">
        <v>4316</v>
      </c>
      <c r="X205" s="218">
        <v>500000</v>
      </c>
      <c r="Y205" s="278" t="s">
        <v>4317</v>
      </c>
      <c r="Z205" s="218">
        <v>250000</v>
      </c>
      <c r="AA205" s="278" t="s">
        <v>822</v>
      </c>
      <c r="AB205" s="218"/>
      <c r="AH205" s="218">
        <f t="shared" si="30"/>
        <v>780000</v>
      </c>
      <c r="AK205" s="179">
        <f>M205-AH205</f>
        <v>0</v>
      </c>
      <c r="AL205" s="128">
        <v>15199917772</v>
      </c>
      <c r="AM205" s="177"/>
      <c r="AN205" s="279"/>
      <c r="AO205" s="128">
        <f t="shared" si="31"/>
        <v>780000</v>
      </c>
      <c r="AP205" s="173">
        <f>0.7%+0.05%+0.12%</f>
        <v>0.0087</v>
      </c>
      <c r="AQ205" s="275">
        <f t="shared" si="32"/>
        <v>0</v>
      </c>
      <c r="AR205" s="218"/>
      <c r="AS205" s="218"/>
      <c r="AT205" s="218"/>
      <c r="AU205" s="218"/>
      <c r="AV205" s="218"/>
      <c r="AW205" s="218"/>
      <c r="AX205" s="218"/>
      <c r="AY205" s="218"/>
      <c r="AZ205" s="218"/>
      <c r="BB205" s="218"/>
      <c r="BI205" s="128">
        <v>530000</v>
      </c>
      <c r="BJ205" s="128">
        <v>250000</v>
      </c>
      <c r="CI205" s="128" t="s">
        <v>376</v>
      </c>
      <c r="CJ205" s="128" t="s">
        <v>387</v>
      </c>
      <c r="CK205" s="128" t="s">
        <v>377</v>
      </c>
    </row>
    <row r="206" s="101" customFormat="1" customHeight="1" spans="1:92">
      <c r="A206" s="199">
        <v>168</v>
      </c>
      <c r="C206" s="200"/>
      <c r="E206" s="101" t="s">
        <v>4284</v>
      </c>
      <c r="G206" s="200"/>
      <c r="H206" s="200"/>
      <c r="I206" s="101" t="s">
        <v>4318</v>
      </c>
      <c r="J206" s="101">
        <v>86.14</v>
      </c>
      <c r="M206" s="235"/>
      <c r="N206" s="202">
        <v>5018</v>
      </c>
      <c r="O206" s="158"/>
      <c r="P206" s="199"/>
      <c r="Q206" s="205"/>
      <c r="R206" s="202"/>
      <c r="S206" s="289"/>
      <c r="T206" s="290"/>
      <c r="U206" s="289"/>
      <c r="V206" s="202"/>
      <c r="W206" s="201"/>
      <c r="X206" s="202"/>
      <c r="Y206" s="201"/>
      <c r="AA206" s="201"/>
      <c r="AB206" s="202"/>
      <c r="AH206" s="202">
        <f t="shared" si="30"/>
        <v>0</v>
      </c>
      <c r="AK206" s="201"/>
      <c r="AM206" s="200"/>
      <c r="AN206" s="203"/>
      <c r="AO206" s="101">
        <f t="shared" si="31"/>
        <v>0</v>
      </c>
      <c r="AP206" s="159"/>
      <c r="AQ206" s="268">
        <f t="shared" si="32"/>
        <v>0</v>
      </c>
      <c r="AR206" s="202"/>
      <c r="AS206" s="202"/>
      <c r="AT206" s="202"/>
      <c r="AU206" s="202"/>
      <c r="AV206" s="202"/>
      <c r="AW206" s="202"/>
      <c r="AX206" s="202"/>
      <c r="AY206" s="202"/>
      <c r="AZ206" s="202"/>
      <c r="BB206" s="202"/>
    </row>
    <row r="207" s="128" customFormat="1" customHeight="1" spans="1:92">
      <c r="A207" s="272">
        <v>169</v>
      </c>
      <c r="C207" s="184">
        <v>45356</v>
      </c>
      <c r="D207" s="128">
        <v>20240001173</v>
      </c>
      <c r="F207" s="1016" t="s">
        <v>4319</v>
      </c>
      <c r="G207" s="177" t="s">
        <v>4320</v>
      </c>
      <c r="H207" s="1019" t="s">
        <v>4321</v>
      </c>
      <c r="I207" s="128" t="s">
        <v>4322</v>
      </c>
      <c r="J207" s="128">
        <v>115.78</v>
      </c>
      <c r="K207" s="128">
        <v>115.78</v>
      </c>
      <c r="L207" s="128">
        <v>5118</v>
      </c>
      <c r="M207" s="274">
        <v>592562</v>
      </c>
      <c r="N207" s="218">
        <v>5018</v>
      </c>
      <c r="O207" s="168">
        <v>543634.86</v>
      </c>
      <c r="P207" s="1017" t="s">
        <v>4323</v>
      </c>
      <c r="Q207" s="211">
        <v>45846</v>
      </c>
      <c r="R207" s="218"/>
      <c r="S207" s="278"/>
      <c r="T207" s="284"/>
      <c r="U207" s="278" t="s">
        <v>772</v>
      </c>
      <c r="V207" s="218">
        <v>10000</v>
      </c>
      <c r="W207" s="278" t="s">
        <v>479</v>
      </c>
      <c r="X207" s="218">
        <v>112562</v>
      </c>
      <c r="Y207" s="179" t="s">
        <v>871</v>
      </c>
      <c r="Z207" s="128">
        <v>470000</v>
      </c>
      <c r="AA207" s="179" t="s">
        <v>440</v>
      </c>
      <c r="AB207" s="218"/>
      <c r="AH207" s="218">
        <f t="shared" si="30"/>
        <v>592562</v>
      </c>
      <c r="AK207" s="179">
        <f t="shared" ref="AK207:AK212" si="33">M207-AH207</f>
        <v>0</v>
      </c>
      <c r="AL207" s="128">
        <v>17599260161</v>
      </c>
      <c r="AM207" s="177"/>
      <c r="AN207" s="279"/>
      <c r="AO207" s="128">
        <f t="shared" si="31"/>
        <v>592562</v>
      </c>
      <c r="AP207" s="169">
        <f>0.5%+0.04%+0.14%</f>
        <v>0.0068</v>
      </c>
      <c r="AQ207" s="275">
        <f t="shared" si="32"/>
        <v>0</v>
      </c>
      <c r="AR207" s="218"/>
      <c r="AS207" s="218"/>
      <c r="AT207" s="218"/>
      <c r="AU207" s="218"/>
      <c r="AV207" s="218"/>
      <c r="AW207" s="218"/>
      <c r="AX207" s="218"/>
      <c r="AY207" s="218"/>
      <c r="AZ207" s="218"/>
      <c r="BB207" s="218"/>
      <c r="BG207" s="128">
        <v>592562</v>
      </c>
      <c r="CI207" s="128" t="s">
        <v>376</v>
      </c>
      <c r="CJ207" s="128" t="s">
        <v>387</v>
      </c>
      <c r="CK207" s="128" t="s">
        <v>377</v>
      </c>
    </row>
    <row r="208" s="128" customFormat="1" ht="55" customHeight="1" spans="1:92">
      <c r="A208" s="272">
        <v>170</v>
      </c>
      <c r="C208" s="184">
        <v>45356</v>
      </c>
      <c r="D208" s="128">
        <v>20240001149</v>
      </c>
      <c r="F208" s="1016" t="s">
        <v>4324</v>
      </c>
      <c r="G208" s="177" t="s">
        <v>4325</v>
      </c>
      <c r="H208" s="1019" t="s">
        <v>4326</v>
      </c>
      <c r="I208" s="128" t="s">
        <v>4327</v>
      </c>
      <c r="J208" s="128">
        <v>132.34</v>
      </c>
      <c r="K208" s="128">
        <v>132.34</v>
      </c>
      <c r="L208" s="128">
        <v>5100.5</v>
      </c>
      <c r="M208" s="274">
        <v>675000</v>
      </c>
      <c r="N208" s="218">
        <v>5044</v>
      </c>
      <c r="O208" s="168">
        <v>619266.06</v>
      </c>
      <c r="P208" s="1017" t="s">
        <v>4328</v>
      </c>
      <c r="Q208" s="211">
        <v>45846</v>
      </c>
      <c r="R208" s="218"/>
      <c r="S208" s="278"/>
      <c r="T208" s="284"/>
      <c r="U208" s="278" t="s">
        <v>4329</v>
      </c>
      <c r="V208" s="218">
        <f>10000-10000</f>
        <v>0</v>
      </c>
      <c r="W208" s="278" t="s">
        <v>4330</v>
      </c>
      <c r="X208" s="218">
        <f>5000-5000</f>
        <v>0</v>
      </c>
      <c r="Y208" s="278" t="s">
        <v>682</v>
      </c>
      <c r="Z208" s="218">
        <v>20000</v>
      </c>
      <c r="AA208" s="278" t="s">
        <v>1071</v>
      </c>
      <c r="AB208" s="218">
        <v>115000</v>
      </c>
      <c r="AC208" s="278" t="s">
        <v>871</v>
      </c>
      <c r="AD208" s="218">
        <v>540000</v>
      </c>
      <c r="AE208" s="278" t="s">
        <v>554</v>
      </c>
      <c r="AH208" s="218">
        <f t="shared" si="30"/>
        <v>675000</v>
      </c>
      <c r="AK208" s="179">
        <f t="shared" si="33"/>
        <v>0</v>
      </c>
      <c r="AL208" s="128">
        <v>18699621815</v>
      </c>
      <c r="AM208" s="177"/>
      <c r="AN208" s="279"/>
      <c r="AO208" s="128">
        <f t="shared" si="31"/>
        <v>675000</v>
      </c>
      <c r="AP208" s="173">
        <f>0.7%+0.05%+0.14%</f>
        <v>0.0089</v>
      </c>
      <c r="AQ208" s="275">
        <f t="shared" si="32"/>
        <v>0</v>
      </c>
      <c r="AR208" s="218"/>
      <c r="AS208" s="218"/>
      <c r="AT208" s="218"/>
      <c r="AU208" s="218"/>
      <c r="AV208" s="218"/>
      <c r="AW208" s="218"/>
      <c r="AX208" s="218"/>
      <c r="AY208" s="218"/>
      <c r="AZ208" s="218"/>
      <c r="BB208" s="218"/>
      <c r="BG208" s="128">
        <v>135000</v>
      </c>
      <c r="BH208" s="128">
        <v>540000</v>
      </c>
      <c r="CI208" s="128" t="s">
        <v>376</v>
      </c>
      <c r="CJ208" s="128" t="s">
        <v>387</v>
      </c>
      <c r="CK208" s="128" t="s">
        <v>377</v>
      </c>
    </row>
    <row r="209" s="128" customFormat="1" customHeight="1" spans="1:91">
      <c r="A209" s="272">
        <v>171</v>
      </c>
      <c r="B209" s="128"/>
      <c r="C209" s="184">
        <v>45898</v>
      </c>
      <c r="D209" s="128">
        <v>20250004442</v>
      </c>
      <c r="E209" s="128" t="s">
        <v>4331</v>
      </c>
      <c r="F209" s="128" t="s">
        <v>4332</v>
      </c>
      <c r="G209" s="177" t="s">
        <v>4333</v>
      </c>
      <c r="H209" s="177"/>
      <c r="I209" s="128" t="s">
        <v>4334</v>
      </c>
      <c r="J209" s="128">
        <v>86.14</v>
      </c>
      <c r="K209" s="128">
        <v>86.14</v>
      </c>
      <c r="L209" s="128">
        <v>5084.75</v>
      </c>
      <c r="M209" s="274">
        <v>438000</v>
      </c>
      <c r="N209" s="218">
        <v>5054</v>
      </c>
      <c r="O209" s="168">
        <v>401834.86</v>
      </c>
      <c r="P209" s="1017" t="s">
        <v>4335</v>
      </c>
      <c r="Q209" s="211">
        <v>45910</v>
      </c>
      <c r="R209" s="218"/>
      <c r="S209" s="278"/>
      <c r="T209" s="284"/>
      <c r="U209" s="278"/>
      <c r="V209" s="218">
        <v>40000</v>
      </c>
      <c r="W209" s="278">
        <v>45897</v>
      </c>
      <c r="X209" s="218">
        <f>48000+350000</f>
        <v>398000</v>
      </c>
      <c r="Y209" s="278" t="s">
        <v>4336</v>
      </c>
      <c r="AA209" s="179"/>
      <c r="AB209" s="218"/>
      <c r="AH209" s="218">
        <f t="shared" si="30"/>
        <v>438000</v>
      </c>
      <c r="AK209" s="179">
        <f t="shared" si="33"/>
        <v>0</v>
      </c>
      <c r="AM209" s="177"/>
      <c r="AN209" s="279"/>
      <c r="AO209" s="128">
        <f t="shared" si="31"/>
        <v>0</v>
      </c>
      <c r="AP209" s="169"/>
      <c r="AQ209" s="275">
        <f t="shared" si="32"/>
        <v>0</v>
      </c>
      <c r="AR209" s="218"/>
      <c r="AS209" s="218"/>
      <c r="AT209" s="218"/>
      <c r="AU209" s="218"/>
      <c r="AV209" s="218"/>
      <c r="AW209" s="218"/>
      <c r="AX209" s="218"/>
      <c r="AY209" s="218"/>
      <c r="AZ209" s="218"/>
      <c r="BB209" s="218"/>
      <c r="CI209" s="128" t="s">
        <v>2825</v>
      </c>
      <c r="CK209" s="128" t="s">
        <v>377</v>
      </c>
    </row>
    <row r="210" s="128" customFormat="1" customHeight="1" spans="1:91">
      <c r="A210" s="272">
        <v>172</v>
      </c>
      <c r="C210" s="184">
        <v>45355</v>
      </c>
      <c r="D210" s="128">
        <v>20240001132</v>
      </c>
      <c r="F210" s="1016" t="s">
        <v>4337</v>
      </c>
      <c r="G210" s="177" t="s">
        <v>4338</v>
      </c>
      <c r="H210" s="1019" t="s">
        <v>4339</v>
      </c>
      <c r="I210" s="128" t="s">
        <v>4340</v>
      </c>
      <c r="J210" s="128">
        <v>115.78</v>
      </c>
      <c r="K210" s="128">
        <v>115.78</v>
      </c>
      <c r="L210" s="128">
        <v>5096</v>
      </c>
      <c r="M210" s="274">
        <v>590000</v>
      </c>
      <c r="N210" s="218">
        <v>5054</v>
      </c>
      <c r="O210" s="168">
        <v>541284.4</v>
      </c>
      <c r="P210" s="1017" t="s">
        <v>4341</v>
      </c>
      <c r="Q210" s="211">
        <v>45846</v>
      </c>
      <c r="R210" s="218"/>
      <c r="S210" s="278"/>
      <c r="T210" s="284"/>
      <c r="U210" s="278" t="s">
        <v>2278</v>
      </c>
      <c r="V210" s="218">
        <v>10000</v>
      </c>
      <c r="W210" s="278" t="s">
        <v>479</v>
      </c>
      <c r="X210" s="218">
        <v>290000</v>
      </c>
      <c r="Y210" s="179" t="s">
        <v>3904</v>
      </c>
      <c r="Z210" s="128">
        <v>290000</v>
      </c>
      <c r="AA210" s="179" t="s">
        <v>3905</v>
      </c>
      <c r="AB210" s="218"/>
      <c r="AH210" s="218">
        <f t="shared" si="30"/>
        <v>590000</v>
      </c>
      <c r="AK210" s="179">
        <f t="shared" si="33"/>
        <v>0</v>
      </c>
      <c r="AL210" s="128">
        <v>18699696611</v>
      </c>
      <c r="AM210" s="177"/>
      <c r="AN210" s="279"/>
      <c r="AO210" s="128">
        <f t="shared" si="31"/>
        <v>590000</v>
      </c>
      <c r="AP210" s="173">
        <f>0.7%+0.04%+0.14%</f>
        <v>0.0088</v>
      </c>
      <c r="AQ210" s="275">
        <f t="shared" si="32"/>
        <v>0</v>
      </c>
      <c r="AR210" s="218"/>
      <c r="AS210" s="218"/>
      <c r="AT210" s="218"/>
      <c r="AU210" s="218"/>
      <c r="AV210" s="218"/>
      <c r="AW210" s="218"/>
      <c r="AX210" s="218"/>
      <c r="AY210" s="218"/>
      <c r="AZ210" s="218"/>
      <c r="BB210" s="218"/>
      <c r="BG210" s="128">
        <v>590000</v>
      </c>
      <c r="CI210" s="128" t="s">
        <v>376</v>
      </c>
      <c r="CJ210" s="128" t="s">
        <v>387</v>
      </c>
      <c r="CK210" s="128" t="s">
        <v>377</v>
      </c>
    </row>
    <row r="211" s="128" customFormat="1" customHeight="1" spans="1:91">
      <c r="A211" s="272">
        <v>173</v>
      </c>
      <c r="C211" s="184">
        <v>45401</v>
      </c>
      <c r="D211" s="128">
        <v>20240002185</v>
      </c>
      <c r="F211" s="1016" t="s">
        <v>4342</v>
      </c>
      <c r="G211" s="177" t="s">
        <v>4343</v>
      </c>
      <c r="H211" s="1019" t="s">
        <v>4344</v>
      </c>
      <c r="I211" s="128" t="s">
        <v>4345</v>
      </c>
      <c r="J211" s="128">
        <v>132.34</v>
      </c>
      <c r="K211" s="128">
        <v>132.34</v>
      </c>
      <c r="L211" s="128">
        <v>5191.17</v>
      </c>
      <c r="M211" s="274">
        <v>687000</v>
      </c>
      <c r="N211" s="218">
        <v>5095</v>
      </c>
      <c r="O211" s="168">
        <v>630275.23</v>
      </c>
      <c r="P211" s="1017" t="s">
        <v>4346</v>
      </c>
      <c r="Q211" s="211">
        <v>45846</v>
      </c>
      <c r="R211" s="218"/>
      <c r="S211" s="278"/>
      <c r="T211" s="284"/>
      <c r="U211" s="278" t="s">
        <v>486</v>
      </c>
      <c r="V211" s="218">
        <v>20000</v>
      </c>
      <c r="W211" s="278" t="s">
        <v>3818</v>
      </c>
      <c r="X211" s="218">
        <v>517000</v>
      </c>
      <c r="Y211" s="278" t="s">
        <v>385</v>
      </c>
      <c r="Z211" s="218">
        <v>150000</v>
      </c>
      <c r="AA211" s="278" t="s">
        <v>3793</v>
      </c>
      <c r="AB211" s="218"/>
      <c r="AH211" s="218">
        <f t="shared" si="30"/>
        <v>687000</v>
      </c>
      <c r="AK211" s="179">
        <f t="shared" si="33"/>
        <v>0</v>
      </c>
      <c r="AL211" s="128">
        <v>19990287649</v>
      </c>
      <c r="AM211" s="177"/>
      <c r="AN211" s="279"/>
      <c r="AO211" s="128">
        <f t="shared" si="31"/>
        <v>687000</v>
      </c>
      <c r="AP211" s="169">
        <f>0.5%+0.04%+0.14%</f>
        <v>0.0068</v>
      </c>
      <c r="AQ211" s="275">
        <f t="shared" si="32"/>
        <v>0</v>
      </c>
      <c r="AR211" s="218"/>
      <c r="AS211" s="218"/>
      <c r="AT211" s="218"/>
      <c r="AU211" s="218"/>
      <c r="AV211" s="218"/>
      <c r="AW211" s="218"/>
      <c r="AX211" s="218"/>
      <c r="AY211" s="218"/>
      <c r="AZ211" s="218"/>
      <c r="BB211" s="218"/>
      <c r="BH211" s="128">
        <v>537000</v>
      </c>
      <c r="BJ211" s="128">
        <v>150000</v>
      </c>
      <c r="CI211" s="128" t="s">
        <v>376</v>
      </c>
      <c r="CJ211" s="128" t="s">
        <v>387</v>
      </c>
      <c r="CK211" s="128" t="s">
        <v>377</v>
      </c>
    </row>
    <row r="212" s="128" customFormat="1" customHeight="1" spans="1:91">
      <c r="A212" s="272">
        <v>174</v>
      </c>
      <c r="C212" s="184">
        <v>45968</v>
      </c>
      <c r="D212" s="128">
        <v>20250005713</v>
      </c>
      <c r="E212" s="128" t="s">
        <v>4347</v>
      </c>
      <c r="F212" s="1016" t="s">
        <v>4348</v>
      </c>
      <c r="G212" s="177" t="s">
        <v>4349</v>
      </c>
      <c r="H212" s="177"/>
      <c r="I212" s="128" t="s">
        <v>4350</v>
      </c>
      <c r="J212" s="128">
        <v>86.14</v>
      </c>
      <c r="K212" s="128">
        <v>86.14</v>
      </c>
      <c r="L212" s="128">
        <v>5441.49</v>
      </c>
      <c r="M212" s="274">
        <v>468730</v>
      </c>
      <c r="N212" s="218">
        <v>5115</v>
      </c>
      <c r="O212" s="168">
        <v>430027.52</v>
      </c>
      <c r="P212" s="1017" t="s">
        <v>4351</v>
      </c>
      <c r="Q212" s="211">
        <v>45972</v>
      </c>
      <c r="R212" s="218"/>
      <c r="S212" s="278"/>
      <c r="T212" s="284"/>
      <c r="U212" s="278"/>
      <c r="V212" s="218">
        <v>468730</v>
      </c>
      <c r="W212" s="278">
        <v>45968</v>
      </c>
      <c r="X212" s="218"/>
      <c r="Y212" s="179"/>
      <c r="AA212" s="179"/>
      <c r="AB212" s="218"/>
      <c r="AH212" s="218">
        <f t="shared" si="30"/>
        <v>468730</v>
      </c>
      <c r="AK212" s="179">
        <f t="shared" si="33"/>
        <v>0</v>
      </c>
      <c r="AM212" s="177"/>
      <c r="AN212" s="279"/>
      <c r="AO212" s="128">
        <f t="shared" si="31"/>
        <v>0</v>
      </c>
      <c r="AP212" s="169"/>
      <c r="AQ212" s="275">
        <f t="shared" si="32"/>
        <v>0</v>
      </c>
      <c r="AR212" s="218"/>
      <c r="AS212" s="218"/>
      <c r="AT212" s="218"/>
      <c r="AU212" s="218"/>
      <c r="AV212" s="218"/>
      <c r="AW212" s="218"/>
      <c r="AX212" s="218"/>
      <c r="AY212" s="218"/>
      <c r="AZ212" s="218"/>
      <c r="BB212" s="218"/>
      <c r="CI212" s="128" t="s">
        <v>3376</v>
      </c>
      <c r="CK212" s="128" t="s">
        <v>4291</v>
      </c>
    </row>
    <row r="213" s="128" customFormat="1" customHeight="1" spans="1:91">
      <c r="A213" s="272">
        <v>175</v>
      </c>
      <c r="C213" s="184">
        <v>45353</v>
      </c>
      <c r="D213" s="128">
        <v>20240001101</v>
      </c>
      <c r="F213" s="1016" t="s">
        <v>4352</v>
      </c>
      <c r="G213" s="177" t="s">
        <v>4353</v>
      </c>
      <c r="H213" s="1019" t="s">
        <v>4354</v>
      </c>
      <c r="I213" s="128" t="s">
        <v>4355</v>
      </c>
      <c r="J213" s="128">
        <v>115.78</v>
      </c>
      <c r="K213" s="128">
        <v>115.78</v>
      </c>
      <c r="L213" s="128">
        <v>5205</v>
      </c>
      <c r="M213" s="274">
        <v>602635</v>
      </c>
      <c r="N213" s="218">
        <v>5105</v>
      </c>
      <c r="O213" s="168">
        <v>552876.15</v>
      </c>
      <c r="P213" s="1018" t="s">
        <v>4356</v>
      </c>
      <c r="Q213" s="211">
        <v>45832</v>
      </c>
      <c r="T213" s="284"/>
      <c r="U213" s="278" t="s">
        <v>400</v>
      </c>
      <c r="V213" s="218">
        <v>20000</v>
      </c>
      <c r="W213" s="278" t="s">
        <v>4357</v>
      </c>
      <c r="X213" s="218">
        <v>125000</v>
      </c>
      <c r="Y213" s="278" t="s">
        <v>479</v>
      </c>
      <c r="Z213" s="128">
        <v>55000</v>
      </c>
      <c r="AA213" s="179" t="s">
        <v>479</v>
      </c>
      <c r="AB213" s="218">
        <v>402635</v>
      </c>
      <c r="AC213" s="278" t="s">
        <v>4358</v>
      </c>
      <c r="AH213" s="218">
        <f t="shared" si="30"/>
        <v>602635</v>
      </c>
      <c r="AK213" s="179">
        <f t="shared" ref="AK213:AK222" si="34">M213-AH213</f>
        <v>0</v>
      </c>
      <c r="AL213" s="128">
        <v>13364854094</v>
      </c>
      <c r="AM213" s="177"/>
      <c r="AN213" s="279"/>
      <c r="AO213" s="128">
        <f t="shared" si="31"/>
        <v>602635</v>
      </c>
      <c r="AP213" s="173">
        <f>0.7%+0.03%+0.12%</f>
        <v>0.0085</v>
      </c>
      <c r="AQ213" s="275">
        <f t="shared" si="32"/>
        <v>0</v>
      </c>
      <c r="AR213" s="218"/>
      <c r="AS213" s="218"/>
      <c r="AT213" s="218"/>
      <c r="AU213" s="218"/>
      <c r="AV213" s="218"/>
      <c r="AW213" s="218"/>
      <c r="AX213" s="218"/>
      <c r="AY213" s="218"/>
      <c r="AZ213" s="218"/>
      <c r="BB213" s="218"/>
      <c r="BM213" s="128">
        <v>602635</v>
      </c>
      <c r="CI213" s="128" t="s">
        <v>376</v>
      </c>
      <c r="CJ213" s="128" t="s">
        <v>387</v>
      </c>
      <c r="CK213" s="128" t="s">
        <v>377</v>
      </c>
    </row>
    <row r="214" s="128" customFormat="1" customHeight="1" spans="1:91">
      <c r="A214" s="272">
        <v>176</v>
      </c>
      <c r="C214" s="184">
        <v>45344</v>
      </c>
      <c r="D214" s="128">
        <v>20240000921</v>
      </c>
      <c r="F214" s="1016" t="s">
        <v>4359</v>
      </c>
      <c r="G214" s="177" t="s">
        <v>3755</v>
      </c>
      <c r="H214" s="1019" t="s">
        <v>4360</v>
      </c>
      <c r="I214" s="128" t="s">
        <v>4361</v>
      </c>
      <c r="J214" s="128">
        <v>132.34</v>
      </c>
      <c r="K214" s="128">
        <v>132.34</v>
      </c>
      <c r="L214" s="128">
        <v>5213.84</v>
      </c>
      <c r="M214" s="274">
        <v>690000</v>
      </c>
      <c r="N214" s="218">
        <v>5155</v>
      </c>
      <c r="O214" s="168">
        <v>633027.52</v>
      </c>
      <c r="P214" s="1017" t="s">
        <v>4362</v>
      </c>
      <c r="Q214" s="211">
        <v>45846</v>
      </c>
      <c r="R214" s="218"/>
      <c r="S214" s="278"/>
      <c r="T214" s="284"/>
      <c r="U214" s="278" t="s">
        <v>393</v>
      </c>
      <c r="V214" s="218">
        <v>20000</v>
      </c>
      <c r="W214" s="278" t="s">
        <v>1029</v>
      </c>
      <c r="X214" s="218">
        <v>670000</v>
      </c>
      <c r="Y214" s="179" t="s">
        <v>3982</v>
      </c>
      <c r="AA214" s="179"/>
      <c r="AB214" s="218"/>
      <c r="AH214" s="218">
        <f t="shared" si="30"/>
        <v>690000</v>
      </c>
      <c r="AK214" s="179">
        <f t="shared" si="34"/>
        <v>0</v>
      </c>
      <c r="AL214" s="128">
        <v>13201131444</v>
      </c>
      <c r="AM214" s="177"/>
      <c r="AN214" s="279"/>
      <c r="AO214" s="128">
        <f t="shared" si="31"/>
        <v>690000</v>
      </c>
      <c r="AP214" s="173">
        <f>0.6%+0.05%+0.14%</f>
        <v>0.0079</v>
      </c>
      <c r="AQ214" s="275">
        <f t="shared" si="32"/>
        <v>0</v>
      </c>
      <c r="AR214" s="218"/>
      <c r="AS214" s="218"/>
      <c r="AT214" s="218"/>
      <c r="AU214" s="218"/>
      <c r="AV214" s="218"/>
      <c r="AW214" s="218"/>
      <c r="AX214" s="218"/>
      <c r="AY214" s="218"/>
      <c r="AZ214" s="218"/>
      <c r="BB214" s="218"/>
      <c r="BF214" s="128">
        <v>690000</v>
      </c>
      <c r="CI214" s="128" t="s">
        <v>376</v>
      </c>
      <c r="CJ214" s="128" t="s">
        <v>387</v>
      </c>
      <c r="CK214" s="128" t="s">
        <v>377</v>
      </c>
    </row>
    <row r="215" s="128" customFormat="1" customHeight="1" spans="1:91">
      <c r="A215" s="272">
        <v>177</v>
      </c>
      <c r="C215" s="184">
        <v>45546</v>
      </c>
      <c r="D215" s="128">
        <v>20240005221</v>
      </c>
      <c r="F215" s="1016" t="s">
        <v>4363</v>
      </c>
      <c r="G215" s="177" t="s">
        <v>4364</v>
      </c>
      <c r="H215" s="177"/>
      <c r="I215" s="128" t="s">
        <v>4365</v>
      </c>
      <c r="J215" s="128">
        <v>86.14</v>
      </c>
      <c r="K215" s="128">
        <v>86.14</v>
      </c>
      <c r="L215" s="128">
        <v>5300</v>
      </c>
      <c r="M215" s="274">
        <v>456542</v>
      </c>
      <c r="N215" s="218">
        <v>5195</v>
      </c>
      <c r="O215" s="168">
        <v>418845.87</v>
      </c>
      <c r="P215" s="1017" t="s">
        <v>4366</v>
      </c>
      <c r="Q215" s="211">
        <v>45846</v>
      </c>
      <c r="R215" s="218"/>
      <c r="S215" s="278"/>
      <c r="T215" s="284"/>
      <c r="U215" s="278" t="s">
        <v>486</v>
      </c>
      <c r="V215" s="218">
        <v>10000</v>
      </c>
      <c r="W215" s="278" t="s">
        <v>4206</v>
      </c>
      <c r="X215" s="218">
        <v>6542</v>
      </c>
      <c r="Y215" s="278">
        <v>45546</v>
      </c>
      <c r="Z215" s="128">
        <v>140000</v>
      </c>
      <c r="AA215" s="179" t="s">
        <v>779</v>
      </c>
      <c r="AB215" s="218">
        <v>300000</v>
      </c>
      <c r="AC215" s="278" t="s">
        <v>507</v>
      </c>
      <c r="AH215" s="218">
        <f t="shared" si="30"/>
        <v>456542</v>
      </c>
      <c r="AK215" s="179">
        <f t="shared" si="34"/>
        <v>0</v>
      </c>
      <c r="AL215" s="128">
        <v>13779679327</v>
      </c>
      <c r="AM215" s="177"/>
      <c r="AN215" s="279"/>
      <c r="AO215" s="128">
        <f t="shared" si="31"/>
        <v>456542</v>
      </c>
      <c r="AP215" s="169">
        <f>0.4%+0.03%+0.12%</f>
        <v>0.0055</v>
      </c>
      <c r="AQ215" s="275">
        <f t="shared" si="32"/>
        <v>0</v>
      </c>
      <c r="AR215" s="218"/>
      <c r="AS215" s="218"/>
      <c r="AT215" s="218"/>
      <c r="AU215" s="218"/>
      <c r="AV215" s="218"/>
      <c r="AW215" s="218"/>
      <c r="AX215" s="218"/>
      <c r="AY215" s="218"/>
      <c r="AZ215" s="218"/>
      <c r="BB215" s="218"/>
      <c r="BO215" s="128">
        <v>456542</v>
      </c>
      <c r="CI215" s="128" t="s">
        <v>376</v>
      </c>
      <c r="CK215" s="128" t="s">
        <v>377</v>
      </c>
    </row>
    <row r="216" s="128" customFormat="1" customHeight="1" spans="1:91">
      <c r="A216" s="272">
        <v>178</v>
      </c>
      <c r="C216" s="184">
        <v>45311</v>
      </c>
      <c r="D216" s="128">
        <v>20240000478</v>
      </c>
      <c r="F216" s="1016" t="s">
        <v>4367</v>
      </c>
      <c r="G216" s="177" t="s">
        <v>4368</v>
      </c>
      <c r="H216" s="177"/>
      <c r="I216" s="128" t="s">
        <v>4369</v>
      </c>
      <c r="J216" s="128">
        <v>115.78</v>
      </c>
      <c r="K216" s="128">
        <v>115.78</v>
      </c>
      <c r="L216" s="128">
        <f>M216/K216</f>
        <v>5268.6128865089</v>
      </c>
      <c r="M216" s="274">
        <v>610000</v>
      </c>
      <c r="N216" s="218">
        <v>5165</v>
      </c>
      <c r="O216" s="168">
        <v>559633.03</v>
      </c>
      <c r="P216" s="1017" t="s">
        <v>4370</v>
      </c>
      <c r="Q216" s="211">
        <v>45846</v>
      </c>
      <c r="R216" s="218"/>
      <c r="S216" s="278"/>
      <c r="T216" s="284"/>
      <c r="U216" s="278"/>
      <c r="V216" s="218">
        <v>20000</v>
      </c>
      <c r="W216" s="278" t="s">
        <v>3876</v>
      </c>
      <c r="X216" s="218">
        <v>170000</v>
      </c>
      <c r="Y216" s="179" t="s">
        <v>450</v>
      </c>
      <c r="Z216" s="218">
        <v>420000</v>
      </c>
      <c r="AA216" s="278" t="s">
        <v>3785</v>
      </c>
      <c r="AB216" s="218"/>
      <c r="AH216" s="218">
        <f t="shared" si="30"/>
        <v>610000</v>
      </c>
      <c r="AK216" s="179">
        <f t="shared" si="34"/>
        <v>0</v>
      </c>
      <c r="AM216" s="177"/>
      <c r="AN216" s="279"/>
      <c r="AO216" s="128">
        <f t="shared" si="31"/>
        <v>610000</v>
      </c>
      <c r="AP216" s="173">
        <f>0.4%+0.04%+0.12%</f>
        <v>0.0056</v>
      </c>
      <c r="AQ216" s="275">
        <f t="shared" si="32"/>
        <v>0</v>
      </c>
      <c r="AR216" s="218"/>
      <c r="AS216" s="218"/>
      <c r="AT216" s="218"/>
      <c r="AU216" s="218"/>
      <c r="AV216" s="218"/>
      <c r="AW216" s="218"/>
      <c r="AX216" s="218"/>
      <c r="AY216" s="218"/>
      <c r="AZ216" s="218"/>
      <c r="BB216" s="218"/>
      <c r="BE216" s="128">
        <v>190000</v>
      </c>
      <c r="BG216" s="128">
        <v>420000</v>
      </c>
      <c r="CI216" s="128" t="s">
        <v>376</v>
      </c>
      <c r="CJ216" s="128" t="s">
        <v>387</v>
      </c>
      <c r="CK216" s="128" t="s">
        <v>377</v>
      </c>
    </row>
    <row r="217" s="128" customFormat="1" customHeight="1" spans="1:91">
      <c r="A217" s="272">
        <v>179</v>
      </c>
      <c r="C217" s="184">
        <v>45343</v>
      </c>
      <c r="D217" s="128">
        <v>20240000900</v>
      </c>
      <c r="F217" s="1016" t="s">
        <v>4371</v>
      </c>
      <c r="G217" s="177" t="s">
        <v>4372</v>
      </c>
      <c r="H217" s="1019" t="s">
        <v>4373</v>
      </c>
      <c r="I217" s="128" t="s">
        <v>4374</v>
      </c>
      <c r="J217" s="128">
        <v>132.34</v>
      </c>
      <c r="K217" s="128">
        <v>132.34</v>
      </c>
      <c r="L217" s="128">
        <v>5307</v>
      </c>
      <c r="M217" s="274">
        <v>702328</v>
      </c>
      <c r="N217" s="218">
        <v>5207</v>
      </c>
      <c r="O217" s="168">
        <v>644337.61</v>
      </c>
      <c r="P217" s="1017" t="s">
        <v>4375</v>
      </c>
      <c r="Q217" s="211">
        <v>45846</v>
      </c>
      <c r="R217" s="218"/>
      <c r="S217" s="278"/>
      <c r="T217" s="284"/>
      <c r="U217" s="278" t="s">
        <v>662</v>
      </c>
      <c r="V217" s="218">
        <v>20000</v>
      </c>
      <c r="W217" s="278" t="s">
        <v>4376</v>
      </c>
      <c r="X217" s="218">
        <v>152328</v>
      </c>
      <c r="Y217" s="179" t="s">
        <v>3818</v>
      </c>
      <c r="Z217" s="128">
        <v>30000</v>
      </c>
      <c r="AA217" s="179" t="s">
        <v>4000</v>
      </c>
      <c r="AB217" s="218">
        <v>500000</v>
      </c>
      <c r="AC217" s="278" t="s">
        <v>3785</v>
      </c>
      <c r="AH217" s="218">
        <f t="shared" si="30"/>
        <v>702328</v>
      </c>
      <c r="AK217" s="179">
        <f t="shared" si="34"/>
        <v>0</v>
      </c>
      <c r="AL217" s="128">
        <v>17699244170</v>
      </c>
      <c r="AM217" s="177"/>
      <c r="AN217" s="279"/>
      <c r="AO217" s="128">
        <f t="shared" si="31"/>
        <v>702328</v>
      </c>
      <c r="AP217" s="173">
        <f>0.5%+0.14%</f>
        <v>0.0064</v>
      </c>
      <c r="AQ217" s="275">
        <f t="shared" si="32"/>
        <v>0</v>
      </c>
      <c r="AR217" s="218"/>
      <c r="AS217" s="218"/>
      <c r="AT217" s="218"/>
      <c r="AU217" s="218"/>
      <c r="AV217" s="218"/>
      <c r="AW217" s="218"/>
      <c r="AX217" s="218"/>
      <c r="AY217" s="218"/>
      <c r="AZ217" s="218"/>
      <c r="BB217" s="218"/>
      <c r="BF217" s="128">
        <v>202328</v>
      </c>
      <c r="BG217" s="128">
        <v>500000</v>
      </c>
      <c r="CI217" s="128" t="s">
        <v>376</v>
      </c>
      <c r="CJ217" s="128" t="s">
        <v>387</v>
      </c>
      <c r="CK217" s="128" t="s">
        <v>377</v>
      </c>
      <c r="CM217" s="128" t="e">
        <f>CK217-CL217</f>
        <v>#VALUE!</v>
      </c>
    </row>
    <row r="218" s="128" customFormat="1" customHeight="1" spans="1:91">
      <c r="A218" s="272">
        <v>180</v>
      </c>
      <c r="C218" s="184">
        <v>45707</v>
      </c>
      <c r="D218" s="128">
        <v>20250000715</v>
      </c>
      <c r="E218" s="128" t="s">
        <v>4377</v>
      </c>
      <c r="F218" s="1016" t="s">
        <v>4378</v>
      </c>
      <c r="G218" s="177" t="s">
        <v>4379</v>
      </c>
      <c r="H218" s="177"/>
      <c r="I218" s="128" t="s">
        <v>4380</v>
      </c>
      <c r="J218" s="128">
        <v>86.14</v>
      </c>
      <c r="K218" s="128">
        <v>86.14</v>
      </c>
      <c r="L218" s="128">
        <v>5200</v>
      </c>
      <c r="M218" s="274">
        <v>447928</v>
      </c>
      <c r="N218" s="218">
        <v>5257</v>
      </c>
      <c r="O218" s="168">
        <v>410943.12</v>
      </c>
      <c r="P218" s="1017" t="s">
        <v>4381</v>
      </c>
      <c r="Q218" s="211">
        <v>45854</v>
      </c>
      <c r="R218" s="218"/>
      <c r="S218" s="278"/>
      <c r="T218" s="284"/>
      <c r="U218" s="278"/>
      <c r="V218" s="218">
        <v>447928</v>
      </c>
      <c r="W218" s="278" t="s">
        <v>3444</v>
      </c>
      <c r="X218" s="218"/>
      <c r="Y218" s="179"/>
      <c r="AA218" s="179"/>
      <c r="AB218" s="218"/>
      <c r="AH218" s="218">
        <f t="shared" si="30"/>
        <v>447928</v>
      </c>
      <c r="AK218" s="179">
        <f t="shared" si="34"/>
        <v>0</v>
      </c>
      <c r="AM218" s="177"/>
      <c r="AN218" s="279"/>
      <c r="AO218" s="128">
        <f t="shared" si="31"/>
        <v>0</v>
      </c>
      <c r="AP218" s="169"/>
      <c r="AQ218" s="275">
        <f t="shared" si="32"/>
        <v>0</v>
      </c>
      <c r="AR218" s="218"/>
      <c r="AS218" s="218"/>
      <c r="AT218" s="218"/>
      <c r="AU218" s="218"/>
      <c r="AV218" s="218"/>
      <c r="AW218" s="218"/>
      <c r="AX218" s="218"/>
      <c r="AY218" s="218"/>
      <c r="AZ218" s="218"/>
      <c r="BB218" s="218"/>
      <c r="CI218" s="128" t="s">
        <v>376</v>
      </c>
      <c r="CK218" s="128" t="s">
        <v>377</v>
      </c>
    </row>
    <row r="219" s="128" customFormat="1" customHeight="1" spans="1:91">
      <c r="A219" s="272">
        <v>181</v>
      </c>
      <c r="C219" s="184">
        <v>45360</v>
      </c>
      <c r="D219" s="128">
        <v>20240001249</v>
      </c>
      <c r="F219" s="128" t="s">
        <v>4382</v>
      </c>
      <c r="G219" s="177" t="s">
        <v>4383</v>
      </c>
      <c r="H219" s="1019" t="s">
        <v>4384</v>
      </c>
      <c r="I219" s="128" t="s">
        <v>4385</v>
      </c>
      <c r="J219" s="128">
        <v>115.78</v>
      </c>
      <c r="K219" s="128">
        <v>115.78</v>
      </c>
      <c r="L219" s="128">
        <v>5285.88</v>
      </c>
      <c r="M219" s="274">
        <v>612000</v>
      </c>
      <c r="N219" s="218">
        <v>5217</v>
      </c>
      <c r="O219" s="168">
        <v>561467.89</v>
      </c>
      <c r="P219" s="1017" t="s">
        <v>4386</v>
      </c>
      <c r="Q219" s="211">
        <v>45854</v>
      </c>
      <c r="R219" s="218"/>
      <c r="S219" s="284"/>
      <c r="T219" s="284"/>
      <c r="U219" s="278"/>
      <c r="V219" s="218">
        <v>20000</v>
      </c>
      <c r="W219" s="278" t="s">
        <v>1016</v>
      </c>
      <c r="X219" s="218">
        <v>102000</v>
      </c>
      <c r="Y219" s="278" t="s">
        <v>4387</v>
      </c>
      <c r="Z219" s="128">
        <v>29000</v>
      </c>
      <c r="AA219" s="179" t="s">
        <v>4388</v>
      </c>
      <c r="AB219" s="218">
        <v>461000</v>
      </c>
      <c r="AC219" s="284" t="s">
        <v>4069</v>
      </c>
      <c r="AH219" s="218">
        <f t="shared" si="30"/>
        <v>612000</v>
      </c>
      <c r="AK219" s="179">
        <f t="shared" si="34"/>
        <v>0</v>
      </c>
      <c r="AL219" s="1016" t="s">
        <v>4389</v>
      </c>
      <c r="AM219" s="177"/>
      <c r="AN219" s="279"/>
      <c r="AO219" s="128">
        <f t="shared" si="31"/>
        <v>612000</v>
      </c>
      <c r="AP219" s="173">
        <f>0.7%+0.03%+0.12%</f>
        <v>0.0085</v>
      </c>
      <c r="AQ219" s="275">
        <f t="shared" si="32"/>
        <v>0</v>
      </c>
      <c r="AR219" s="218"/>
      <c r="AS219" s="218"/>
      <c r="AT219" s="218"/>
      <c r="AU219" s="218"/>
      <c r="AV219" s="218"/>
      <c r="AW219" s="218"/>
      <c r="AX219" s="218"/>
      <c r="AY219" s="218"/>
      <c r="AZ219" s="218"/>
      <c r="BB219" s="218"/>
      <c r="BG219" s="128">
        <v>151000</v>
      </c>
      <c r="BI219" s="128">
        <v>461000</v>
      </c>
      <c r="CI219" s="128" t="s">
        <v>376</v>
      </c>
      <c r="CJ219" s="128" t="s">
        <v>387</v>
      </c>
      <c r="CK219" s="128" t="s">
        <v>377</v>
      </c>
    </row>
    <row r="220" s="128" customFormat="1" customHeight="1" spans="1:91">
      <c r="A220" s="272">
        <v>182</v>
      </c>
      <c r="C220" s="184">
        <v>45367</v>
      </c>
      <c r="D220" s="128">
        <v>20240001546</v>
      </c>
      <c r="F220" s="1016" t="s">
        <v>4390</v>
      </c>
      <c r="G220" s="177" t="s">
        <v>4391</v>
      </c>
      <c r="H220" s="1019" t="s">
        <v>4392</v>
      </c>
      <c r="I220" s="128" t="s">
        <v>4393</v>
      </c>
      <c r="J220" s="128">
        <v>132.34</v>
      </c>
      <c r="K220" s="128">
        <v>132.34</v>
      </c>
      <c r="L220" s="128">
        <f>M220/K220</f>
        <v>5289.40607526069</v>
      </c>
      <c r="M220" s="274">
        <v>700000</v>
      </c>
      <c r="N220" s="218">
        <v>5237</v>
      </c>
      <c r="O220" s="168">
        <v>642201.83</v>
      </c>
      <c r="P220" s="1017" t="s">
        <v>4394</v>
      </c>
      <c r="Q220" s="211">
        <v>45854</v>
      </c>
      <c r="R220" s="218"/>
      <c r="S220" s="278"/>
      <c r="T220" s="284"/>
      <c r="U220" s="278" t="s">
        <v>4395</v>
      </c>
      <c r="V220" s="218">
        <f>10000-10000</f>
        <v>0</v>
      </c>
      <c r="W220" s="278" t="s">
        <v>440</v>
      </c>
      <c r="X220" s="218">
        <f>10000+608000</f>
        <v>618000</v>
      </c>
      <c r="Y220" s="179"/>
      <c r="Z220" s="179">
        <v>82000</v>
      </c>
      <c r="AA220" s="128" t="s">
        <v>4050</v>
      </c>
      <c r="AB220" s="218"/>
      <c r="AH220" s="218">
        <f t="shared" si="30"/>
        <v>700000</v>
      </c>
      <c r="AK220" s="179">
        <f t="shared" si="34"/>
        <v>0</v>
      </c>
      <c r="AL220" s="128">
        <v>13039441680</v>
      </c>
      <c r="AM220" s="177"/>
      <c r="AN220" s="279"/>
      <c r="AO220" s="128">
        <f t="shared" si="31"/>
        <v>700000</v>
      </c>
      <c r="AP220" s="169">
        <f>0.4%+0.05%+0.12%</f>
        <v>0.0057</v>
      </c>
      <c r="AQ220" s="275">
        <f t="shared" si="32"/>
        <v>0</v>
      </c>
      <c r="AR220" s="218"/>
      <c r="AS220" s="218"/>
      <c r="AT220" s="218"/>
      <c r="AU220" s="218"/>
      <c r="AV220" s="218"/>
      <c r="AW220" s="218"/>
      <c r="AX220" s="218"/>
      <c r="AY220" s="218"/>
      <c r="AZ220" s="218"/>
      <c r="BB220" s="218"/>
      <c r="BG220" s="128">
        <v>700000</v>
      </c>
      <c r="CI220" s="128" t="s">
        <v>376</v>
      </c>
      <c r="CJ220" s="128" t="s">
        <v>387</v>
      </c>
      <c r="CK220" s="128" t="s">
        <v>377</v>
      </c>
    </row>
    <row r="221" s="128" customFormat="1" customHeight="1" spans="1:91">
      <c r="A221" s="272">
        <v>183</v>
      </c>
      <c r="C221" s="184">
        <v>45968</v>
      </c>
      <c r="D221" s="128">
        <v>20250005712</v>
      </c>
      <c r="E221" s="128" t="s">
        <v>4396</v>
      </c>
      <c r="F221" s="1016" t="s">
        <v>4397</v>
      </c>
      <c r="G221" s="177" t="s">
        <v>4398</v>
      </c>
      <c r="H221" s="177"/>
      <c r="I221" s="128" t="s">
        <v>4399</v>
      </c>
      <c r="J221" s="128">
        <v>86.14</v>
      </c>
      <c r="K221" s="128">
        <v>86.14</v>
      </c>
      <c r="L221" s="128">
        <v>5613.83</v>
      </c>
      <c r="M221" s="274">
        <v>483575</v>
      </c>
      <c r="N221" s="218">
        <v>5277</v>
      </c>
      <c r="O221" s="168">
        <v>443646.79</v>
      </c>
      <c r="P221" s="1017" t="s">
        <v>4400</v>
      </c>
      <c r="Q221" s="211">
        <v>45972</v>
      </c>
      <c r="R221" s="218"/>
      <c r="S221" s="278"/>
      <c r="T221" s="284"/>
      <c r="U221" s="278"/>
      <c r="V221" s="218">
        <v>483575</v>
      </c>
      <c r="W221" s="278">
        <v>45968</v>
      </c>
      <c r="X221" s="218"/>
      <c r="Y221" s="179"/>
      <c r="AA221" s="179"/>
      <c r="AB221" s="218"/>
      <c r="AH221" s="218">
        <f t="shared" si="30"/>
        <v>483575</v>
      </c>
      <c r="AK221" s="179">
        <f t="shared" si="34"/>
        <v>0</v>
      </c>
      <c r="AM221" s="177"/>
      <c r="AN221" s="279"/>
      <c r="AO221" s="128">
        <f t="shared" si="31"/>
        <v>0</v>
      </c>
      <c r="AP221" s="169"/>
      <c r="AQ221" s="275">
        <f t="shared" si="32"/>
        <v>0</v>
      </c>
      <c r="AR221" s="218"/>
      <c r="AS221" s="218"/>
      <c r="AT221" s="218"/>
      <c r="AU221" s="218"/>
      <c r="AV221" s="218"/>
      <c r="AW221" s="218"/>
      <c r="AX221" s="218"/>
      <c r="AY221" s="218"/>
      <c r="AZ221" s="218"/>
      <c r="BB221" s="218"/>
      <c r="CI221" s="128" t="s">
        <v>3376</v>
      </c>
      <c r="CK221" s="128" t="s">
        <v>4291</v>
      </c>
    </row>
    <row r="222" s="128" customFormat="1" customHeight="1" spans="1:91">
      <c r="A222" s="272">
        <v>184</v>
      </c>
      <c r="C222" s="184">
        <v>45358</v>
      </c>
      <c r="D222" s="128">
        <v>20240001205</v>
      </c>
      <c r="F222" s="1016" t="s">
        <v>4401</v>
      </c>
      <c r="G222" s="177" t="s">
        <v>4402</v>
      </c>
      <c r="H222" s="1019" t="s">
        <v>4403</v>
      </c>
      <c r="I222" s="128" t="s">
        <v>4404</v>
      </c>
      <c r="J222" s="128">
        <v>115.78</v>
      </c>
      <c r="K222" s="128">
        <v>115.78</v>
      </c>
      <c r="L222" s="128">
        <f>M222/K222</f>
        <v>5294.52409742615</v>
      </c>
      <c r="M222" s="274">
        <v>613000</v>
      </c>
      <c r="N222" s="218">
        <v>5247</v>
      </c>
      <c r="O222" s="168">
        <v>562385.32</v>
      </c>
      <c r="P222" s="1017" t="s">
        <v>4405</v>
      </c>
      <c r="Q222" s="211">
        <v>45854</v>
      </c>
      <c r="R222" s="218"/>
      <c r="S222" s="278"/>
      <c r="T222" s="284"/>
      <c r="U222" s="278" t="s">
        <v>677</v>
      </c>
      <c r="V222" s="218">
        <v>10000</v>
      </c>
      <c r="W222" s="278" t="s">
        <v>1071</v>
      </c>
      <c r="X222" s="218">
        <v>293000</v>
      </c>
      <c r="Y222" s="278" t="s">
        <v>3869</v>
      </c>
      <c r="Z222" s="218">
        <v>310000</v>
      </c>
      <c r="AA222" s="278" t="s">
        <v>554</v>
      </c>
      <c r="AB222" s="218"/>
      <c r="AH222" s="218">
        <f t="shared" si="30"/>
        <v>613000</v>
      </c>
      <c r="AK222" s="179">
        <f t="shared" si="34"/>
        <v>0</v>
      </c>
      <c r="AL222" s="128">
        <v>17339883402</v>
      </c>
      <c r="AM222" s="177"/>
      <c r="AN222" s="279"/>
      <c r="AO222" s="128">
        <f t="shared" si="31"/>
        <v>613000</v>
      </c>
      <c r="AP222" s="173">
        <f t="shared" ref="AP222:AP226" si="35">0.7%+0.05%+0.14%</f>
        <v>0.0089</v>
      </c>
      <c r="AQ222" s="275">
        <f t="shared" si="32"/>
        <v>0</v>
      </c>
      <c r="AR222" s="218"/>
      <c r="AS222" s="218"/>
      <c r="AT222" s="218"/>
      <c r="AU222" s="218"/>
      <c r="AV222" s="218"/>
      <c r="AW222" s="218"/>
      <c r="AX222" s="218"/>
      <c r="AY222" s="218"/>
      <c r="AZ222" s="218"/>
      <c r="BB222" s="218"/>
      <c r="BG222" s="128">
        <v>303000</v>
      </c>
      <c r="BH222" s="128">
        <v>310000</v>
      </c>
      <c r="CI222" s="128" t="s">
        <v>376</v>
      </c>
      <c r="CJ222" s="128" t="s">
        <v>387</v>
      </c>
      <c r="CK222" s="128" t="s">
        <v>377</v>
      </c>
    </row>
    <row r="223" s="128" customFormat="1" customHeight="1" spans="1:91">
      <c r="A223" s="272">
        <v>185</v>
      </c>
      <c r="C223" s="184">
        <v>45342</v>
      </c>
      <c r="D223" s="128">
        <v>20240000896</v>
      </c>
      <c r="F223" s="1016" t="s">
        <v>4406</v>
      </c>
      <c r="G223" s="177" t="s">
        <v>4407</v>
      </c>
      <c r="H223" s="1019" t="s">
        <v>4408</v>
      </c>
      <c r="I223" s="128" t="s">
        <v>4409</v>
      </c>
      <c r="J223" s="128">
        <v>132.34</v>
      </c>
      <c r="K223" s="128">
        <v>132.34</v>
      </c>
      <c r="L223" s="128">
        <v>5471</v>
      </c>
      <c r="M223" s="274">
        <v>724000</v>
      </c>
      <c r="N223" s="218">
        <v>5284</v>
      </c>
      <c r="O223" s="168">
        <v>664220.18</v>
      </c>
      <c r="P223" s="1017" t="s">
        <v>4410</v>
      </c>
      <c r="Q223" s="211">
        <v>45854</v>
      </c>
      <c r="R223" s="218"/>
      <c r="S223" s="278"/>
      <c r="T223" s="284"/>
      <c r="U223" s="278" t="s">
        <v>677</v>
      </c>
      <c r="V223" s="218">
        <v>20000</v>
      </c>
      <c r="W223" s="278" t="s">
        <v>4411</v>
      </c>
      <c r="X223" s="218">
        <v>90000</v>
      </c>
      <c r="Y223" s="179" t="s">
        <v>1029</v>
      </c>
      <c r="Z223" s="218">
        <v>35000</v>
      </c>
      <c r="AA223" s="278" t="s">
        <v>3904</v>
      </c>
      <c r="AB223" s="218">
        <v>579000</v>
      </c>
      <c r="AC223" s="278" t="s">
        <v>4412</v>
      </c>
      <c r="AH223" s="218">
        <f t="shared" si="30"/>
        <v>724000</v>
      </c>
      <c r="AK223" s="179">
        <f t="shared" ref="AK223:AK229" si="36">M223-AH223</f>
        <v>0</v>
      </c>
      <c r="AL223" s="128">
        <v>18096842951</v>
      </c>
      <c r="AM223" s="177"/>
      <c r="AN223" s="279"/>
      <c r="AO223" s="128">
        <f t="shared" si="31"/>
        <v>724000</v>
      </c>
      <c r="AP223" s="173">
        <f t="shared" si="35"/>
        <v>0.0089</v>
      </c>
      <c r="AQ223" s="275">
        <f t="shared" si="32"/>
        <v>0</v>
      </c>
      <c r="AR223" s="218"/>
      <c r="AS223" s="218"/>
      <c r="AT223" s="218"/>
      <c r="AU223" s="218"/>
      <c r="AV223" s="218"/>
      <c r="AW223" s="218"/>
      <c r="AX223" s="218"/>
      <c r="AY223" s="218"/>
      <c r="AZ223" s="218"/>
      <c r="BB223" s="218"/>
      <c r="BG223" s="128">
        <v>145000</v>
      </c>
      <c r="BH223" s="128">
        <v>579000</v>
      </c>
      <c r="CI223" s="128" t="s">
        <v>376</v>
      </c>
      <c r="CJ223" s="128" t="s">
        <v>387</v>
      </c>
      <c r="CK223" s="128" t="s">
        <v>377</v>
      </c>
    </row>
    <row r="224" s="101" customFormat="1" customHeight="1" spans="1:91">
      <c r="A224" s="199">
        <v>186</v>
      </c>
      <c r="C224" s="200"/>
      <c r="E224" s="101" t="s">
        <v>4413</v>
      </c>
      <c r="G224" s="200"/>
      <c r="H224" s="200"/>
      <c r="I224" s="101" t="s">
        <v>4414</v>
      </c>
      <c r="J224" s="101">
        <v>86.14</v>
      </c>
      <c r="M224" s="235"/>
      <c r="N224" s="202">
        <v>5315</v>
      </c>
      <c r="O224" s="158"/>
      <c r="P224" s="199"/>
      <c r="Q224" s="205"/>
      <c r="R224" s="202"/>
      <c r="S224" s="289"/>
      <c r="T224" s="290"/>
      <c r="U224" s="289"/>
      <c r="V224" s="202"/>
      <c r="W224" s="201"/>
      <c r="X224" s="202"/>
      <c r="Y224" s="201"/>
      <c r="AA224" s="201"/>
      <c r="AB224" s="202"/>
      <c r="AH224" s="202">
        <f t="shared" si="30"/>
        <v>0</v>
      </c>
      <c r="AK224" s="201"/>
      <c r="AM224" s="200"/>
      <c r="AN224" s="203"/>
      <c r="AO224" s="101">
        <f t="shared" si="31"/>
        <v>0</v>
      </c>
      <c r="AP224" s="159"/>
      <c r="AQ224" s="268">
        <f t="shared" si="32"/>
        <v>0</v>
      </c>
      <c r="AR224" s="202"/>
      <c r="AS224" s="202"/>
      <c r="AT224" s="202"/>
      <c r="AU224" s="202"/>
      <c r="AV224" s="202"/>
      <c r="AW224" s="202"/>
      <c r="AX224" s="202"/>
      <c r="AY224" s="202"/>
      <c r="AZ224" s="202"/>
      <c r="BB224" s="202"/>
    </row>
    <row r="225" s="128" customFormat="1" customHeight="1" spans="1:89">
      <c r="A225" s="272">
        <v>187</v>
      </c>
      <c r="C225" s="184">
        <v>45350</v>
      </c>
      <c r="D225" s="128">
        <v>20240001009</v>
      </c>
      <c r="F225" s="1016" t="s">
        <v>4415</v>
      </c>
      <c r="G225" s="177" t="s">
        <v>4416</v>
      </c>
      <c r="H225" s="1019" t="s">
        <v>4417</v>
      </c>
      <c r="I225" s="128" t="s">
        <v>4418</v>
      </c>
      <c r="J225" s="128">
        <v>115.78</v>
      </c>
      <c r="K225" s="128">
        <v>115.78</v>
      </c>
      <c r="L225" s="128">
        <v>5337.7</v>
      </c>
      <c r="M225" s="274">
        <v>618000</v>
      </c>
      <c r="N225" s="218">
        <v>5294</v>
      </c>
      <c r="O225" s="168">
        <v>566972.48</v>
      </c>
      <c r="P225" s="1017" t="s">
        <v>4419</v>
      </c>
      <c r="Q225" s="211">
        <v>45855</v>
      </c>
      <c r="R225" s="218"/>
      <c r="S225" s="278"/>
      <c r="T225" s="284"/>
      <c r="U225" s="278" t="s">
        <v>772</v>
      </c>
      <c r="V225" s="218">
        <v>20000</v>
      </c>
      <c r="W225" s="278" t="s">
        <v>4411</v>
      </c>
      <c r="X225" s="218">
        <v>128000</v>
      </c>
      <c r="Y225" s="179" t="s">
        <v>4000</v>
      </c>
      <c r="Z225" s="128">
        <v>150000</v>
      </c>
      <c r="AA225" s="179" t="s">
        <v>1071</v>
      </c>
      <c r="AB225" s="218">
        <v>320000</v>
      </c>
      <c r="AC225" s="278" t="s">
        <v>384</v>
      </c>
      <c r="AH225" s="218">
        <f t="shared" si="30"/>
        <v>618000</v>
      </c>
      <c r="AK225" s="179">
        <f t="shared" si="36"/>
        <v>0</v>
      </c>
      <c r="AL225" s="128">
        <v>19990286915</v>
      </c>
      <c r="AM225" s="177"/>
      <c r="AN225" s="279"/>
      <c r="AO225" s="128">
        <f t="shared" si="31"/>
        <v>618000</v>
      </c>
      <c r="AP225" s="169">
        <f>0.5%+0.04%+0.14%</f>
        <v>0.0068</v>
      </c>
      <c r="AQ225" s="275">
        <f t="shared" si="32"/>
        <v>0</v>
      </c>
      <c r="AR225" s="218"/>
      <c r="AS225" s="218"/>
      <c r="AT225" s="218"/>
      <c r="AU225" s="218"/>
      <c r="AV225" s="218"/>
      <c r="AW225" s="218"/>
      <c r="AX225" s="218"/>
      <c r="AY225" s="218"/>
      <c r="AZ225" s="218"/>
      <c r="BB225" s="218"/>
      <c r="BF225" s="128">
        <v>298000</v>
      </c>
      <c r="BH225" s="128">
        <v>320000</v>
      </c>
      <c r="CI225" s="128" t="s">
        <v>376</v>
      </c>
      <c r="CJ225" s="128" t="s">
        <v>387</v>
      </c>
      <c r="CK225" s="128" t="s">
        <v>377</v>
      </c>
    </row>
    <row r="226" s="128" customFormat="1" customHeight="1" spans="1:89">
      <c r="A226" s="272">
        <v>188</v>
      </c>
      <c r="C226" s="184">
        <v>45373</v>
      </c>
      <c r="D226" s="128">
        <v>20240001551</v>
      </c>
      <c r="F226" s="1016" t="s">
        <v>4420</v>
      </c>
      <c r="G226" s="177" t="s">
        <v>4421</v>
      </c>
      <c r="H226" s="177"/>
      <c r="I226" s="128" t="s">
        <v>4422</v>
      </c>
      <c r="J226" s="128">
        <v>132.34</v>
      </c>
      <c r="K226" s="128">
        <v>132.34</v>
      </c>
      <c r="L226" s="128">
        <v>5380.08</v>
      </c>
      <c r="M226" s="274">
        <v>712000</v>
      </c>
      <c r="N226" s="218">
        <v>5317</v>
      </c>
      <c r="O226" s="168">
        <v>653211.01</v>
      </c>
      <c r="P226" s="1017" t="s">
        <v>4423</v>
      </c>
      <c r="Q226" s="211">
        <v>45855</v>
      </c>
      <c r="R226" s="218"/>
      <c r="S226" s="278"/>
      <c r="T226" s="284"/>
      <c r="U226" s="278" t="s">
        <v>410</v>
      </c>
      <c r="V226" s="218">
        <v>20000</v>
      </c>
      <c r="W226" s="179" t="s">
        <v>2924</v>
      </c>
      <c r="X226" s="128">
        <v>134000</v>
      </c>
      <c r="Y226" s="179" t="s">
        <v>4206</v>
      </c>
      <c r="Z226" s="218">
        <v>48000</v>
      </c>
      <c r="AA226" s="278" t="s">
        <v>4424</v>
      </c>
      <c r="AB226" s="128">
        <v>510000</v>
      </c>
      <c r="AC226" s="128" t="s">
        <v>4425</v>
      </c>
      <c r="AD226" s="128"/>
      <c r="AE226" s="128"/>
      <c r="AH226" s="218">
        <f t="shared" si="30"/>
        <v>712000</v>
      </c>
      <c r="AK226" s="179">
        <f t="shared" si="36"/>
        <v>0</v>
      </c>
      <c r="AL226" s="128">
        <v>13139969515</v>
      </c>
      <c r="AM226" s="177"/>
      <c r="AN226" s="279"/>
      <c r="AO226" s="128">
        <f t="shared" si="31"/>
        <v>712000</v>
      </c>
      <c r="AP226" s="173">
        <f>0.7%+0.05%+0.12%</f>
        <v>0.0087</v>
      </c>
      <c r="AQ226" s="275">
        <f t="shared" si="32"/>
        <v>0</v>
      </c>
      <c r="AR226" s="218"/>
      <c r="AS226" s="218"/>
      <c r="AT226" s="218"/>
      <c r="AU226" s="218"/>
      <c r="AV226" s="218"/>
      <c r="AW226" s="218"/>
      <c r="AX226" s="218"/>
      <c r="AY226" s="218"/>
      <c r="AZ226" s="218"/>
      <c r="BB226" s="218"/>
      <c r="BH226" s="128">
        <v>712000</v>
      </c>
      <c r="CI226" s="128" t="s">
        <v>376</v>
      </c>
      <c r="CJ226" s="128" t="s">
        <v>387</v>
      </c>
      <c r="CK226" s="128" t="s">
        <v>377</v>
      </c>
    </row>
    <row r="227" s="101" customFormat="1" customHeight="1" spans="1:89">
      <c r="A227" s="199">
        <v>189</v>
      </c>
      <c r="C227" s="200"/>
      <c r="E227" s="101" t="s">
        <v>4426</v>
      </c>
      <c r="G227" s="200"/>
      <c r="H227" s="200"/>
      <c r="I227" s="101" t="s">
        <v>4427</v>
      </c>
      <c r="J227" s="101">
        <v>86.14</v>
      </c>
      <c r="M227" s="235"/>
      <c r="N227" s="202">
        <v>5347</v>
      </c>
      <c r="O227" s="158"/>
      <c r="P227" s="199"/>
      <c r="Q227" s="205"/>
      <c r="R227" s="202"/>
      <c r="S227" s="289"/>
      <c r="T227" s="290"/>
      <c r="U227" s="289"/>
      <c r="V227" s="202"/>
      <c r="W227" s="201"/>
      <c r="X227" s="202"/>
      <c r="Y227" s="201"/>
      <c r="AA227" s="201"/>
      <c r="AB227" s="202"/>
      <c r="AH227" s="202">
        <f t="shared" si="30"/>
        <v>0</v>
      </c>
      <c r="AK227" s="201"/>
      <c r="AM227" s="200"/>
      <c r="AN227" s="203"/>
      <c r="AO227" s="101">
        <f t="shared" si="31"/>
        <v>0</v>
      </c>
      <c r="AP227" s="159"/>
      <c r="AQ227" s="268">
        <f t="shared" si="32"/>
        <v>0</v>
      </c>
      <c r="AR227" s="202"/>
      <c r="AS227" s="202"/>
      <c r="AT227" s="202"/>
      <c r="AU227" s="202"/>
      <c r="AV227" s="202"/>
      <c r="AW227" s="202"/>
      <c r="AX227" s="202"/>
      <c r="AY227" s="202"/>
      <c r="AZ227" s="202"/>
      <c r="BB227" s="202"/>
    </row>
    <row r="228" s="128" customFormat="1" customHeight="1" spans="1:89">
      <c r="A228" s="272">
        <v>190</v>
      </c>
      <c r="C228" s="184">
        <v>45369</v>
      </c>
      <c r="D228" s="128">
        <v>20240001462</v>
      </c>
      <c r="F228" s="1016" t="s">
        <v>4428</v>
      </c>
      <c r="G228" s="177" t="s">
        <v>4429</v>
      </c>
      <c r="H228" s="177"/>
      <c r="I228" s="128" t="s">
        <v>4430</v>
      </c>
      <c r="J228" s="128">
        <v>115.78</v>
      </c>
      <c r="K228" s="128">
        <v>115.78</v>
      </c>
      <c r="L228" s="128">
        <f>M228/K228</f>
        <v>5458.99982725859</v>
      </c>
      <c r="M228" s="274">
        <v>632043</v>
      </c>
      <c r="N228" s="218">
        <v>5327</v>
      </c>
      <c r="O228" s="168">
        <v>579855.96</v>
      </c>
      <c r="P228" s="1017" t="s">
        <v>4431</v>
      </c>
      <c r="Q228" s="211">
        <v>45855</v>
      </c>
      <c r="R228" s="218"/>
      <c r="S228" s="278"/>
      <c r="T228" s="284"/>
      <c r="U228" s="278" t="s">
        <v>486</v>
      </c>
      <c r="V228" s="218">
        <v>7043</v>
      </c>
      <c r="W228" s="278" t="s">
        <v>4000</v>
      </c>
      <c r="X228" s="218">
        <v>120000</v>
      </c>
      <c r="Y228" s="278" t="s">
        <v>2924</v>
      </c>
      <c r="Z228" s="128">
        <v>505000</v>
      </c>
      <c r="AA228" s="179" t="s">
        <v>642</v>
      </c>
      <c r="AB228" s="218"/>
      <c r="AH228" s="218">
        <f t="shared" si="30"/>
        <v>632043</v>
      </c>
      <c r="AK228" s="179">
        <f t="shared" si="36"/>
        <v>0</v>
      </c>
      <c r="AL228" s="128">
        <v>18153966967</v>
      </c>
      <c r="AM228" s="177"/>
      <c r="AN228" s="279"/>
      <c r="AO228" s="128">
        <f t="shared" si="31"/>
        <v>632043</v>
      </c>
      <c r="AP228" s="169">
        <f>0.5%+0.04%+0.14%</f>
        <v>0.0068</v>
      </c>
      <c r="AQ228" s="275">
        <f t="shared" si="32"/>
        <v>0</v>
      </c>
      <c r="AR228" s="218"/>
      <c r="AS228" s="218"/>
      <c r="AT228" s="218"/>
      <c r="AU228" s="218"/>
      <c r="AV228" s="218"/>
      <c r="AW228" s="218"/>
      <c r="AX228" s="218"/>
      <c r="AY228" s="218"/>
      <c r="AZ228" s="218"/>
      <c r="BB228" s="218"/>
      <c r="BG228" s="128">
        <v>632043</v>
      </c>
      <c r="CI228" s="128" t="s">
        <v>376</v>
      </c>
      <c r="CJ228" s="128" t="s">
        <v>387</v>
      </c>
      <c r="CK228" s="128" t="s">
        <v>377</v>
      </c>
    </row>
    <row r="229" s="128" customFormat="1" customHeight="1" spans="1:89">
      <c r="A229" s="272">
        <v>191</v>
      </c>
      <c r="C229" s="184">
        <v>45390</v>
      </c>
      <c r="D229" s="128">
        <v>20240001966</v>
      </c>
      <c r="F229" s="1016" t="s">
        <v>4432</v>
      </c>
      <c r="G229" s="177" t="s">
        <v>4433</v>
      </c>
      <c r="H229" s="1019" t="s">
        <v>4434</v>
      </c>
      <c r="I229" s="128" t="s">
        <v>4435</v>
      </c>
      <c r="J229" s="128">
        <v>132.34</v>
      </c>
      <c r="K229" s="128">
        <v>132.34</v>
      </c>
      <c r="L229" s="128">
        <v>5425.42</v>
      </c>
      <c r="M229" s="274">
        <v>718000</v>
      </c>
      <c r="N229" s="218">
        <v>5354</v>
      </c>
      <c r="O229" s="168">
        <v>658715.6</v>
      </c>
      <c r="P229" s="1017" t="s">
        <v>4436</v>
      </c>
      <c r="Q229" s="211">
        <v>45855</v>
      </c>
      <c r="R229" s="218"/>
      <c r="S229" s="278"/>
      <c r="T229" s="284"/>
      <c r="U229" s="278" t="s">
        <v>677</v>
      </c>
      <c r="V229" s="218">
        <v>10000</v>
      </c>
      <c r="W229" s="278" t="s">
        <v>411</v>
      </c>
      <c r="X229" s="218">
        <v>70000</v>
      </c>
      <c r="Y229" s="278" t="s">
        <v>4152</v>
      </c>
      <c r="Z229" s="128">
        <v>20000</v>
      </c>
      <c r="AA229" s="179" t="s">
        <v>4424</v>
      </c>
      <c r="AB229" s="218">
        <v>44000</v>
      </c>
      <c r="AC229" s="278" t="s">
        <v>4069</v>
      </c>
      <c r="AD229" s="128">
        <v>574000</v>
      </c>
      <c r="AE229" s="128" t="s">
        <v>833</v>
      </c>
      <c r="AH229" s="218">
        <f t="shared" si="30"/>
        <v>718000</v>
      </c>
      <c r="AK229" s="179">
        <f t="shared" si="36"/>
        <v>0</v>
      </c>
      <c r="AL229" s="128">
        <v>18195787228</v>
      </c>
      <c r="AM229" s="177"/>
      <c r="AN229" s="279"/>
      <c r="AO229" s="128">
        <f t="shared" si="31"/>
        <v>718000</v>
      </c>
      <c r="AP229" s="169">
        <f>0.4%+0.05%+0.12%</f>
        <v>0.0057</v>
      </c>
      <c r="AQ229" s="275">
        <f t="shared" si="32"/>
        <v>0</v>
      </c>
      <c r="AR229" s="218"/>
      <c r="AS229" s="218"/>
      <c r="AT229" s="218"/>
      <c r="AU229" s="218"/>
      <c r="AV229" s="218"/>
      <c r="AW229" s="218"/>
      <c r="AX229" s="218"/>
      <c r="AY229" s="218"/>
      <c r="AZ229" s="218"/>
      <c r="BB229" s="218"/>
      <c r="BI229" s="128">
        <v>718000</v>
      </c>
      <c r="CI229" s="128" t="s">
        <v>376</v>
      </c>
      <c r="CJ229" s="128" t="s">
        <v>387</v>
      </c>
      <c r="CK229" s="128" t="s">
        <v>377</v>
      </c>
    </row>
    <row r="230" s="101" customFormat="1" customHeight="1" spans="1:89">
      <c r="A230" s="199">
        <v>192</v>
      </c>
      <c r="C230" s="200"/>
      <c r="E230" s="101" t="s">
        <v>4437</v>
      </c>
      <c r="G230" s="200"/>
      <c r="H230" s="200"/>
      <c r="I230" s="101" t="s">
        <v>4438</v>
      </c>
      <c r="J230" s="101">
        <v>86.14</v>
      </c>
      <c r="M230" s="235"/>
      <c r="N230" s="202">
        <v>5377</v>
      </c>
      <c r="O230" s="158"/>
      <c r="P230" s="203"/>
      <c r="Q230" s="205"/>
      <c r="R230" s="202"/>
      <c r="S230" s="289"/>
      <c r="T230" s="290"/>
      <c r="U230" s="289"/>
      <c r="V230" s="202"/>
      <c r="W230" s="201"/>
      <c r="X230" s="202"/>
      <c r="Y230" s="201"/>
      <c r="AA230" s="201"/>
      <c r="AB230" s="202"/>
      <c r="AH230" s="202">
        <f t="shared" si="30"/>
        <v>0</v>
      </c>
      <c r="AK230" s="201"/>
      <c r="AM230" s="200"/>
      <c r="AN230" s="203"/>
      <c r="AO230" s="101">
        <f t="shared" si="31"/>
        <v>0</v>
      </c>
      <c r="AP230" s="159"/>
      <c r="AQ230" s="268">
        <f t="shared" si="32"/>
        <v>0</v>
      </c>
      <c r="AR230" s="202"/>
      <c r="AS230" s="202"/>
      <c r="AT230" s="202"/>
      <c r="AU230" s="202"/>
      <c r="AV230" s="202"/>
      <c r="AW230" s="202"/>
      <c r="AX230" s="202"/>
      <c r="AY230" s="202"/>
      <c r="AZ230" s="202"/>
      <c r="BB230" s="202"/>
    </row>
    <row r="231" s="128" customFormat="1" customHeight="1" spans="1:89">
      <c r="A231" s="272">
        <v>193</v>
      </c>
      <c r="C231" s="184">
        <v>45351</v>
      </c>
      <c r="D231" s="128">
        <v>20240001058</v>
      </c>
      <c r="F231" s="1016" t="s">
        <v>4439</v>
      </c>
      <c r="G231" s="177" t="s">
        <v>4440</v>
      </c>
      <c r="H231" s="1019" t="s">
        <v>4441</v>
      </c>
      <c r="I231" s="128" t="s">
        <v>4442</v>
      </c>
      <c r="J231" s="128">
        <v>115.78</v>
      </c>
      <c r="K231" s="128">
        <v>115.78</v>
      </c>
      <c r="L231" s="128">
        <v>5398.16</v>
      </c>
      <c r="M231" s="274">
        <v>625000</v>
      </c>
      <c r="N231" s="218">
        <v>5364</v>
      </c>
      <c r="O231" s="168">
        <v>573394.5</v>
      </c>
      <c r="P231" s="1017" t="s">
        <v>4443</v>
      </c>
      <c r="Q231" s="211">
        <v>45855</v>
      </c>
      <c r="R231" s="218"/>
      <c r="S231" s="278"/>
      <c r="T231" s="284"/>
      <c r="U231" s="278" t="s">
        <v>2278</v>
      </c>
      <c r="V231" s="218">
        <v>20000</v>
      </c>
      <c r="W231" s="278" t="s">
        <v>3962</v>
      </c>
      <c r="X231" s="218">
        <f>100500+4500</f>
        <v>105000</v>
      </c>
      <c r="Y231" s="278" t="s">
        <v>479</v>
      </c>
      <c r="Z231" s="128">
        <v>500000</v>
      </c>
      <c r="AA231" s="179" t="s">
        <v>3905</v>
      </c>
      <c r="AB231" s="218"/>
      <c r="AH231" s="218">
        <f t="shared" si="30"/>
        <v>625000</v>
      </c>
      <c r="AK231" s="179">
        <f>M231-AH231</f>
        <v>0</v>
      </c>
      <c r="AL231" s="128">
        <v>17797976009</v>
      </c>
      <c r="AM231" s="177"/>
      <c r="AN231" s="279"/>
      <c r="AO231" s="128">
        <f t="shared" si="31"/>
        <v>625000</v>
      </c>
      <c r="AP231" s="173">
        <f>0.7%+0.04%+0.14%</f>
        <v>0.0088</v>
      </c>
      <c r="AQ231" s="275">
        <f t="shared" si="32"/>
        <v>0</v>
      </c>
      <c r="AR231" s="218"/>
      <c r="AS231" s="218"/>
      <c r="AT231" s="218"/>
      <c r="AU231" s="218"/>
      <c r="AV231" s="218"/>
      <c r="AW231" s="218"/>
      <c r="AX231" s="218"/>
      <c r="AY231" s="218"/>
      <c r="AZ231" s="218"/>
      <c r="BB231" s="218"/>
      <c r="BG231" s="128">
        <v>625000</v>
      </c>
      <c r="CI231" s="128" t="s">
        <v>376</v>
      </c>
      <c r="CJ231" s="128" t="s">
        <v>387</v>
      </c>
      <c r="CK231" s="128" t="s">
        <v>377</v>
      </c>
    </row>
    <row r="232" s="128" customFormat="1" customHeight="1" spans="1:89">
      <c r="A232" s="272">
        <v>194</v>
      </c>
      <c r="C232" s="184">
        <v>45392</v>
      </c>
      <c r="D232" s="128">
        <v>20240001994</v>
      </c>
      <c r="F232" s="1016" t="s">
        <v>4444</v>
      </c>
      <c r="G232" s="177" t="s">
        <v>4445</v>
      </c>
      <c r="H232" s="1019" t="s">
        <v>4446</v>
      </c>
      <c r="I232" s="128" t="s">
        <v>4447</v>
      </c>
      <c r="J232" s="128">
        <v>132.34</v>
      </c>
      <c r="K232" s="128">
        <v>132.34</v>
      </c>
      <c r="L232" s="128">
        <v>5440.53</v>
      </c>
      <c r="M232" s="274">
        <v>720000</v>
      </c>
      <c r="N232" s="218">
        <v>5382</v>
      </c>
      <c r="O232" s="168">
        <v>660550.46</v>
      </c>
      <c r="P232" s="1017" t="s">
        <v>4448</v>
      </c>
      <c r="Q232" s="211">
        <v>45855</v>
      </c>
      <c r="R232" s="218"/>
      <c r="S232" s="278"/>
      <c r="T232" s="284"/>
      <c r="U232" s="278" t="s">
        <v>410</v>
      </c>
      <c r="V232" s="218">
        <v>20000</v>
      </c>
      <c r="W232" s="278" t="s">
        <v>4068</v>
      </c>
      <c r="X232" s="218">
        <v>50000</v>
      </c>
      <c r="Y232" s="179" t="s">
        <v>3780</v>
      </c>
      <c r="Z232" s="128">
        <v>66000</v>
      </c>
      <c r="AA232" s="179" t="s">
        <v>4424</v>
      </c>
      <c r="AB232" s="218">
        <v>14000</v>
      </c>
      <c r="AC232" s="128" t="s">
        <v>412</v>
      </c>
      <c r="AD232" s="218">
        <v>570000</v>
      </c>
      <c r="AE232" s="278" t="s">
        <v>833</v>
      </c>
      <c r="AH232" s="218">
        <f t="shared" si="30"/>
        <v>720000</v>
      </c>
      <c r="AK232" s="179">
        <f>M232-AH232</f>
        <v>0</v>
      </c>
      <c r="AL232" s="128">
        <v>18096840581</v>
      </c>
      <c r="AM232" s="177"/>
      <c r="AN232" s="279"/>
      <c r="AO232" s="128">
        <f t="shared" si="31"/>
        <v>720000</v>
      </c>
      <c r="AP232" s="169">
        <f>0.7%+0.12%</f>
        <v>0.0082</v>
      </c>
      <c r="AQ232" s="275">
        <f t="shared" si="32"/>
        <v>0</v>
      </c>
      <c r="AR232" s="218"/>
      <c r="AS232" s="218"/>
      <c r="AT232" s="218"/>
      <c r="AU232" s="218"/>
      <c r="AV232" s="218"/>
      <c r="AW232" s="218"/>
      <c r="AX232" s="218"/>
      <c r="AY232" s="218"/>
      <c r="AZ232" s="218"/>
      <c r="BB232" s="218"/>
      <c r="BH232" s="128">
        <v>150000</v>
      </c>
      <c r="BI232" s="128">
        <v>570000</v>
      </c>
      <c r="CI232" s="128" t="s">
        <v>376</v>
      </c>
      <c r="CJ232" s="128" t="s">
        <v>387</v>
      </c>
      <c r="CK232" s="128" t="s">
        <v>377</v>
      </c>
    </row>
    <row r="233" s="128" customFormat="1" customHeight="1" spans="1:89">
      <c r="A233" s="272">
        <v>195</v>
      </c>
      <c r="C233" s="184">
        <v>45938</v>
      </c>
      <c r="D233" s="128">
        <v>20250005211</v>
      </c>
      <c r="E233" s="128" t="s">
        <v>4449</v>
      </c>
      <c r="F233" s="1016" t="s">
        <v>4450</v>
      </c>
      <c r="G233" s="177" t="s">
        <v>4451</v>
      </c>
      <c r="H233" s="177"/>
      <c r="I233" s="128" t="s">
        <v>4452</v>
      </c>
      <c r="J233" s="128">
        <v>86.14</v>
      </c>
      <c r="K233" s="128">
        <v>86.14</v>
      </c>
      <c r="L233" s="128">
        <v>5736.17</v>
      </c>
      <c r="M233" s="274">
        <v>494114</v>
      </c>
      <c r="N233" s="218">
        <v>5392</v>
      </c>
      <c r="O233" s="168">
        <v>453315.6</v>
      </c>
      <c r="P233" s="1017" t="s">
        <v>4453</v>
      </c>
      <c r="Q233" s="211">
        <v>45961</v>
      </c>
      <c r="R233" s="218"/>
      <c r="S233" s="278"/>
      <c r="T233" s="284"/>
      <c r="U233" s="278"/>
      <c r="V233" s="218">
        <v>494114</v>
      </c>
      <c r="W233" s="278">
        <v>45923</v>
      </c>
      <c r="X233" s="218"/>
      <c r="Y233" s="179"/>
      <c r="AA233" s="179"/>
      <c r="AB233" s="218"/>
      <c r="AH233" s="218">
        <f t="shared" si="30"/>
        <v>494114</v>
      </c>
      <c r="AK233" s="179">
        <f>M233-AH233</f>
        <v>0</v>
      </c>
      <c r="AM233" s="177"/>
      <c r="AN233" s="279"/>
      <c r="AO233" s="128">
        <f t="shared" si="31"/>
        <v>0</v>
      </c>
      <c r="AP233" s="169"/>
      <c r="AQ233" s="275">
        <f t="shared" si="32"/>
        <v>0</v>
      </c>
      <c r="AR233" s="218"/>
      <c r="AS233" s="218"/>
      <c r="AT233" s="218"/>
      <c r="AU233" s="218"/>
      <c r="AV233" s="218"/>
      <c r="AW233" s="218"/>
      <c r="AX233" s="218"/>
      <c r="AY233" s="218"/>
      <c r="AZ233" s="218"/>
      <c r="BB233" s="218"/>
      <c r="CI233" s="128" t="s">
        <v>3376</v>
      </c>
      <c r="CK233" s="128" t="s">
        <v>4454</v>
      </c>
    </row>
    <row r="234" s="128" customFormat="1" customHeight="1" spans="1:89">
      <c r="A234" s="272">
        <v>196</v>
      </c>
      <c r="C234" s="184">
        <v>45358</v>
      </c>
      <c r="D234" s="128">
        <v>20240001204</v>
      </c>
      <c r="F234" s="1016" t="s">
        <v>4455</v>
      </c>
      <c r="G234" s="177" t="s">
        <v>4456</v>
      </c>
      <c r="H234" s="1019" t="s">
        <v>4457</v>
      </c>
      <c r="I234" s="128" t="s">
        <v>4458</v>
      </c>
      <c r="J234" s="128">
        <v>115.78</v>
      </c>
      <c r="K234" s="128">
        <v>115.78</v>
      </c>
      <c r="L234" s="128">
        <f>M234/K234</f>
        <v>5400</v>
      </c>
      <c r="M234" s="274">
        <v>625212</v>
      </c>
      <c r="N234" s="218">
        <v>5392</v>
      </c>
      <c r="O234" s="168">
        <v>573588.99</v>
      </c>
      <c r="P234" s="1017" t="s">
        <v>4459</v>
      </c>
      <c r="Q234" s="211">
        <v>45855</v>
      </c>
      <c r="R234" s="218"/>
      <c r="S234" s="278"/>
      <c r="T234" s="284"/>
      <c r="U234" s="278" t="s">
        <v>2278</v>
      </c>
      <c r="V234" s="218">
        <v>10000</v>
      </c>
      <c r="W234" s="278" t="s">
        <v>479</v>
      </c>
      <c r="X234" s="218">
        <v>178212</v>
      </c>
      <c r="Y234" s="179" t="s">
        <v>3869</v>
      </c>
      <c r="Z234" s="218">
        <v>437000</v>
      </c>
      <c r="AA234" s="278" t="s">
        <v>508</v>
      </c>
      <c r="AB234" s="218"/>
      <c r="AH234" s="218">
        <f t="shared" si="30"/>
        <v>625212</v>
      </c>
      <c r="AK234" s="179">
        <f>M234-AH234</f>
        <v>0</v>
      </c>
      <c r="AL234" s="128">
        <v>18699553280</v>
      </c>
      <c r="AM234" s="177"/>
      <c r="AN234" s="279"/>
      <c r="AO234" s="128">
        <f t="shared" si="31"/>
        <v>625212</v>
      </c>
      <c r="AP234" s="173">
        <f>0.7%+0.04%+0.14%</f>
        <v>0.0088</v>
      </c>
      <c r="AQ234" s="275">
        <f t="shared" si="32"/>
        <v>0</v>
      </c>
      <c r="AR234" s="218"/>
      <c r="AS234" s="218"/>
      <c r="AT234" s="218"/>
      <c r="AU234" s="218"/>
      <c r="AV234" s="218"/>
      <c r="AW234" s="218"/>
      <c r="AX234" s="218"/>
      <c r="AY234" s="218"/>
      <c r="AZ234" s="218"/>
      <c r="BB234" s="218"/>
      <c r="BG234" s="128">
        <v>188212</v>
      </c>
      <c r="BO234" s="128">
        <v>437000</v>
      </c>
      <c r="CI234" s="128" t="s">
        <v>376</v>
      </c>
      <c r="CJ234" s="128" t="s">
        <v>387</v>
      </c>
      <c r="CK234" s="128" t="s">
        <v>377</v>
      </c>
    </row>
    <row r="235" s="128" customFormat="1" customHeight="1" spans="1:89">
      <c r="A235" s="272">
        <v>197</v>
      </c>
      <c r="C235" s="184">
        <v>45414</v>
      </c>
      <c r="D235" s="128">
        <v>20240002484</v>
      </c>
      <c r="F235" s="1016" t="s">
        <v>4460</v>
      </c>
      <c r="G235" s="177" t="s">
        <v>4461</v>
      </c>
      <c r="H235" s="1019" t="s">
        <v>4462</v>
      </c>
      <c r="I235" s="128" t="s">
        <v>4463</v>
      </c>
      <c r="J235" s="128">
        <v>132.34</v>
      </c>
      <c r="K235" s="128">
        <v>132.34</v>
      </c>
      <c r="L235" s="128">
        <f>M235/K235</f>
        <v>5417.86307994559</v>
      </c>
      <c r="M235" s="274">
        <v>717000</v>
      </c>
      <c r="N235" s="218">
        <v>5407</v>
      </c>
      <c r="O235" s="168">
        <v>657798.17</v>
      </c>
      <c r="P235" s="1017" t="s">
        <v>4464</v>
      </c>
      <c r="Q235" s="211">
        <v>45855</v>
      </c>
      <c r="R235" s="218"/>
      <c r="S235" s="278"/>
      <c r="T235" s="284"/>
      <c r="U235" s="278" t="s">
        <v>772</v>
      </c>
      <c r="V235" s="218">
        <v>20000</v>
      </c>
      <c r="W235" s="278" t="s">
        <v>4068</v>
      </c>
      <c r="X235" s="218">
        <v>127000</v>
      </c>
      <c r="Y235" s="278" t="s">
        <v>3862</v>
      </c>
      <c r="Z235" s="218">
        <v>570000</v>
      </c>
      <c r="AA235" s="278" t="s">
        <v>3793</v>
      </c>
      <c r="AB235" s="218"/>
      <c r="AH235" s="218">
        <f t="shared" si="30"/>
        <v>717000</v>
      </c>
      <c r="AK235" s="179">
        <f t="shared" ref="AK235:AK244" si="37">M235-AH235</f>
        <v>0</v>
      </c>
      <c r="AM235" s="177"/>
      <c r="AN235" s="279"/>
      <c r="AO235" s="128">
        <f t="shared" si="31"/>
        <v>717000</v>
      </c>
      <c r="AP235" s="169">
        <f>0.7%+0.02%+0.12%</f>
        <v>0.0084</v>
      </c>
      <c r="AQ235" s="275">
        <f t="shared" si="32"/>
        <v>0</v>
      </c>
      <c r="AR235" s="218"/>
      <c r="AS235" s="218"/>
      <c r="AT235" s="218"/>
      <c r="AU235" s="218"/>
      <c r="AV235" s="218"/>
      <c r="AW235" s="218"/>
      <c r="AX235" s="218"/>
      <c r="AY235" s="218"/>
      <c r="AZ235" s="218"/>
      <c r="BB235" s="218"/>
      <c r="BI235" s="128">
        <v>147000</v>
      </c>
      <c r="BJ235" s="128">
        <v>570000</v>
      </c>
      <c r="CI235" s="128" t="s">
        <v>376</v>
      </c>
      <c r="CJ235" s="128" t="s">
        <v>387</v>
      </c>
      <c r="CK235" s="128" t="s">
        <v>377</v>
      </c>
    </row>
    <row r="236" s="128" customFormat="1" customHeight="1" spans="1:89">
      <c r="A236" s="272">
        <v>198</v>
      </c>
      <c r="B236" s="128"/>
      <c r="C236" s="184">
        <v>46030</v>
      </c>
      <c r="D236" s="128">
        <v>20260000103</v>
      </c>
      <c r="E236" s="128" t="s">
        <v>4020</v>
      </c>
      <c r="F236" s="1016" t="s">
        <v>4465</v>
      </c>
      <c r="G236" s="177" t="s">
        <v>4466</v>
      </c>
      <c r="H236" s="177"/>
      <c r="I236" s="128" t="s">
        <v>4467</v>
      </c>
      <c r="J236" s="128">
        <v>86.14</v>
      </c>
      <c r="K236" s="128">
        <v>86.14</v>
      </c>
      <c r="L236" s="128">
        <v>5224.05</v>
      </c>
      <c r="M236" s="274">
        <v>450000</v>
      </c>
      <c r="N236" s="218" t="s">
        <v>4468</v>
      </c>
      <c r="O236" s="168">
        <v>412844.04</v>
      </c>
      <c r="P236" s="1017" t="s">
        <v>4469</v>
      </c>
      <c r="Q236" s="211">
        <v>46031</v>
      </c>
      <c r="R236" s="218"/>
      <c r="S236" s="278"/>
      <c r="T236" s="284"/>
      <c r="U236" s="278"/>
      <c r="V236" s="218">
        <v>260000</v>
      </c>
      <c r="W236" s="278">
        <v>46030</v>
      </c>
      <c r="X236" s="218">
        <v>190000</v>
      </c>
      <c r="Y236" s="179" t="s">
        <v>813</v>
      </c>
      <c r="Z236" s="128"/>
      <c r="AA236" s="179"/>
      <c r="AB236" s="218"/>
      <c r="AC236" s="128"/>
      <c r="AD236" s="128"/>
      <c r="AE236" s="128"/>
      <c r="AF236" s="128"/>
      <c r="AG236" s="128"/>
      <c r="AH236" s="218">
        <f t="shared" si="30"/>
        <v>450000</v>
      </c>
      <c r="AK236" s="179">
        <f t="shared" si="37"/>
        <v>0</v>
      </c>
      <c r="AL236" s="101"/>
      <c r="AM236" s="200"/>
      <c r="AN236" s="203"/>
      <c r="AO236" s="128">
        <f t="shared" si="31"/>
        <v>0</v>
      </c>
      <c r="AP236" s="169"/>
      <c r="AQ236" s="275">
        <f t="shared" si="32"/>
        <v>0</v>
      </c>
      <c r="AR236" s="202"/>
      <c r="AS236" s="202"/>
      <c r="AT236" s="202"/>
      <c r="AU236" s="202"/>
      <c r="AV236" s="202"/>
      <c r="AW236" s="202"/>
      <c r="AX236" s="202"/>
      <c r="AY236" s="202"/>
      <c r="AZ236" s="202"/>
      <c r="BA236" s="101"/>
      <c r="BB236" s="202"/>
      <c r="BC236" s="101"/>
      <c r="BD236" s="101"/>
      <c r="BE236" s="101"/>
      <c r="BF236" s="101"/>
      <c r="BG236" s="101"/>
      <c r="BH236" s="101"/>
      <c r="BI236" s="101"/>
      <c r="BJ236" s="101"/>
      <c r="BK236" s="101"/>
      <c r="BL236" s="101"/>
      <c r="BM236" s="101"/>
      <c r="BN236" s="101"/>
      <c r="BO236" s="101"/>
      <c r="BP236" s="101"/>
      <c r="BQ236" s="101"/>
      <c r="BR236" s="101"/>
      <c r="BS236" s="101"/>
      <c r="BT236" s="101"/>
      <c r="BU236" s="101"/>
      <c r="BV236" s="101"/>
      <c r="BW236" s="101"/>
      <c r="BX236" s="101"/>
      <c r="BY236" s="101"/>
      <c r="BZ236" s="101"/>
      <c r="CA236" s="101"/>
      <c r="CB236" s="101"/>
      <c r="CI236" s="128" t="s">
        <v>376</v>
      </c>
      <c r="CK236" s="128" t="s">
        <v>4470</v>
      </c>
    </row>
    <row r="237" s="128" customFormat="1" customHeight="1" spans="1:89">
      <c r="A237" s="272">
        <v>199</v>
      </c>
      <c r="C237" s="184">
        <v>45356</v>
      </c>
      <c r="D237" s="128">
        <v>20240001177</v>
      </c>
      <c r="F237" s="1016" t="s">
        <v>4471</v>
      </c>
      <c r="G237" s="177" t="s">
        <v>4472</v>
      </c>
      <c r="H237" s="1019" t="s">
        <v>4473</v>
      </c>
      <c r="I237" s="128" t="s">
        <v>4474</v>
      </c>
      <c r="J237" s="128">
        <v>115.78</v>
      </c>
      <c r="K237" s="128">
        <v>115.78</v>
      </c>
      <c r="L237" s="128">
        <v>5467</v>
      </c>
      <c r="M237" s="274">
        <v>633000</v>
      </c>
      <c r="N237" s="218">
        <v>5417</v>
      </c>
      <c r="O237" s="168">
        <v>580733.94</v>
      </c>
      <c r="P237" s="1017" t="s">
        <v>4475</v>
      </c>
      <c r="Q237" s="211">
        <v>45855</v>
      </c>
      <c r="R237" s="218"/>
      <c r="S237" s="278"/>
      <c r="T237" s="284"/>
      <c r="U237" s="278" t="s">
        <v>410</v>
      </c>
      <c r="V237" s="218">
        <v>10000</v>
      </c>
      <c r="W237" s="278" t="s">
        <v>479</v>
      </c>
      <c r="X237" s="218">
        <v>63000</v>
      </c>
      <c r="Y237" s="179" t="s">
        <v>871</v>
      </c>
      <c r="Z237" s="128">
        <v>80000</v>
      </c>
      <c r="AA237" s="179" t="s">
        <v>3926</v>
      </c>
      <c r="AB237" s="218">
        <v>480000</v>
      </c>
      <c r="AC237" s="278" t="s">
        <v>384</v>
      </c>
      <c r="AH237" s="218">
        <f t="shared" si="30"/>
        <v>633000</v>
      </c>
      <c r="AK237" s="179">
        <f t="shared" si="37"/>
        <v>0</v>
      </c>
      <c r="AL237" s="128">
        <v>15909727756</v>
      </c>
      <c r="AM237" s="177"/>
      <c r="AN237" s="279"/>
      <c r="AO237" s="128">
        <f t="shared" si="31"/>
        <v>633000</v>
      </c>
      <c r="AP237" s="173">
        <f>0.7%+0.05%+0.14%</f>
        <v>0.0089</v>
      </c>
      <c r="AQ237" s="275">
        <f t="shared" si="32"/>
        <v>0</v>
      </c>
      <c r="AR237" s="218"/>
      <c r="AS237" s="218"/>
      <c r="AT237" s="218"/>
      <c r="AU237" s="218"/>
      <c r="AV237" s="218"/>
      <c r="AW237" s="218"/>
      <c r="AX237" s="218"/>
      <c r="AY237" s="218"/>
      <c r="AZ237" s="218"/>
      <c r="BB237" s="218"/>
      <c r="BG237" s="128">
        <v>153000</v>
      </c>
      <c r="BH237" s="128">
        <v>480000</v>
      </c>
      <c r="CI237" s="128" t="s">
        <v>376</v>
      </c>
      <c r="CJ237" s="128" t="s">
        <v>387</v>
      </c>
      <c r="CK237" s="128" t="s">
        <v>377</v>
      </c>
    </row>
    <row r="238" s="128" customFormat="1" customHeight="1" spans="1:89">
      <c r="A238" s="272">
        <v>200</v>
      </c>
      <c r="C238" s="184">
        <v>45498</v>
      </c>
      <c r="D238" s="128">
        <v>20240004248</v>
      </c>
      <c r="F238" s="1016" t="s">
        <v>4476</v>
      </c>
      <c r="G238" s="177" t="s">
        <v>4477</v>
      </c>
      <c r="H238" s="1019" t="s">
        <v>4478</v>
      </c>
      <c r="I238" s="128" t="s">
        <v>4479</v>
      </c>
      <c r="J238" s="128">
        <v>132.34</v>
      </c>
      <c r="K238" s="128">
        <v>132.34</v>
      </c>
      <c r="L238" s="128">
        <f>M238/K238</f>
        <v>5100</v>
      </c>
      <c r="M238" s="274">
        <v>674934</v>
      </c>
      <c r="N238" s="218">
        <v>5100</v>
      </c>
      <c r="O238" s="168">
        <v>619205.5</v>
      </c>
      <c r="P238" s="1017" t="s">
        <v>4480</v>
      </c>
      <c r="Q238" s="211">
        <v>45855</v>
      </c>
      <c r="R238" s="218"/>
      <c r="S238" s="278"/>
      <c r="T238" s="284"/>
      <c r="U238" s="278" t="s">
        <v>677</v>
      </c>
      <c r="V238" s="218">
        <v>10000</v>
      </c>
      <c r="W238" s="278" t="s">
        <v>472</v>
      </c>
      <c r="X238" s="218">
        <v>20000</v>
      </c>
      <c r="Y238" s="179" t="s">
        <v>4481</v>
      </c>
      <c r="Z238" s="128">
        <v>74934</v>
      </c>
      <c r="AA238" s="179" t="s">
        <v>4482</v>
      </c>
      <c r="AB238" s="218">
        <v>570000</v>
      </c>
      <c r="AC238" s="278" t="s">
        <v>4483</v>
      </c>
      <c r="AH238" s="218">
        <f t="shared" si="30"/>
        <v>674934</v>
      </c>
      <c r="AK238" s="179">
        <f t="shared" si="37"/>
        <v>0</v>
      </c>
      <c r="AL238" s="128">
        <v>13667565757</v>
      </c>
      <c r="AM238" s="177" t="s">
        <v>3956</v>
      </c>
      <c r="AN238" s="279"/>
      <c r="AO238" s="128">
        <f t="shared" si="31"/>
        <v>674934</v>
      </c>
      <c r="AP238" s="173">
        <f>0.7%+0.02%+0.08%</f>
        <v>0.008</v>
      </c>
      <c r="AQ238" s="275">
        <f t="shared" si="32"/>
        <v>0</v>
      </c>
      <c r="AR238" s="218"/>
      <c r="AS238" s="218"/>
      <c r="AT238" s="218"/>
      <c r="AU238" s="218"/>
      <c r="AV238" s="218"/>
      <c r="AW238" s="218"/>
      <c r="AX238" s="218"/>
      <c r="AY238" s="218"/>
      <c r="AZ238" s="218"/>
      <c r="BB238" s="218"/>
      <c r="BK238" s="128">
        <v>104934</v>
      </c>
      <c r="BO238" s="128">
        <v>570000</v>
      </c>
      <c r="CI238" s="128" t="s">
        <v>376</v>
      </c>
      <c r="CK238" s="128" t="s">
        <v>377</v>
      </c>
    </row>
    <row r="239" s="101" customFormat="1" customHeight="1" spans="1:89">
      <c r="A239" s="199">
        <v>201</v>
      </c>
      <c r="C239" s="200"/>
      <c r="E239" s="101" t="s">
        <v>4269</v>
      </c>
      <c r="G239" s="200"/>
      <c r="H239" s="200"/>
      <c r="I239" s="101" t="s">
        <v>4484</v>
      </c>
      <c r="J239" s="101">
        <v>86.14</v>
      </c>
      <c r="M239" s="235"/>
      <c r="N239" s="202">
        <v>5422</v>
      </c>
      <c r="O239" s="158"/>
      <c r="P239" s="203"/>
      <c r="Q239" s="205"/>
      <c r="R239" s="202"/>
      <c r="S239" s="289"/>
      <c r="T239" s="290"/>
      <c r="U239" s="289"/>
      <c r="V239" s="202"/>
      <c r="W239" s="201"/>
      <c r="X239" s="202"/>
      <c r="Y239" s="201"/>
      <c r="AA239" s="201"/>
      <c r="AB239" s="202"/>
      <c r="AH239" s="202">
        <f t="shared" si="30"/>
        <v>0</v>
      </c>
      <c r="AK239" s="201"/>
      <c r="AM239" s="200"/>
      <c r="AN239" s="203"/>
      <c r="AO239" s="101">
        <f t="shared" si="31"/>
        <v>0</v>
      </c>
      <c r="AP239" s="159"/>
      <c r="AQ239" s="268">
        <f t="shared" si="32"/>
        <v>0</v>
      </c>
      <c r="AR239" s="202"/>
      <c r="AS239" s="202"/>
      <c r="AT239" s="202"/>
      <c r="AU239" s="202"/>
      <c r="AV239" s="202"/>
      <c r="AW239" s="202"/>
      <c r="AX239" s="202"/>
      <c r="AY239" s="202"/>
      <c r="AZ239" s="202"/>
      <c r="BB239" s="202"/>
    </row>
    <row r="240" s="128" customFormat="1" customHeight="1" spans="1:89">
      <c r="A240" s="272">
        <v>202</v>
      </c>
      <c r="C240" s="184">
        <v>45417</v>
      </c>
      <c r="D240" s="128">
        <v>20240002598</v>
      </c>
      <c r="F240" s="128" t="s">
        <v>4485</v>
      </c>
      <c r="G240" s="177" t="s">
        <v>4486</v>
      </c>
      <c r="H240" s="177"/>
      <c r="I240" s="128" t="s">
        <v>4487</v>
      </c>
      <c r="J240" s="128">
        <v>115.78</v>
      </c>
      <c r="K240" s="128">
        <v>115.78</v>
      </c>
      <c r="L240" s="128">
        <v>5536.36</v>
      </c>
      <c r="M240" s="274">
        <v>641000</v>
      </c>
      <c r="N240" s="218">
        <v>5437</v>
      </c>
      <c r="O240" s="168">
        <v>588073.39</v>
      </c>
      <c r="P240" s="279">
        <v>2.5652000000044e+19</v>
      </c>
      <c r="Q240" s="211">
        <v>45855</v>
      </c>
      <c r="R240" s="218"/>
      <c r="S240" s="278"/>
      <c r="T240" s="284"/>
      <c r="U240" s="278" t="s">
        <v>410</v>
      </c>
      <c r="V240" s="218">
        <v>25000</v>
      </c>
      <c r="W240" s="278" t="s">
        <v>1083</v>
      </c>
      <c r="X240" s="218">
        <v>116000</v>
      </c>
      <c r="Y240" s="179" t="s">
        <v>4069</v>
      </c>
      <c r="Z240" s="218">
        <v>500000</v>
      </c>
      <c r="AA240" s="278" t="s">
        <v>4084</v>
      </c>
      <c r="AB240" s="218"/>
      <c r="AH240" s="218">
        <f t="shared" si="30"/>
        <v>641000</v>
      </c>
      <c r="AK240" s="179">
        <f t="shared" si="37"/>
        <v>0</v>
      </c>
      <c r="AL240" s="128">
        <v>18054126901</v>
      </c>
      <c r="AM240" s="177"/>
      <c r="AN240" s="279"/>
      <c r="AO240" s="128">
        <f t="shared" si="31"/>
        <v>641000</v>
      </c>
      <c r="AP240" s="169">
        <f>0.7%+0.08%</f>
        <v>0.0078</v>
      </c>
      <c r="AQ240" s="275">
        <f t="shared" si="32"/>
        <v>0</v>
      </c>
      <c r="AR240" s="218"/>
      <c r="AS240" s="218"/>
      <c r="AT240" s="218"/>
      <c r="AU240" s="218"/>
      <c r="AV240" s="218"/>
      <c r="AW240" s="218"/>
      <c r="AX240" s="218"/>
      <c r="AY240" s="218"/>
      <c r="AZ240" s="218"/>
      <c r="BB240" s="218"/>
      <c r="BI240" s="128">
        <v>141000</v>
      </c>
      <c r="BK240" s="128">
        <v>500000</v>
      </c>
      <c r="CI240" s="128" t="s">
        <v>376</v>
      </c>
      <c r="CJ240" s="128" t="s">
        <v>387</v>
      </c>
      <c r="CK240" s="128" t="s">
        <v>377</v>
      </c>
    </row>
    <row r="241" s="128" customFormat="1" customHeight="1" spans="1:89">
      <c r="A241" s="272">
        <v>203</v>
      </c>
      <c r="C241" s="184">
        <v>45413</v>
      </c>
      <c r="D241" s="128">
        <v>20240002471</v>
      </c>
      <c r="F241" s="1016" t="s">
        <v>4488</v>
      </c>
      <c r="G241" s="177" t="s">
        <v>4489</v>
      </c>
      <c r="H241" s="1019" t="s">
        <v>4490</v>
      </c>
      <c r="I241" s="128" t="s">
        <v>4491</v>
      </c>
      <c r="J241" s="128">
        <v>132.34</v>
      </c>
      <c r="K241" s="128">
        <v>132.34</v>
      </c>
      <c r="L241" s="128">
        <v>5503.87</v>
      </c>
      <c r="M241" s="274">
        <v>728383</v>
      </c>
      <c r="N241" s="218">
        <v>5448</v>
      </c>
      <c r="O241" s="168">
        <v>668241.28</v>
      </c>
      <c r="P241" s="1017" t="s">
        <v>4492</v>
      </c>
      <c r="Q241" s="211">
        <v>45855</v>
      </c>
      <c r="R241" s="218"/>
      <c r="S241" s="278"/>
      <c r="T241" s="284"/>
      <c r="U241" s="278" t="s">
        <v>677</v>
      </c>
      <c r="V241" s="218">
        <v>20000</v>
      </c>
      <c r="W241" s="278" t="s">
        <v>431</v>
      </c>
      <c r="X241" s="218">
        <f>220383</f>
        <v>220383</v>
      </c>
      <c r="Y241" s="278" t="s">
        <v>4493</v>
      </c>
      <c r="Z241" s="218">
        <v>488000</v>
      </c>
      <c r="AA241" s="278" t="s">
        <v>598</v>
      </c>
      <c r="AB241" s="218"/>
      <c r="AH241" s="218">
        <f t="shared" si="30"/>
        <v>728383</v>
      </c>
      <c r="AK241" s="179">
        <f t="shared" si="37"/>
        <v>0</v>
      </c>
      <c r="AL241" s="128">
        <v>19999266962</v>
      </c>
      <c r="AM241" s="177"/>
      <c r="AN241" s="279"/>
      <c r="AO241" s="128">
        <f t="shared" si="31"/>
        <v>728383</v>
      </c>
      <c r="AP241" s="173">
        <f>0.7%+0.05%+0.12%</f>
        <v>0.0087</v>
      </c>
      <c r="AQ241" s="275">
        <f t="shared" si="32"/>
        <v>0</v>
      </c>
      <c r="AR241" s="218"/>
      <c r="AS241" s="218"/>
      <c r="AT241" s="218"/>
      <c r="AU241" s="218"/>
      <c r="AV241" s="218"/>
      <c r="AW241" s="218"/>
      <c r="AX241" s="218"/>
      <c r="AY241" s="218"/>
      <c r="AZ241" s="218"/>
      <c r="BB241" s="218"/>
      <c r="BI241" s="128">
        <v>240383</v>
      </c>
      <c r="BJ241" s="128">
        <v>488000</v>
      </c>
      <c r="CI241" s="128" t="s">
        <v>376</v>
      </c>
      <c r="CJ241" s="128" t="s">
        <v>387</v>
      </c>
      <c r="CK241" s="128" t="s">
        <v>377</v>
      </c>
    </row>
    <row r="242" s="128" customFormat="1" customHeight="1" spans="1:89">
      <c r="A242" s="272">
        <v>204</v>
      </c>
      <c r="C242" s="184">
        <v>45931</v>
      </c>
      <c r="D242" s="128">
        <v>20250004893</v>
      </c>
      <c r="E242" s="128" t="s">
        <v>4494</v>
      </c>
      <c r="F242" s="1016" t="s">
        <v>4495</v>
      </c>
      <c r="G242" s="177" t="s">
        <v>4496</v>
      </c>
      <c r="H242" s="177"/>
      <c r="I242" s="128" t="s">
        <v>4497</v>
      </c>
      <c r="J242" s="128">
        <v>86.14</v>
      </c>
      <c r="K242" s="128">
        <v>86.14</v>
      </c>
      <c r="L242" s="128">
        <v>5778.72</v>
      </c>
      <c r="M242" s="274">
        <v>497779</v>
      </c>
      <c r="N242" s="218">
        <v>5432</v>
      </c>
      <c r="O242" s="168">
        <v>456677.98</v>
      </c>
      <c r="P242" s="1017" t="s">
        <v>4498</v>
      </c>
      <c r="Q242" s="211">
        <v>45995</v>
      </c>
      <c r="R242" s="218"/>
      <c r="S242" s="278"/>
      <c r="T242" s="284"/>
      <c r="U242" s="278"/>
      <c r="V242" s="218">
        <v>497779</v>
      </c>
      <c r="W242" s="278">
        <v>45923</v>
      </c>
      <c r="X242" s="218"/>
      <c r="Y242" s="179"/>
      <c r="AA242" s="179"/>
      <c r="AB242" s="218"/>
      <c r="AH242" s="218">
        <f t="shared" si="30"/>
        <v>497779</v>
      </c>
      <c r="AK242" s="179">
        <f t="shared" si="37"/>
        <v>0</v>
      </c>
      <c r="AL242" s="128">
        <v>19190310000</v>
      </c>
      <c r="AM242" s="177"/>
      <c r="AN242" s="279"/>
      <c r="AO242" s="128">
        <f t="shared" si="31"/>
        <v>0</v>
      </c>
      <c r="AP242" s="169"/>
      <c r="AQ242" s="275">
        <f t="shared" si="32"/>
        <v>0</v>
      </c>
      <c r="AR242" s="218"/>
      <c r="AS242" s="218"/>
      <c r="AT242" s="218"/>
      <c r="AU242" s="218"/>
      <c r="AV242" s="218"/>
      <c r="AW242" s="218"/>
      <c r="AX242" s="218"/>
      <c r="AY242" s="218"/>
      <c r="AZ242" s="218"/>
      <c r="BB242" s="218"/>
      <c r="CI242" s="128" t="s">
        <v>3376</v>
      </c>
      <c r="CK242" s="128" t="s">
        <v>4499</v>
      </c>
    </row>
    <row r="243" s="128" customFormat="1" customHeight="1" spans="1:89">
      <c r="A243" s="272">
        <v>205</v>
      </c>
      <c r="C243" s="184">
        <v>45417</v>
      </c>
      <c r="D243" s="128">
        <v>20240002571</v>
      </c>
      <c r="F243" s="128" t="s">
        <v>4500</v>
      </c>
      <c r="G243" s="177" t="s">
        <v>4501</v>
      </c>
      <c r="H243" s="177"/>
      <c r="I243" s="128" t="s">
        <v>4502</v>
      </c>
      <c r="J243" s="128">
        <v>115.78</v>
      </c>
      <c r="K243" s="128">
        <v>115.78</v>
      </c>
      <c r="L243" s="128">
        <v>5527.725</v>
      </c>
      <c r="M243" s="274">
        <v>640000</v>
      </c>
      <c r="N243" s="218">
        <v>5458</v>
      </c>
      <c r="O243" s="168">
        <v>587155.96</v>
      </c>
      <c r="P243" s="1017" t="s">
        <v>4503</v>
      </c>
      <c r="Q243" s="211">
        <v>45855</v>
      </c>
      <c r="R243" s="218"/>
      <c r="S243" s="278"/>
      <c r="T243" s="284"/>
      <c r="U243" s="278" t="s">
        <v>486</v>
      </c>
      <c r="V243" s="218">
        <v>20000</v>
      </c>
      <c r="W243" s="278" t="s">
        <v>3766</v>
      </c>
      <c r="X243" s="218">
        <v>160000</v>
      </c>
      <c r="Y243" s="278" t="s">
        <v>1083</v>
      </c>
      <c r="Z243" s="218">
        <v>460000</v>
      </c>
      <c r="AA243" s="278" t="s">
        <v>3383</v>
      </c>
      <c r="AB243" s="218"/>
      <c r="AH243" s="218">
        <f t="shared" si="30"/>
        <v>640000</v>
      </c>
      <c r="AK243" s="179">
        <f t="shared" si="37"/>
        <v>0</v>
      </c>
      <c r="AL243" s="128">
        <v>18742875661</v>
      </c>
      <c r="AM243" s="177"/>
      <c r="AN243" s="279"/>
      <c r="AO243" s="128">
        <f t="shared" si="31"/>
        <v>640000</v>
      </c>
      <c r="AP243" s="169">
        <f>0.4%+0.03%+0.12%</f>
        <v>0.0055</v>
      </c>
      <c r="AQ243" s="275">
        <f t="shared" si="32"/>
        <v>0</v>
      </c>
      <c r="AR243" s="218"/>
      <c r="AS243" s="218"/>
      <c r="AT243" s="218"/>
      <c r="AU243" s="218"/>
      <c r="AV243" s="218"/>
      <c r="AW243" s="218"/>
      <c r="AX243" s="218"/>
      <c r="AY243" s="218"/>
      <c r="AZ243" s="218"/>
      <c r="BB243" s="218"/>
      <c r="BI243" s="128">
        <v>180000</v>
      </c>
      <c r="BP243" s="128">
        <v>460000</v>
      </c>
      <c r="CI243" s="128" t="s">
        <v>376</v>
      </c>
      <c r="CJ243" s="128" t="s">
        <v>387</v>
      </c>
      <c r="CK243" s="128" t="s">
        <v>377</v>
      </c>
    </row>
    <row r="244" s="128" customFormat="1" customHeight="1" spans="1:89">
      <c r="A244" s="272">
        <v>206</v>
      </c>
      <c r="B244" s="128"/>
      <c r="C244" s="184">
        <v>45811</v>
      </c>
      <c r="D244" s="128">
        <v>20250002996</v>
      </c>
      <c r="F244" s="1016" t="s">
        <v>4504</v>
      </c>
      <c r="G244" s="177" t="s">
        <v>4505</v>
      </c>
      <c r="H244" s="177"/>
      <c r="I244" s="128" t="s">
        <v>4506</v>
      </c>
      <c r="J244" s="128">
        <v>132.34</v>
      </c>
      <c r="K244" s="128">
        <v>132.34</v>
      </c>
      <c r="L244" s="128">
        <v>5000</v>
      </c>
      <c r="M244" s="274">
        <v>661700</v>
      </c>
      <c r="N244" s="218">
        <v>5000</v>
      </c>
      <c r="O244" s="168">
        <v>607064.22</v>
      </c>
      <c r="P244" s="1017" t="s">
        <v>4507</v>
      </c>
      <c r="Q244" s="211">
        <v>45838</v>
      </c>
      <c r="R244" s="218"/>
      <c r="S244" s="278"/>
      <c r="T244" s="284"/>
      <c r="U244" s="278" t="s">
        <v>383</v>
      </c>
      <c r="V244" s="218">
        <v>20000</v>
      </c>
      <c r="W244" s="278" t="s">
        <v>4508</v>
      </c>
      <c r="X244" s="218">
        <v>92700</v>
      </c>
      <c r="Y244" s="278" t="s">
        <v>4509</v>
      </c>
      <c r="Z244" s="128">
        <v>20000</v>
      </c>
      <c r="AA244" s="179" t="s">
        <v>3696</v>
      </c>
      <c r="AB244" s="218">
        <v>529000</v>
      </c>
      <c r="AC244" s="278">
        <v>45849</v>
      </c>
      <c r="AH244" s="218">
        <f t="shared" si="30"/>
        <v>661700</v>
      </c>
      <c r="AK244" s="179">
        <f t="shared" si="37"/>
        <v>0</v>
      </c>
      <c r="AL244" s="128">
        <v>18864124134</v>
      </c>
      <c r="AM244" s="177" t="s">
        <v>3640</v>
      </c>
      <c r="AN244" s="279"/>
      <c r="AO244" s="128">
        <f t="shared" si="31"/>
        <v>661700</v>
      </c>
      <c r="AP244" s="169">
        <f>0.7%+0.08%+0.03%</f>
        <v>0.0081</v>
      </c>
      <c r="AQ244" s="275">
        <f t="shared" si="32"/>
        <v>0</v>
      </c>
      <c r="AR244" s="218"/>
      <c r="AS244" s="218"/>
      <c r="AT244" s="218"/>
      <c r="AU244" s="218"/>
      <c r="AV244" s="218"/>
      <c r="AW244" s="218"/>
      <c r="AX244" s="218"/>
      <c r="AY244" s="218"/>
      <c r="AZ244" s="218"/>
      <c r="BB244" s="218"/>
      <c r="BV244" s="128">
        <v>132700</v>
      </c>
      <c r="BW244" s="128">
        <v>529000</v>
      </c>
      <c r="CI244" s="128" t="s">
        <v>376</v>
      </c>
      <c r="CK244" s="128" t="s">
        <v>377</v>
      </c>
    </row>
    <row r="245" s="101" customFormat="1" customHeight="1" spans="1:89">
      <c r="A245" s="199">
        <v>207</v>
      </c>
      <c r="C245" s="200"/>
      <c r="E245" s="101" t="s">
        <v>4510</v>
      </c>
      <c r="G245" s="200"/>
      <c r="H245" s="200"/>
      <c r="I245" s="101" t="s">
        <v>4511</v>
      </c>
      <c r="J245" s="101">
        <v>86.14</v>
      </c>
      <c r="M245" s="235"/>
      <c r="N245" s="202">
        <v>5028</v>
      </c>
      <c r="O245" s="158"/>
      <c r="P245" s="203"/>
      <c r="Q245" s="205"/>
      <c r="R245" s="202"/>
      <c r="S245" s="289"/>
      <c r="T245" s="290"/>
      <c r="U245" s="289"/>
      <c r="V245" s="202"/>
      <c r="W245" s="201"/>
      <c r="X245" s="202"/>
      <c r="Y245" s="201"/>
      <c r="AA245" s="201"/>
      <c r="AB245" s="202"/>
      <c r="AH245" s="202">
        <f t="shared" si="30"/>
        <v>0</v>
      </c>
      <c r="AK245" s="201"/>
      <c r="AM245" s="200"/>
      <c r="AN245" s="203"/>
      <c r="AO245" s="101">
        <f t="shared" si="31"/>
        <v>0</v>
      </c>
      <c r="AP245" s="159"/>
      <c r="AQ245" s="268">
        <f t="shared" si="32"/>
        <v>0</v>
      </c>
      <c r="AR245" s="202"/>
      <c r="AS245" s="202"/>
      <c r="AT245" s="202"/>
      <c r="AU245" s="202"/>
      <c r="AV245" s="202"/>
      <c r="AW245" s="202"/>
      <c r="AX245" s="202"/>
      <c r="AY245" s="202"/>
      <c r="AZ245" s="202"/>
      <c r="BB245" s="202"/>
    </row>
    <row r="246" s="128" customFormat="1" customHeight="1" spans="1:89">
      <c r="A246" s="272">
        <v>208</v>
      </c>
      <c r="C246" s="184">
        <v>45398</v>
      </c>
      <c r="D246" s="128">
        <v>20240002114</v>
      </c>
      <c r="F246" s="1016" t="s">
        <v>4512</v>
      </c>
      <c r="G246" s="177" t="s">
        <v>4513</v>
      </c>
      <c r="H246" s="1019" t="s">
        <v>4514</v>
      </c>
      <c r="I246" s="128" t="s">
        <v>4515</v>
      </c>
      <c r="J246" s="128">
        <v>115.78</v>
      </c>
      <c r="K246" s="128">
        <v>115.78</v>
      </c>
      <c r="L246" s="128">
        <v>5052.69</v>
      </c>
      <c r="M246" s="274">
        <v>585000</v>
      </c>
      <c r="N246" s="218">
        <v>5028</v>
      </c>
      <c r="O246" s="168">
        <v>536697.25</v>
      </c>
      <c r="P246" s="1017" t="s">
        <v>4516</v>
      </c>
      <c r="Q246" s="211">
        <v>45846</v>
      </c>
      <c r="R246" s="218"/>
      <c r="S246" s="278"/>
      <c r="T246" s="284"/>
      <c r="U246" s="278" t="s">
        <v>677</v>
      </c>
      <c r="V246" s="218">
        <v>20000</v>
      </c>
      <c r="W246" s="278" t="s">
        <v>4517</v>
      </c>
      <c r="X246" s="218">
        <v>77000</v>
      </c>
      <c r="Y246" s="179" t="s">
        <v>4127</v>
      </c>
      <c r="Z246" s="218">
        <v>20000</v>
      </c>
      <c r="AA246" s="278" t="s">
        <v>4069</v>
      </c>
      <c r="AB246" s="218">
        <v>468000</v>
      </c>
      <c r="AC246" s="128" t="s">
        <v>833</v>
      </c>
      <c r="AH246" s="218">
        <f t="shared" si="30"/>
        <v>585000</v>
      </c>
      <c r="AK246" s="179">
        <f>M246-AH246</f>
        <v>0</v>
      </c>
      <c r="AL246" s="128">
        <v>13709964545</v>
      </c>
      <c r="AM246" s="177"/>
      <c r="AN246" s="279"/>
      <c r="AO246" s="128">
        <f t="shared" si="31"/>
        <v>585000</v>
      </c>
      <c r="AP246" s="173">
        <f>0.7%+0.05%+0.12%</f>
        <v>0.0087</v>
      </c>
      <c r="AQ246" s="275">
        <f t="shared" si="32"/>
        <v>0</v>
      </c>
      <c r="AR246" s="218"/>
      <c r="AS246" s="218"/>
      <c r="AT246" s="218"/>
      <c r="AU246" s="218"/>
      <c r="AV246" s="218"/>
      <c r="AW246" s="218"/>
      <c r="AX246" s="218"/>
      <c r="AY246" s="218"/>
      <c r="AZ246" s="218"/>
      <c r="BB246" s="218"/>
      <c r="BI246" s="128">
        <v>585000</v>
      </c>
      <c r="CI246" s="128" t="s">
        <v>376</v>
      </c>
      <c r="CJ246" s="128" t="s">
        <v>387</v>
      </c>
      <c r="CK246" s="128" t="s">
        <v>377</v>
      </c>
    </row>
    <row r="247" s="101" customFormat="1" customHeight="1" spans="1:89">
      <c r="A247" s="199"/>
      <c r="C247" s="200"/>
      <c r="G247" s="200"/>
      <c r="H247" s="200"/>
      <c r="I247" s="101" t="s">
        <v>4518</v>
      </c>
      <c r="J247" s="294">
        <v>60.09</v>
      </c>
      <c r="M247" s="235"/>
      <c r="N247" s="202" t="s">
        <v>3345</v>
      </c>
      <c r="O247" s="158"/>
      <c r="P247" s="203"/>
      <c r="Q247" s="205"/>
      <c r="R247" s="202"/>
      <c r="S247" s="289"/>
      <c r="T247" s="290"/>
      <c r="U247" s="289"/>
      <c r="V247" s="202"/>
      <c r="W247" s="201"/>
      <c r="X247" s="202"/>
      <c r="Y247" s="201"/>
      <c r="AA247" s="201"/>
      <c r="AB247" s="202"/>
      <c r="AH247" s="202">
        <f t="shared" si="30"/>
        <v>0</v>
      </c>
      <c r="AK247" s="201"/>
      <c r="AM247" s="200"/>
      <c r="AN247" s="203"/>
      <c r="AO247" s="101">
        <f t="shared" si="31"/>
        <v>0</v>
      </c>
      <c r="AP247" s="159"/>
      <c r="AQ247" s="268">
        <f t="shared" si="32"/>
        <v>0</v>
      </c>
      <c r="AR247" s="202"/>
      <c r="AS247" s="202"/>
      <c r="AT247" s="202"/>
      <c r="AU247" s="202"/>
      <c r="AV247" s="202"/>
      <c r="AW247" s="202"/>
      <c r="AX247" s="202"/>
      <c r="AY247" s="202"/>
      <c r="AZ247" s="202"/>
      <c r="BB247" s="202"/>
    </row>
    <row r="248" s="101" customFormat="1" customHeight="1" spans="1:89">
      <c r="C248" s="200"/>
      <c r="G248" s="200"/>
      <c r="H248" s="200"/>
      <c r="I248" s="266" t="s">
        <v>4519</v>
      </c>
      <c r="J248" s="295">
        <v>31.87</v>
      </c>
      <c r="M248" s="235"/>
      <c r="N248" s="202">
        <v>65214</v>
      </c>
      <c r="O248" s="158"/>
      <c r="P248" s="203"/>
      <c r="Q248" s="205"/>
      <c r="R248" s="202"/>
      <c r="S248" s="289"/>
      <c r="T248" s="290"/>
      <c r="U248" s="289"/>
      <c r="V248" s="202"/>
      <c r="W248" s="283"/>
      <c r="X248" s="202"/>
      <c r="Y248" s="201"/>
      <c r="AA248" s="201"/>
      <c r="AB248" s="202"/>
      <c r="AH248" s="202">
        <f t="shared" si="30"/>
        <v>0</v>
      </c>
      <c r="AK248" s="201"/>
      <c r="AM248" s="200"/>
      <c r="AN248" s="203"/>
      <c r="AO248" s="101">
        <f t="shared" si="31"/>
        <v>0</v>
      </c>
      <c r="AP248" s="207">
        <v>0.02</v>
      </c>
      <c r="AQ248" s="268">
        <f t="shared" si="32"/>
        <v>0</v>
      </c>
      <c r="AR248" s="202"/>
      <c r="AS248" s="202"/>
      <c r="AT248" s="202"/>
      <c r="AU248" s="202"/>
      <c r="AV248" s="202"/>
      <c r="AW248" s="202"/>
      <c r="AX248" s="202"/>
      <c r="AY248" s="202"/>
      <c r="AZ248" s="202"/>
      <c r="BA248" s="291"/>
      <c r="BB248" s="202"/>
      <c r="BC248" s="291"/>
    </row>
    <row r="249" s="101" customFormat="1" customHeight="1" spans="1:89">
      <c r="C249" s="200"/>
      <c r="G249" s="200"/>
      <c r="H249" s="200"/>
      <c r="I249" s="269" t="s">
        <v>4520</v>
      </c>
      <c r="J249" s="295">
        <v>70.48</v>
      </c>
      <c r="M249" s="235"/>
      <c r="N249" s="202" t="s">
        <v>3345</v>
      </c>
      <c r="O249" s="158"/>
      <c r="P249" s="203"/>
      <c r="Q249" s="205"/>
      <c r="R249" s="202"/>
      <c r="S249" s="204"/>
      <c r="T249" s="290"/>
      <c r="U249" s="289"/>
      <c r="V249" s="202"/>
      <c r="W249" s="283"/>
      <c r="X249" s="202"/>
      <c r="Y249" s="201"/>
      <c r="Z249" s="202"/>
      <c r="AA249" s="201"/>
      <c r="AB249" s="202"/>
      <c r="AH249" s="202">
        <f t="shared" si="30"/>
        <v>0</v>
      </c>
      <c r="AK249" s="201"/>
      <c r="AM249" s="200"/>
      <c r="AN249" s="203"/>
      <c r="AO249" s="101">
        <f t="shared" si="31"/>
        <v>0</v>
      </c>
      <c r="AP249" s="207">
        <v>0.02</v>
      </c>
      <c r="AQ249" s="268">
        <f t="shared" si="32"/>
        <v>0</v>
      </c>
      <c r="AR249" s="202"/>
      <c r="AS249" s="202"/>
      <c r="AT249" s="202"/>
      <c r="AU249" s="202"/>
      <c r="AV249" s="202"/>
      <c r="AW249" s="202"/>
      <c r="AX249" s="202"/>
      <c r="AY249" s="202"/>
      <c r="AZ249" s="202"/>
      <c r="BB249" s="202"/>
    </row>
    <row r="250" s="101" customFormat="1" customHeight="1" spans="1:89">
      <c r="C250" s="200"/>
      <c r="I250" s="266" t="s">
        <v>4521</v>
      </c>
      <c r="J250" s="295">
        <v>70.48</v>
      </c>
      <c r="M250" s="235"/>
      <c r="N250" s="202" t="s">
        <v>3345</v>
      </c>
      <c r="O250" s="158"/>
      <c r="P250" s="203"/>
      <c r="Q250" s="205"/>
      <c r="R250" s="202"/>
      <c r="T250" s="199"/>
      <c r="V250" s="202"/>
      <c r="W250" s="201"/>
      <c r="X250" s="202"/>
      <c r="Y250" s="201"/>
      <c r="AA250" s="201"/>
      <c r="AB250" s="202"/>
      <c r="AH250" s="202">
        <f t="shared" si="30"/>
        <v>0</v>
      </c>
      <c r="AK250" s="201"/>
      <c r="AM250" s="200"/>
      <c r="AN250" s="203"/>
      <c r="AO250" s="101">
        <f t="shared" si="31"/>
        <v>0</v>
      </c>
      <c r="AP250" s="207">
        <v>0.02</v>
      </c>
      <c r="AQ250" s="268">
        <f t="shared" si="32"/>
        <v>0</v>
      </c>
      <c r="AR250" s="202"/>
      <c r="AS250" s="202"/>
      <c r="AT250" s="202"/>
      <c r="AU250" s="202"/>
      <c r="AV250" s="202"/>
      <c r="AW250" s="202"/>
      <c r="AX250" s="202"/>
      <c r="AY250" s="202"/>
      <c r="AZ250" s="202"/>
      <c r="BA250" s="291"/>
      <c r="BB250" s="202"/>
      <c r="BC250" s="291"/>
    </row>
    <row r="251" s="101" customFormat="1" customHeight="1" spans="1:89">
      <c r="C251" s="200"/>
      <c r="G251" s="200"/>
      <c r="H251" s="200"/>
      <c r="I251" s="269" t="s">
        <v>4522</v>
      </c>
      <c r="J251" s="295">
        <v>48.44</v>
      </c>
      <c r="M251" s="235"/>
      <c r="N251" s="202">
        <v>99130</v>
      </c>
      <c r="O251" s="158"/>
      <c r="P251" s="203"/>
      <c r="Q251" s="205"/>
      <c r="R251" s="202"/>
      <c r="S251" s="204"/>
      <c r="T251" s="199"/>
      <c r="U251" s="204"/>
      <c r="V251" s="202"/>
      <c r="W251" s="201"/>
      <c r="X251" s="202"/>
      <c r="AA251" s="201"/>
      <c r="AB251" s="202"/>
      <c r="AH251" s="202">
        <f t="shared" si="30"/>
        <v>0</v>
      </c>
      <c r="AK251" s="201"/>
      <c r="AM251" s="200"/>
      <c r="AN251" s="203"/>
      <c r="AO251" s="101">
        <f t="shared" si="31"/>
        <v>0</v>
      </c>
      <c r="AP251" s="207">
        <v>0.02</v>
      </c>
      <c r="AQ251" s="268">
        <f t="shared" si="32"/>
        <v>0</v>
      </c>
      <c r="AR251" s="202"/>
      <c r="AS251" s="202"/>
      <c r="AT251" s="202"/>
      <c r="AU251" s="202"/>
      <c r="AV251" s="202"/>
      <c r="AW251" s="202"/>
      <c r="AX251" s="202"/>
      <c r="AY251" s="202"/>
      <c r="AZ251" s="202"/>
      <c r="BA251" s="291"/>
      <c r="BB251" s="202"/>
      <c r="BC251" s="291"/>
    </row>
    <row r="252" s="101" customFormat="1" customHeight="1" spans="1:89">
      <c r="C252" s="200"/>
      <c r="G252" s="200"/>
      <c r="I252" s="269" t="s">
        <v>4523</v>
      </c>
      <c r="J252" s="295">
        <v>48.44</v>
      </c>
      <c r="M252" s="296"/>
      <c r="N252" s="297">
        <v>99130</v>
      </c>
      <c r="O252" s="158"/>
      <c r="P252" s="203"/>
      <c r="Q252" s="205"/>
      <c r="R252" s="202"/>
      <c r="S252" s="204"/>
      <c r="T252" s="199"/>
      <c r="U252" s="204"/>
      <c r="V252" s="202"/>
      <c r="W252" s="298"/>
      <c r="X252" s="202"/>
      <c r="Y252" s="299"/>
      <c r="AB252" s="202"/>
      <c r="AH252" s="202">
        <f t="shared" si="30"/>
        <v>0</v>
      </c>
      <c r="AK252" s="201"/>
      <c r="AL252" s="300"/>
      <c r="AM252" s="301"/>
      <c r="AN252" s="302"/>
      <c r="AO252" s="101">
        <f t="shared" si="31"/>
        <v>0</v>
      </c>
      <c r="AP252" s="207">
        <v>0.02</v>
      </c>
      <c r="AQ252" s="268">
        <f t="shared" si="32"/>
        <v>0</v>
      </c>
      <c r="AR252" s="202"/>
      <c r="AS252" s="202"/>
      <c r="AT252" s="202"/>
      <c r="AU252" s="202"/>
      <c r="AV252" s="202"/>
      <c r="AW252" s="202"/>
      <c r="AX252" s="202"/>
      <c r="AY252" s="202"/>
      <c r="AZ252" s="202"/>
      <c r="BA252" s="291"/>
      <c r="BB252" s="202"/>
      <c r="BC252" s="291"/>
    </row>
    <row r="253" s="101" customFormat="1" customHeight="1" spans="1:89">
      <c r="C253" s="200"/>
      <c r="G253" s="200"/>
      <c r="H253" s="200"/>
      <c r="I253" s="266" t="s">
        <v>4524</v>
      </c>
      <c r="J253" s="295">
        <v>46.51</v>
      </c>
      <c r="M253" s="235"/>
      <c r="N253" s="202">
        <v>95181</v>
      </c>
      <c r="O253" s="158"/>
      <c r="P253" s="203"/>
      <c r="Q253" s="205"/>
      <c r="R253" s="202"/>
      <c r="S253" s="289"/>
      <c r="T253" s="290"/>
      <c r="U253" s="289"/>
      <c r="V253" s="202"/>
      <c r="W253" s="283"/>
      <c r="X253" s="202"/>
      <c r="Y253" s="201"/>
      <c r="AA253" s="201"/>
      <c r="AB253" s="202"/>
      <c r="AH253" s="202">
        <f t="shared" si="30"/>
        <v>0</v>
      </c>
      <c r="AK253" s="201"/>
      <c r="AM253" s="200"/>
      <c r="AN253" s="203"/>
      <c r="AO253" s="101">
        <f t="shared" si="31"/>
        <v>0</v>
      </c>
      <c r="AP253" s="207">
        <v>0.02</v>
      </c>
      <c r="AQ253" s="268">
        <f t="shared" si="32"/>
        <v>0</v>
      </c>
      <c r="AR253" s="202"/>
      <c r="AS253" s="202"/>
      <c r="AT253" s="202"/>
      <c r="AU253" s="202"/>
      <c r="AV253" s="202"/>
      <c r="AW253" s="202"/>
      <c r="AX253" s="202"/>
      <c r="AY253" s="202"/>
      <c r="AZ253" s="202"/>
      <c r="BA253" s="291"/>
      <c r="BB253" s="202"/>
      <c r="BC253" s="291"/>
    </row>
    <row r="254" s="101" customFormat="1" customHeight="1" spans="1:89">
      <c r="C254" s="200"/>
      <c r="G254" s="200"/>
      <c r="H254" s="200"/>
      <c r="I254" s="269" t="s">
        <v>4525</v>
      </c>
      <c r="J254" s="295">
        <v>71.07</v>
      </c>
      <c r="M254" s="235"/>
      <c r="N254" s="202" t="s">
        <v>3345</v>
      </c>
      <c r="O254" s="158"/>
      <c r="P254" s="203"/>
      <c r="Q254" s="205"/>
      <c r="R254" s="202"/>
      <c r="S254" s="289"/>
      <c r="T254" s="290"/>
      <c r="U254" s="289"/>
      <c r="V254" s="202"/>
      <c r="W254" s="283"/>
      <c r="Y254" s="201"/>
      <c r="AA254" s="201"/>
      <c r="AB254" s="202"/>
      <c r="AH254" s="202">
        <f t="shared" si="30"/>
        <v>0</v>
      </c>
      <c r="AK254" s="201"/>
      <c r="AL254" s="300"/>
      <c r="AM254" s="200"/>
      <c r="AN254" s="203"/>
      <c r="AO254" s="101">
        <f t="shared" si="31"/>
        <v>0</v>
      </c>
      <c r="AP254" s="207">
        <v>0.02</v>
      </c>
      <c r="AQ254" s="268">
        <f t="shared" si="32"/>
        <v>0</v>
      </c>
      <c r="AR254" s="202"/>
      <c r="AS254" s="202"/>
      <c r="AT254" s="202"/>
      <c r="AU254" s="202"/>
      <c r="AV254" s="202"/>
      <c r="AW254" s="202"/>
      <c r="AX254" s="202"/>
      <c r="AY254" s="202"/>
      <c r="AZ254" s="202"/>
      <c r="BA254" s="291"/>
      <c r="BB254" s="202"/>
      <c r="BC254" s="291"/>
    </row>
    <row r="255" s="101" customFormat="1" customHeight="1" spans="1:89">
      <c r="C255" s="200"/>
      <c r="G255" s="200"/>
      <c r="H255" s="200"/>
      <c r="I255" s="266" t="s">
        <v>4526</v>
      </c>
      <c r="J255" s="295">
        <v>70.52</v>
      </c>
      <c r="M255" s="235"/>
      <c r="N255" s="202" t="s">
        <v>3345</v>
      </c>
      <c r="O255" s="158"/>
      <c r="P255" s="203"/>
      <c r="Q255" s="205"/>
      <c r="R255" s="202"/>
      <c r="T255" s="199"/>
      <c r="V255" s="202"/>
      <c r="X255" s="202"/>
      <c r="Y255" s="201"/>
      <c r="AA255" s="201"/>
      <c r="AB255" s="202"/>
      <c r="AH255" s="202">
        <f t="shared" si="30"/>
        <v>0</v>
      </c>
      <c r="AK255" s="201"/>
      <c r="AM255" s="200"/>
      <c r="AN255" s="203"/>
      <c r="AO255" s="101">
        <f t="shared" si="31"/>
        <v>0</v>
      </c>
      <c r="AP255" s="207">
        <v>0.02</v>
      </c>
      <c r="AQ255" s="268">
        <f t="shared" si="32"/>
        <v>0</v>
      </c>
      <c r="AR255" s="202"/>
      <c r="AS255" s="202"/>
      <c r="AT255" s="202"/>
      <c r="AU255" s="202"/>
      <c r="AV255" s="202"/>
      <c r="AW255" s="202"/>
      <c r="AX255" s="202"/>
      <c r="AY255" s="202"/>
      <c r="AZ255" s="202"/>
      <c r="BA255" s="291"/>
      <c r="BB255" s="202"/>
      <c r="BC255" s="291"/>
    </row>
    <row r="256" s="101" customFormat="1" ht="42" customHeight="1" spans="1:89">
      <c r="C256" s="200"/>
      <c r="I256" s="269" t="s">
        <v>4527</v>
      </c>
      <c r="J256" s="295">
        <v>31.87</v>
      </c>
      <c r="M256" s="235"/>
      <c r="N256" s="202">
        <v>65214</v>
      </c>
      <c r="O256" s="158"/>
      <c r="P256" s="203"/>
      <c r="Q256" s="205"/>
      <c r="R256" s="202"/>
      <c r="S256" s="204"/>
      <c r="T256" s="290"/>
      <c r="U256" s="289"/>
      <c r="V256" s="202"/>
      <c r="W256" s="283"/>
      <c r="X256" s="202"/>
      <c r="Y256" s="201"/>
      <c r="AA256" s="201"/>
      <c r="AB256" s="202"/>
      <c r="AH256" s="202">
        <f t="shared" si="30"/>
        <v>0</v>
      </c>
      <c r="AK256" s="201"/>
      <c r="AM256" s="200"/>
      <c r="AN256" s="203"/>
      <c r="AO256" s="101">
        <f t="shared" si="31"/>
        <v>0</v>
      </c>
      <c r="AP256" s="207">
        <v>0.02</v>
      </c>
      <c r="AQ256" s="268">
        <f t="shared" si="32"/>
        <v>0</v>
      </c>
      <c r="AR256" s="202"/>
      <c r="AS256" s="202"/>
      <c r="AT256" s="202"/>
      <c r="AU256" s="202"/>
      <c r="AV256" s="202"/>
      <c r="AW256" s="202"/>
      <c r="AX256" s="202"/>
      <c r="AY256" s="202"/>
      <c r="AZ256" s="202"/>
      <c r="BA256" s="291"/>
      <c r="BB256" s="202"/>
      <c r="BC256" s="291"/>
    </row>
    <row r="257" s="101" customFormat="1" customHeight="1" spans="1:89">
      <c r="C257" s="200"/>
      <c r="I257" s="266" t="s">
        <v>4528</v>
      </c>
      <c r="J257" s="295">
        <v>48.44</v>
      </c>
      <c r="M257" s="235"/>
      <c r="N257" s="202">
        <v>99130</v>
      </c>
      <c r="O257" s="158"/>
      <c r="P257" s="203"/>
      <c r="Q257" s="205"/>
      <c r="R257" s="202"/>
      <c r="T257" s="199"/>
      <c r="V257" s="202"/>
      <c r="W257" s="201"/>
      <c r="X257" s="202"/>
      <c r="Y257" s="201"/>
      <c r="AA257" s="201"/>
      <c r="AB257" s="202"/>
      <c r="AH257" s="202">
        <f t="shared" si="30"/>
        <v>0</v>
      </c>
      <c r="AK257" s="201"/>
      <c r="AM257" s="200"/>
      <c r="AN257" s="203"/>
      <c r="AO257" s="101">
        <f t="shared" si="31"/>
        <v>0</v>
      </c>
      <c r="AP257" s="207">
        <v>0.02</v>
      </c>
      <c r="AQ257" s="268">
        <f t="shared" si="32"/>
        <v>0</v>
      </c>
      <c r="AR257" s="202"/>
      <c r="AS257" s="202"/>
      <c r="AT257" s="202"/>
      <c r="AU257" s="202"/>
      <c r="AV257" s="202"/>
      <c r="AW257" s="202"/>
      <c r="AX257" s="202"/>
      <c r="AY257" s="202"/>
      <c r="AZ257" s="202"/>
      <c r="BA257" s="291"/>
      <c r="BB257" s="202"/>
      <c r="BC257" s="291"/>
    </row>
    <row r="258" s="101" customFormat="1" customHeight="1" spans="1:89">
      <c r="C258" s="200"/>
      <c r="G258" s="200"/>
      <c r="H258" s="200"/>
      <c r="I258" s="269" t="s">
        <v>4529</v>
      </c>
      <c r="J258" s="295">
        <v>70.62</v>
      </c>
      <c r="M258" s="235"/>
      <c r="N258" s="202" t="s">
        <v>3345</v>
      </c>
      <c r="O258" s="158"/>
      <c r="P258" s="203"/>
      <c r="Q258" s="205"/>
      <c r="R258" s="202"/>
      <c r="S258" s="204"/>
      <c r="T258" s="199"/>
      <c r="U258" s="204"/>
      <c r="V258" s="202"/>
      <c r="W258" s="298"/>
      <c r="X258" s="202"/>
      <c r="Y258" s="201"/>
      <c r="AA258" s="201"/>
      <c r="AB258" s="202"/>
      <c r="AH258" s="202">
        <f t="shared" si="30"/>
        <v>0</v>
      </c>
      <c r="AK258" s="201"/>
      <c r="AM258" s="200"/>
      <c r="AN258" s="203"/>
      <c r="AO258" s="101">
        <f t="shared" si="31"/>
        <v>0</v>
      </c>
      <c r="AP258" s="207">
        <v>0.02</v>
      </c>
      <c r="AQ258" s="268">
        <f t="shared" si="32"/>
        <v>0</v>
      </c>
      <c r="AR258" s="202"/>
      <c r="AS258" s="202"/>
      <c r="AT258" s="202"/>
      <c r="AU258" s="202"/>
      <c r="AV258" s="202"/>
      <c r="AW258" s="202"/>
      <c r="AX258" s="202"/>
      <c r="AY258" s="202"/>
      <c r="AZ258" s="202"/>
      <c r="BB258" s="202"/>
    </row>
    <row r="259" s="101" customFormat="1" customHeight="1" spans="1:89">
      <c r="F259" s="300"/>
      <c r="G259" s="290"/>
      <c r="H259" s="290"/>
      <c r="I259" s="266" t="s">
        <v>4530</v>
      </c>
      <c r="J259" s="295">
        <v>71.07</v>
      </c>
      <c r="M259" s="235"/>
      <c r="N259" s="202" t="s">
        <v>3345</v>
      </c>
      <c r="O259" s="158"/>
      <c r="P259" s="203"/>
      <c r="Q259" s="205"/>
      <c r="R259" s="202"/>
      <c r="T259" s="199"/>
      <c r="V259" s="202"/>
      <c r="X259" s="202"/>
      <c r="Y259" s="298"/>
      <c r="AA259" s="201"/>
      <c r="AB259" s="202"/>
      <c r="AH259" s="202">
        <f t="shared" si="30"/>
        <v>0</v>
      </c>
      <c r="AK259" s="201"/>
      <c r="AL259" s="300"/>
      <c r="AM259" s="301"/>
      <c r="AN259" s="303"/>
      <c r="AO259" s="101">
        <f t="shared" si="31"/>
        <v>0</v>
      </c>
      <c r="AP259" s="207">
        <v>0.02</v>
      </c>
      <c r="AQ259" s="268">
        <f t="shared" si="32"/>
        <v>0</v>
      </c>
      <c r="AR259" s="202"/>
      <c r="AS259" s="202"/>
      <c r="AT259" s="202"/>
      <c r="AU259" s="202"/>
      <c r="AV259" s="202"/>
      <c r="AW259" s="202"/>
      <c r="AX259" s="202"/>
      <c r="AY259" s="202"/>
      <c r="AZ259" s="202"/>
      <c r="BA259" s="291"/>
      <c r="BB259" s="202"/>
      <c r="BC259" s="291"/>
    </row>
    <row r="260" s="101" customFormat="1" customHeight="1" spans="1:89">
      <c r="D260" s="304"/>
      <c r="F260" s="300"/>
      <c r="G260" s="199"/>
      <c r="H260" s="199"/>
      <c r="I260" s="269" t="s">
        <v>4531</v>
      </c>
      <c r="J260" s="295">
        <v>18.73</v>
      </c>
      <c r="M260" s="235"/>
      <c r="N260" s="202" t="s">
        <v>3345</v>
      </c>
      <c r="O260" s="158"/>
      <c r="P260" s="300"/>
      <c r="Q260" s="205"/>
      <c r="R260" s="202"/>
      <c r="S260" s="204"/>
      <c r="T260" s="199"/>
      <c r="U260" s="199"/>
      <c r="V260" s="202"/>
      <c r="W260" s="298"/>
      <c r="X260" s="202"/>
      <c r="Y260" s="298"/>
      <c r="AB260" s="202"/>
      <c r="AH260" s="202">
        <f t="shared" si="30"/>
        <v>0</v>
      </c>
      <c r="AK260" s="201"/>
      <c r="AL260" s="300"/>
      <c r="AM260" s="301"/>
      <c r="AN260" s="303"/>
      <c r="AO260" s="101">
        <f t="shared" si="31"/>
        <v>0</v>
      </c>
      <c r="AP260" s="207">
        <v>0.02</v>
      </c>
      <c r="AQ260" s="268">
        <f t="shared" si="32"/>
        <v>0</v>
      </c>
      <c r="AR260" s="202"/>
      <c r="AS260" s="202"/>
      <c r="AT260" s="202"/>
      <c r="AU260" s="202"/>
      <c r="AV260" s="202"/>
      <c r="AW260" s="202"/>
      <c r="AX260" s="202"/>
      <c r="AY260" s="202"/>
      <c r="AZ260" s="202"/>
      <c r="BA260" s="291"/>
      <c r="BB260" s="202"/>
      <c r="BC260" s="291"/>
    </row>
    <row r="261" s="101" customFormat="1" customHeight="1" spans="1:89">
      <c r="D261" s="304"/>
      <c r="G261" s="200"/>
      <c r="H261" s="200"/>
      <c r="I261" s="266" t="s">
        <v>4532</v>
      </c>
      <c r="J261" s="295">
        <v>27.76</v>
      </c>
      <c r="M261" s="235"/>
      <c r="N261" s="202">
        <v>95140</v>
      </c>
      <c r="O261" s="158"/>
      <c r="P261" s="300"/>
      <c r="Q261" s="205"/>
      <c r="R261" s="202"/>
      <c r="S261" s="289"/>
      <c r="T261" s="290"/>
      <c r="U261" s="289"/>
      <c r="V261" s="202"/>
      <c r="W261" s="298"/>
      <c r="AB261" s="202"/>
      <c r="AH261" s="202">
        <f t="shared" si="30"/>
        <v>0</v>
      </c>
      <c r="AK261" s="201"/>
      <c r="AL261" s="300"/>
      <c r="AM261" s="301"/>
      <c r="AN261" s="303"/>
      <c r="AO261" s="101">
        <f t="shared" si="31"/>
        <v>0</v>
      </c>
      <c r="AP261" s="207">
        <v>0.02</v>
      </c>
      <c r="AQ261" s="268">
        <f t="shared" si="32"/>
        <v>0</v>
      </c>
      <c r="AR261" s="202"/>
      <c r="AS261" s="202"/>
      <c r="AT261" s="202"/>
      <c r="AU261" s="202"/>
      <c r="AV261" s="202"/>
      <c r="AW261" s="202"/>
      <c r="AX261" s="202"/>
      <c r="AY261" s="202"/>
      <c r="AZ261" s="202"/>
      <c r="BA261" s="291"/>
      <c r="BB261" s="202"/>
      <c r="BC261" s="291"/>
    </row>
    <row r="262" s="101" customFormat="1" customHeight="1" spans="1:89">
      <c r="A262" s="101">
        <v>209</v>
      </c>
      <c r="F262" s="300"/>
      <c r="G262" s="290"/>
      <c r="H262" s="290"/>
      <c r="I262" s="266" t="s">
        <v>4533</v>
      </c>
      <c r="J262" s="305">
        <v>109.5</v>
      </c>
      <c r="M262" s="235"/>
      <c r="N262" s="202">
        <v>8624</v>
      </c>
      <c r="O262" s="158"/>
      <c r="Q262" s="205"/>
      <c r="R262" s="202"/>
      <c r="S262" s="289"/>
      <c r="T262" s="290"/>
      <c r="U262" s="289"/>
      <c r="V262" s="202"/>
      <c r="W262" s="205"/>
      <c r="X262" s="202"/>
      <c r="Y262" s="205"/>
      <c r="Z262" s="199"/>
      <c r="AA262" s="205"/>
      <c r="AB262" s="202"/>
      <c r="AC262" s="298"/>
      <c r="AD262" s="298"/>
      <c r="AE262" s="298"/>
      <c r="AF262" s="298"/>
      <c r="AG262" s="298"/>
      <c r="AH262" s="202">
        <f t="shared" si="30"/>
        <v>0</v>
      </c>
      <c r="AK262" s="201"/>
      <c r="AL262" s="300"/>
      <c r="AM262" s="301"/>
      <c r="AN262" s="303"/>
      <c r="AO262" s="101">
        <f t="shared" si="31"/>
        <v>0</v>
      </c>
      <c r="AP262" s="159"/>
      <c r="AQ262" s="268">
        <f t="shared" si="32"/>
        <v>0</v>
      </c>
      <c r="AR262" s="202"/>
      <c r="AS262" s="202"/>
      <c r="AT262" s="202"/>
      <c r="AU262" s="202"/>
      <c r="AV262" s="202"/>
      <c r="AW262" s="202"/>
      <c r="AX262" s="202"/>
      <c r="AY262" s="202"/>
      <c r="AZ262" s="202"/>
      <c r="BA262" s="291"/>
      <c r="BB262" s="202"/>
      <c r="BC262" s="291"/>
    </row>
    <row r="263" s="128" customFormat="1" customHeight="1" spans="1:89">
      <c r="A263" s="128">
        <v>210</v>
      </c>
      <c r="C263" s="171">
        <v>45807</v>
      </c>
      <c r="D263" s="286" t="s">
        <v>4534</v>
      </c>
      <c r="E263" s="306" t="s">
        <v>4535</v>
      </c>
      <c r="F263" s="287" t="s">
        <v>4536</v>
      </c>
      <c r="G263" s="284" t="s">
        <v>4537</v>
      </c>
      <c r="H263" s="284"/>
      <c r="I263" s="276" t="s">
        <v>4538</v>
      </c>
      <c r="J263" s="128">
        <v>128.86</v>
      </c>
      <c r="K263" s="128">
        <v>128.86</v>
      </c>
      <c r="L263" s="128">
        <v>8464</v>
      </c>
      <c r="M263" s="307">
        <f>1087370+3301</f>
        <v>1090671</v>
      </c>
      <c r="N263" s="308">
        <v>8414</v>
      </c>
      <c r="O263" s="309">
        <v>1000615.6</v>
      </c>
      <c r="P263" s="286" t="s">
        <v>4539</v>
      </c>
      <c r="Q263" s="310">
        <v>45813</v>
      </c>
      <c r="R263" s="218"/>
      <c r="S263" s="219"/>
      <c r="T263" s="284"/>
      <c r="U263" s="278"/>
      <c r="V263" s="218">
        <v>1090671</v>
      </c>
      <c r="W263" s="219" t="s">
        <v>4540</v>
      </c>
      <c r="Z263" s="218"/>
      <c r="AB263" s="218"/>
      <c r="AH263" s="218">
        <f t="shared" ref="AH263:AH326" si="38">V263+X263+Z263+AB263+AD263+AF263</f>
        <v>1090671</v>
      </c>
      <c r="AK263" s="179">
        <f>M263-AH263</f>
        <v>0</v>
      </c>
      <c r="AL263" s="287" t="s">
        <v>4541</v>
      </c>
      <c r="AM263" s="311"/>
      <c r="AN263" s="312"/>
      <c r="AO263" s="128">
        <f t="shared" ref="AO263:AO326" si="39">SUM(AZ263:CF263)</f>
        <v>0</v>
      </c>
      <c r="AP263" s="169"/>
      <c r="AQ263" s="275">
        <f t="shared" ref="AQ263:AQ326" si="40">AR263+AS263+AT263+AU263+AV263+AW263+AX263+AY263</f>
        <v>0</v>
      </c>
      <c r="AR263" s="218"/>
      <c r="AS263" s="218"/>
      <c r="AT263" s="218"/>
      <c r="AU263" s="218"/>
      <c r="AV263" s="218"/>
      <c r="AW263" s="218"/>
      <c r="AX263" s="218"/>
      <c r="AY263" s="218"/>
      <c r="AZ263" s="218"/>
      <c r="BA263" s="292"/>
      <c r="BB263" s="218"/>
      <c r="BC263" s="292"/>
      <c r="CI263" s="128" t="s">
        <v>376</v>
      </c>
      <c r="CK263" s="128" t="s">
        <v>377</v>
      </c>
    </row>
    <row r="264" s="128" customFormat="1" customHeight="1" spans="1:89">
      <c r="A264" s="128">
        <v>211</v>
      </c>
      <c r="C264" s="171">
        <v>45622</v>
      </c>
      <c r="D264" s="286" t="s">
        <v>4542</v>
      </c>
      <c r="E264" s="306" t="s">
        <v>4543</v>
      </c>
      <c r="F264" s="287" t="s">
        <v>4544</v>
      </c>
      <c r="G264" s="284" t="s">
        <v>4545</v>
      </c>
      <c r="H264" s="284"/>
      <c r="I264" s="273" t="s">
        <v>4546</v>
      </c>
      <c r="J264" s="128">
        <v>126.5</v>
      </c>
      <c r="K264" s="128">
        <v>126.5</v>
      </c>
      <c r="L264" s="128">
        <v>5000</v>
      </c>
      <c r="M264" s="307">
        <v>632500</v>
      </c>
      <c r="N264" s="308">
        <v>5732.1</v>
      </c>
      <c r="O264" s="309">
        <v>580275.23</v>
      </c>
      <c r="P264" s="286" t="s">
        <v>4547</v>
      </c>
      <c r="Q264" s="211">
        <v>45856</v>
      </c>
      <c r="R264" s="218"/>
      <c r="S264" s="219"/>
      <c r="T264" s="272"/>
      <c r="U264" s="219"/>
      <c r="V264" s="218">
        <v>232500</v>
      </c>
      <c r="W264" s="171" t="s">
        <v>508</v>
      </c>
      <c r="X264" s="218">
        <v>400000</v>
      </c>
      <c r="Y264" s="219" t="s">
        <v>4548</v>
      </c>
      <c r="AA264" s="171"/>
      <c r="AB264" s="218"/>
      <c r="AH264" s="218">
        <f t="shared" si="38"/>
        <v>632500</v>
      </c>
      <c r="AK264" s="179">
        <f t="shared" ref="AK264:AK269" si="41">M264-AH264</f>
        <v>0</v>
      </c>
      <c r="AL264" s="287" t="s">
        <v>4549</v>
      </c>
      <c r="AM264" s="311"/>
      <c r="AN264" s="312"/>
      <c r="AO264" s="128">
        <f t="shared" si="39"/>
        <v>0</v>
      </c>
      <c r="AP264" s="169"/>
      <c r="AQ264" s="275">
        <f t="shared" si="40"/>
        <v>0</v>
      </c>
      <c r="AR264" s="218"/>
      <c r="AS264" s="218"/>
      <c r="AT264" s="218"/>
      <c r="AU264" s="218"/>
      <c r="AV264" s="218"/>
      <c r="AW264" s="218"/>
      <c r="AX264" s="218"/>
      <c r="AY264" s="218"/>
      <c r="AZ264" s="218"/>
      <c r="BA264" s="292"/>
      <c r="BB264" s="218"/>
      <c r="BC264" s="292"/>
      <c r="CI264" s="128" t="s">
        <v>376</v>
      </c>
      <c r="CK264" s="128" t="s">
        <v>377</v>
      </c>
    </row>
    <row r="265" s="128" customFormat="1" customHeight="1" spans="1:89">
      <c r="A265" s="128">
        <v>212</v>
      </c>
      <c r="C265" s="171">
        <v>45607</v>
      </c>
      <c r="D265" s="286" t="s">
        <v>4550</v>
      </c>
      <c r="E265" s="306" t="s">
        <v>4551</v>
      </c>
      <c r="F265" s="287" t="s">
        <v>4552</v>
      </c>
      <c r="G265" s="284" t="s">
        <v>4553</v>
      </c>
      <c r="H265" s="284"/>
      <c r="I265" s="276" t="s">
        <v>4554</v>
      </c>
      <c r="J265" s="128">
        <v>126.9</v>
      </c>
      <c r="K265" s="128">
        <v>126.9</v>
      </c>
      <c r="L265" s="128">
        <v>5910.16</v>
      </c>
      <c r="M265" s="307">
        <v>750000</v>
      </c>
      <c r="N265" s="308">
        <v>5714.1</v>
      </c>
      <c r="O265" s="309">
        <v>688073.39</v>
      </c>
      <c r="P265" s="1020" t="s">
        <v>4555</v>
      </c>
      <c r="Q265" s="211">
        <v>45856</v>
      </c>
      <c r="R265" s="218"/>
      <c r="S265" s="219"/>
      <c r="T265" s="272"/>
      <c r="U265" s="219"/>
      <c r="V265" s="218">
        <v>150000</v>
      </c>
      <c r="W265" s="219" t="s">
        <v>3382</v>
      </c>
      <c r="X265" s="218">
        <v>600000</v>
      </c>
      <c r="Y265" s="219" t="s">
        <v>4548</v>
      </c>
      <c r="AB265" s="218"/>
      <c r="AH265" s="218">
        <f t="shared" si="38"/>
        <v>750000</v>
      </c>
      <c r="AK265" s="179">
        <f t="shared" si="41"/>
        <v>0</v>
      </c>
      <c r="AL265" s="287" t="s">
        <v>4556</v>
      </c>
      <c r="AM265" s="311"/>
      <c r="AN265" s="312"/>
      <c r="AO265" s="128">
        <f t="shared" si="39"/>
        <v>0</v>
      </c>
      <c r="AP265" s="169"/>
      <c r="AQ265" s="275">
        <f t="shared" si="40"/>
        <v>0</v>
      </c>
      <c r="AR265" s="218"/>
      <c r="AS265" s="218"/>
      <c r="AT265" s="218"/>
      <c r="AU265" s="218"/>
      <c r="AV265" s="218"/>
      <c r="AW265" s="218"/>
      <c r="AX265" s="218"/>
      <c r="AY265" s="218"/>
      <c r="AZ265" s="218"/>
      <c r="BA265" s="292"/>
      <c r="BB265" s="218"/>
      <c r="BC265" s="292"/>
      <c r="CI265" s="128" t="s">
        <v>376</v>
      </c>
      <c r="CK265" s="128" t="s">
        <v>377</v>
      </c>
    </row>
    <row r="266" s="128" customFormat="1" customHeight="1" spans="1:89">
      <c r="A266" s="128">
        <v>213</v>
      </c>
      <c r="C266" s="171">
        <v>45263</v>
      </c>
      <c r="D266" s="128">
        <v>20230010087</v>
      </c>
      <c r="F266" s="287" t="s">
        <v>4557</v>
      </c>
      <c r="G266" s="284" t="s">
        <v>4558</v>
      </c>
      <c r="H266" s="1018" t="s">
        <v>4559</v>
      </c>
      <c r="I266" s="276" t="s">
        <v>4560</v>
      </c>
      <c r="J266" s="128">
        <v>126.5</v>
      </c>
      <c r="K266" s="128">
        <v>126.5</v>
      </c>
      <c r="L266" s="128">
        <v>5782.38</v>
      </c>
      <c r="M266" s="307">
        <v>731471</v>
      </c>
      <c r="N266" s="308">
        <v>5782</v>
      </c>
      <c r="O266" s="168">
        <v>671074.31</v>
      </c>
      <c r="P266" s="286" t="s">
        <v>4561</v>
      </c>
      <c r="Q266" s="211">
        <v>45856</v>
      </c>
      <c r="R266" s="218"/>
      <c r="S266" s="219"/>
      <c r="T266" s="272"/>
      <c r="U266" s="219" t="s">
        <v>486</v>
      </c>
      <c r="V266" s="218">
        <v>20000</v>
      </c>
      <c r="W266" s="219" t="s">
        <v>4562</v>
      </c>
      <c r="X266" s="218">
        <v>131471</v>
      </c>
      <c r="Y266" s="219" t="s">
        <v>3287</v>
      </c>
      <c r="Z266" s="128">
        <v>580000</v>
      </c>
      <c r="AA266" s="128" t="s">
        <v>449</v>
      </c>
      <c r="AB266" s="218"/>
      <c r="AH266" s="218">
        <f t="shared" si="38"/>
        <v>731471</v>
      </c>
      <c r="AK266" s="179">
        <f t="shared" si="41"/>
        <v>0</v>
      </c>
      <c r="AL266" s="287"/>
      <c r="AM266" s="311"/>
      <c r="AN266" s="312"/>
      <c r="AO266" s="128">
        <f t="shared" si="39"/>
        <v>731471</v>
      </c>
      <c r="AP266" s="169">
        <f>0.7%+0.02%+0.08%</f>
        <v>0.008</v>
      </c>
      <c r="AQ266" s="275">
        <f t="shared" si="40"/>
        <v>0</v>
      </c>
      <c r="AR266" s="218"/>
      <c r="AS266" s="218"/>
      <c r="AT266" s="218"/>
      <c r="AU266" s="218"/>
      <c r="AV266" s="218"/>
      <c r="AW266" s="218"/>
      <c r="AX266" s="218"/>
      <c r="AY266" s="218"/>
      <c r="AZ266" s="218"/>
      <c r="BB266" s="218"/>
      <c r="BD266" s="128">
        <v>731471</v>
      </c>
      <c r="CI266" s="128" t="s">
        <v>376</v>
      </c>
      <c r="CJ266" s="128" t="s">
        <v>387</v>
      </c>
      <c r="CK266" s="128" t="s">
        <v>377</v>
      </c>
    </row>
    <row r="267" s="128" customFormat="1" customHeight="1" spans="1:89">
      <c r="A267" s="128">
        <v>214</v>
      </c>
      <c r="C267" s="171">
        <v>45231</v>
      </c>
      <c r="D267" s="286" t="s">
        <v>4563</v>
      </c>
      <c r="F267" s="287" t="s">
        <v>4564</v>
      </c>
      <c r="G267" s="284" t="s">
        <v>4565</v>
      </c>
      <c r="H267" s="1018" t="s">
        <v>4566</v>
      </c>
      <c r="I267" s="276" t="s">
        <v>4567</v>
      </c>
      <c r="J267" s="128">
        <v>126.9</v>
      </c>
      <c r="K267" s="128">
        <v>126.9</v>
      </c>
      <c r="L267" s="128">
        <v>5770</v>
      </c>
      <c r="M267" s="274">
        <f>K267*L267</f>
        <v>732213</v>
      </c>
      <c r="N267" s="308">
        <v>5764.38</v>
      </c>
      <c r="O267" s="168">
        <v>671755.05</v>
      </c>
      <c r="P267" s="286" t="s">
        <v>4568</v>
      </c>
      <c r="Q267" s="211">
        <v>45856</v>
      </c>
      <c r="R267" s="218"/>
      <c r="T267" s="272"/>
      <c r="U267" s="128" t="s">
        <v>496</v>
      </c>
      <c r="V267" s="218">
        <v>20000</v>
      </c>
      <c r="W267" s="128" t="s">
        <v>2643</v>
      </c>
      <c r="X267" s="218">
        <v>50000</v>
      </c>
      <c r="Y267" s="128" t="s">
        <v>2719</v>
      </c>
      <c r="Z267" s="128">
        <v>50000</v>
      </c>
      <c r="AA267" s="128" t="s">
        <v>2279</v>
      </c>
      <c r="AB267" s="218">
        <v>50000</v>
      </c>
      <c r="AC267" s="128" t="s">
        <v>734</v>
      </c>
      <c r="AD267" s="218">
        <f>42213+10000</f>
        <v>52213</v>
      </c>
      <c r="AE267" s="128" t="s">
        <v>1499</v>
      </c>
      <c r="AF267" s="218">
        <v>510000</v>
      </c>
      <c r="AG267" s="128" t="s">
        <v>4569</v>
      </c>
      <c r="AH267" s="218">
        <f t="shared" si="38"/>
        <v>732213</v>
      </c>
      <c r="AK267" s="179">
        <f t="shared" si="41"/>
        <v>0</v>
      </c>
      <c r="AL267" s="287" t="s">
        <v>4570</v>
      </c>
      <c r="AM267" s="311"/>
      <c r="AN267" s="312"/>
      <c r="AO267" s="128">
        <f t="shared" si="39"/>
        <v>732213</v>
      </c>
      <c r="AP267" s="169">
        <f>0.5%+0.05%+0.12%</f>
        <v>0.0067</v>
      </c>
      <c r="AQ267" s="275">
        <f t="shared" si="40"/>
        <v>0</v>
      </c>
      <c r="AR267" s="218"/>
      <c r="AS267" s="218"/>
      <c r="AT267" s="218"/>
      <c r="AU267" s="218"/>
      <c r="AV267" s="218"/>
      <c r="AW267" s="218"/>
      <c r="AX267" s="218"/>
      <c r="AY267" s="218"/>
      <c r="AZ267" s="218"/>
      <c r="BA267" s="292"/>
      <c r="BB267" s="218"/>
      <c r="BC267" s="292">
        <v>222213</v>
      </c>
      <c r="BH267" s="128">
        <v>510000</v>
      </c>
      <c r="CI267" s="128" t="s">
        <v>376</v>
      </c>
      <c r="CJ267" s="128" t="s">
        <v>387</v>
      </c>
      <c r="CK267" s="128" t="s">
        <v>377</v>
      </c>
    </row>
    <row r="268" s="128" customFormat="1" customHeight="1" spans="1:89">
      <c r="A268" s="128">
        <v>215</v>
      </c>
      <c r="C268" s="171">
        <v>45234</v>
      </c>
      <c r="D268" s="286" t="s">
        <v>4571</v>
      </c>
      <c r="F268" s="287" t="s">
        <v>4572</v>
      </c>
      <c r="G268" s="272" t="s">
        <v>4573</v>
      </c>
      <c r="H268" s="272"/>
      <c r="I268" s="276" t="s">
        <v>4574</v>
      </c>
      <c r="J268" s="128">
        <v>126.5</v>
      </c>
      <c r="K268" s="128">
        <v>126.5</v>
      </c>
      <c r="L268" s="128">
        <v>5833.99</v>
      </c>
      <c r="M268" s="307">
        <v>738000</v>
      </c>
      <c r="N268" s="308">
        <v>5812.38</v>
      </c>
      <c r="O268" s="168">
        <v>677064.22</v>
      </c>
      <c r="P268" s="286" t="s">
        <v>4575</v>
      </c>
      <c r="Q268" s="211">
        <v>45856</v>
      </c>
      <c r="R268" s="218"/>
      <c r="S268" s="219"/>
      <c r="T268" s="272"/>
      <c r="U268" s="272" t="s">
        <v>393</v>
      </c>
      <c r="V268" s="218">
        <v>20000</v>
      </c>
      <c r="W268" s="219" t="s">
        <v>4576</v>
      </c>
      <c r="X268" s="218">
        <v>218000</v>
      </c>
      <c r="Y268" s="219" t="s">
        <v>4577</v>
      </c>
      <c r="Z268" s="272">
        <v>500000</v>
      </c>
      <c r="AA268" s="211" t="s">
        <v>420</v>
      </c>
      <c r="AB268" s="218"/>
      <c r="AH268" s="218">
        <f t="shared" si="38"/>
        <v>738000</v>
      </c>
      <c r="AK268" s="179">
        <f t="shared" si="41"/>
        <v>0</v>
      </c>
      <c r="AL268" s="287" t="s">
        <v>4578</v>
      </c>
      <c r="AM268" s="311"/>
      <c r="AN268" s="312"/>
      <c r="AO268" s="128">
        <f t="shared" si="39"/>
        <v>738000</v>
      </c>
      <c r="AP268" s="169">
        <f>0.5%+0.02%+0.08%</f>
        <v>0.006</v>
      </c>
      <c r="AQ268" s="275">
        <f t="shared" si="40"/>
        <v>0</v>
      </c>
      <c r="AR268" s="218"/>
      <c r="AS268" s="218"/>
      <c r="AT268" s="218"/>
      <c r="AU268" s="218"/>
      <c r="AV268" s="218"/>
      <c r="AW268" s="218"/>
      <c r="AX268" s="218"/>
      <c r="AY268" s="218"/>
      <c r="AZ268" s="218"/>
      <c r="BA268" s="292"/>
      <c r="BB268" s="218"/>
      <c r="BC268" s="292">
        <v>738000</v>
      </c>
      <c r="CI268" s="128" t="s">
        <v>376</v>
      </c>
      <c r="CJ268" s="128" t="s">
        <v>387</v>
      </c>
      <c r="CK268" s="128" t="s">
        <v>377</v>
      </c>
    </row>
    <row r="269" s="128" customFormat="1" customHeight="1" spans="1:89">
      <c r="A269" s="128">
        <v>216</v>
      </c>
      <c r="B269" s="128"/>
      <c r="C269" s="171">
        <v>45612</v>
      </c>
      <c r="D269" s="286" t="s">
        <v>4579</v>
      </c>
      <c r="F269" s="313" t="s">
        <v>4580</v>
      </c>
      <c r="G269" s="272" t="s">
        <v>4581</v>
      </c>
      <c r="H269" s="1017" t="s">
        <v>4582</v>
      </c>
      <c r="I269" s="276" t="s">
        <v>4583</v>
      </c>
      <c r="J269" s="128">
        <v>126.9</v>
      </c>
      <c r="K269" s="128">
        <v>126.9</v>
      </c>
      <c r="L269" s="128">
        <v>5752.56</v>
      </c>
      <c r="M269" s="307">
        <v>730000</v>
      </c>
      <c r="N269" s="308">
        <v>5794.38</v>
      </c>
      <c r="O269" s="309">
        <v>669724.77</v>
      </c>
      <c r="P269" s="286" t="s">
        <v>4584</v>
      </c>
      <c r="Q269" s="211">
        <v>45856</v>
      </c>
      <c r="R269" s="218"/>
      <c r="S269" s="219"/>
      <c r="T269" s="284"/>
      <c r="U269" s="278" t="s">
        <v>383</v>
      </c>
      <c r="V269" s="218">
        <v>20000</v>
      </c>
      <c r="W269" s="219" t="s">
        <v>3382</v>
      </c>
      <c r="X269" s="218">
        <v>710000</v>
      </c>
      <c r="Y269" s="211" t="s">
        <v>897</v>
      </c>
      <c r="AA269" s="171"/>
      <c r="AB269" s="218"/>
      <c r="AC269" s="171"/>
      <c r="AD269" s="171"/>
      <c r="AE269" s="171"/>
      <c r="AF269" s="171"/>
      <c r="AG269" s="171"/>
      <c r="AH269" s="218">
        <f t="shared" si="38"/>
        <v>730000</v>
      </c>
      <c r="AK269" s="179">
        <f t="shared" si="41"/>
        <v>0</v>
      </c>
      <c r="AL269" s="287"/>
      <c r="AM269" s="311"/>
      <c r="AN269" s="312"/>
      <c r="AO269" s="128">
        <f t="shared" si="39"/>
        <v>730000</v>
      </c>
      <c r="AP269" s="169">
        <f>0.6%+0.08%+0.03%</f>
        <v>0.0071</v>
      </c>
      <c r="AQ269" s="275">
        <f t="shared" si="40"/>
        <v>0</v>
      </c>
      <c r="AR269" s="218"/>
      <c r="AS269" s="218"/>
      <c r="AT269" s="218"/>
      <c r="AU269" s="218"/>
      <c r="AV269" s="218"/>
      <c r="AW269" s="218"/>
      <c r="AX269" s="218"/>
      <c r="AY269" s="218"/>
      <c r="AZ269" s="218"/>
      <c r="BA269" s="292"/>
      <c r="BB269" s="218"/>
      <c r="BC269" s="292"/>
      <c r="BO269" s="128">
        <v>730000</v>
      </c>
      <c r="CI269" s="128" t="s">
        <v>376</v>
      </c>
      <c r="CK269" s="128" t="s">
        <v>377</v>
      </c>
    </row>
    <row r="270" s="128" customFormat="1" customHeight="1" spans="1:89">
      <c r="A270" s="128">
        <v>217</v>
      </c>
      <c r="C270" s="171">
        <v>45166</v>
      </c>
      <c r="D270" s="286" t="s">
        <v>4585</v>
      </c>
      <c r="F270" s="287" t="s">
        <v>4586</v>
      </c>
      <c r="G270" s="272" t="s">
        <v>4587</v>
      </c>
      <c r="H270" s="1017" t="s">
        <v>4588</v>
      </c>
      <c r="I270" s="276" t="s">
        <v>4589</v>
      </c>
      <c r="J270" s="128">
        <v>126.5</v>
      </c>
      <c r="K270" s="128">
        <v>126.5</v>
      </c>
      <c r="L270" s="128">
        <v>5883</v>
      </c>
      <c r="M270" s="274">
        <v>744200</v>
      </c>
      <c r="N270" s="308">
        <v>5882.38</v>
      </c>
      <c r="O270" s="168">
        <v>682752.29</v>
      </c>
      <c r="P270" s="286" t="s">
        <v>4590</v>
      </c>
      <c r="Q270" s="211">
        <v>45856</v>
      </c>
      <c r="R270" s="218"/>
      <c r="T270" s="284"/>
      <c r="U270" s="128" t="s">
        <v>677</v>
      </c>
      <c r="V270" s="218">
        <v>20000</v>
      </c>
      <c r="W270" s="128" t="s">
        <v>1784</v>
      </c>
      <c r="X270" s="218">
        <f>9200+120000</f>
        <v>129200</v>
      </c>
      <c r="Y270" s="171" t="s">
        <v>562</v>
      </c>
      <c r="Z270" s="214">
        <v>595000</v>
      </c>
      <c r="AA270" s="171" t="s">
        <v>1618</v>
      </c>
      <c r="AB270" s="218"/>
      <c r="AH270" s="218">
        <f t="shared" si="38"/>
        <v>744200</v>
      </c>
      <c r="AK270" s="179">
        <f t="shared" ref="AK270:AK281" si="42">M270-AH270</f>
        <v>0</v>
      </c>
      <c r="AL270" s="287" t="s">
        <v>4591</v>
      </c>
      <c r="AM270" s="311"/>
      <c r="AN270" s="312"/>
      <c r="AO270" s="128">
        <f t="shared" si="39"/>
        <v>744200</v>
      </c>
      <c r="AP270" s="169">
        <f>0.7%+0.05%+0.12%</f>
        <v>0.0087</v>
      </c>
      <c r="AQ270" s="275">
        <f t="shared" si="40"/>
        <v>0</v>
      </c>
      <c r="AR270" s="218"/>
      <c r="AS270" s="218"/>
      <c r="AT270" s="218"/>
      <c r="AU270" s="218"/>
      <c r="AV270" s="218"/>
      <c r="AW270" s="218"/>
      <c r="AX270" s="218"/>
      <c r="AY270" s="218"/>
      <c r="AZ270" s="218">
        <v>149200</v>
      </c>
      <c r="BA270" s="292"/>
      <c r="BB270" s="218"/>
      <c r="BC270" s="292">
        <v>595000</v>
      </c>
      <c r="CI270" s="128" t="s">
        <v>376</v>
      </c>
      <c r="CJ270" s="128" t="s">
        <v>387</v>
      </c>
      <c r="CK270" s="128" t="s">
        <v>377</v>
      </c>
    </row>
    <row r="271" s="128" customFormat="1" ht="53" customHeight="1" spans="1:89">
      <c r="A271" s="128">
        <v>218</v>
      </c>
      <c r="C271" s="171">
        <v>45307</v>
      </c>
      <c r="D271" s="286" t="s">
        <v>4592</v>
      </c>
      <c r="F271" s="287" t="s">
        <v>4593</v>
      </c>
      <c r="G271" s="284" t="s">
        <v>4594</v>
      </c>
      <c r="H271" s="272"/>
      <c r="I271" s="276" t="s">
        <v>4595</v>
      </c>
      <c r="J271" s="128">
        <v>126.9</v>
      </c>
      <c r="K271" s="128">
        <v>126.9</v>
      </c>
      <c r="L271" s="128">
        <v>5870.764</v>
      </c>
      <c r="M271" s="274">
        <v>745000</v>
      </c>
      <c r="N271" s="218">
        <v>5864.38</v>
      </c>
      <c r="O271" s="168">
        <v>683486.24</v>
      </c>
      <c r="P271" s="286" t="s">
        <v>4596</v>
      </c>
      <c r="Q271" s="211">
        <v>45856</v>
      </c>
      <c r="R271" s="218"/>
      <c r="S271" s="171"/>
      <c r="T271" s="1017" t="s">
        <v>4597</v>
      </c>
      <c r="U271" s="177" t="s">
        <v>4598</v>
      </c>
      <c r="V271" s="218">
        <v>10000</v>
      </c>
      <c r="W271" s="128" t="s">
        <v>2852</v>
      </c>
      <c r="X271" s="218">
        <v>-10000</v>
      </c>
      <c r="Y271" s="128" t="s">
        <v>2712</v>
      </c>
      <c r="Z271" s="218">
        <v>20000</v>
      </c>
      <c r="AA271" s="128" t="s">
        <v>596</v>
      </c>
      <c r="AB271" s="218">
        <v>204000</v>
      </c>
      <c r="AC271" s="128" t="s">
        <v>4139</v>
      </c>
      <c r="AD271" s="218">
        <v>521000</v>
      </c>
      <c r="AE271" s="171">
        <v>45562</v>
      </c>
      <c r="AH271" s="218">
        <f t="shared" si="38"/>
        <v>745000</v>
      </c>
      <c r="AK271" s="179">
        <f t="shared" si="42"/>
        <v>0</v>
      </c>
      <c r="AL271" s="287"/>
      <c r="AM271" s="311"/>
      <c r="AN271" s="312"/>
      <c r="AO271" s="128">
        <f t="shared" si="39"/>
        <v>745000</v>
      </c>
      <c r="AP271" s="173">
        <f>0.4%+0.02%+0.08%</f>
        <v>0.005</v>
      </c>
      <c r="AQ271" s="275">
        <f t="shared" si="40"/>
        <v>100</v>
      </c>
      <c r="AR271" s="218"/>
      <c r="AS271" s="218">
        <v>100</v>
      </c>
      <c r="AT271" s="218"/>
      <c r="AU271" s="218"/>
      <c r="AV271" s="218"/>
      <c r="AW271" s="218"/>
      <c r="AX271" s="218"/>
      <c r="AY271" s="218"/>
      <c r="AZ271" s="218"/>
      <c r="BA271" s="292"/>
      <c r="BB271" s="218"/>
      <c r="BC271" s="292"/>
      <c r="BE271" s="128">
        <v>224000</v>
      </c>
      <c r="BM271" s="128">
        <v>521000</v>
      </c>
      <c r="CI271" s="128" t="s">
        <v>376</v>
      </c>
      <c r="CJ271" s="128" t="s">
        <v>387</v>
      </c>
      <c r="CK271" s="128" t="s">
        <v>377</v>
      </c>
    </row>
    <row r="272" s="128" customFormat="1" customHeight="1" spans="1:89">
      <c r="A272" s="128">
        <v>219</v>
      </c>
      <c r="C272" s="171">
        <v>45155</v>
      </c>
      <c r="D272" s="286" t="s">
        <v>4599</v>
      </c>
      <c r="F272" s="287" t="s">
        <v>4600</v>
      </c>
      <c r="G272" s="272" t="s">
        <v>4601</v>
      </c>
      <c r="H272" s="1017" t="s">
        <v>4602</v>
      </c>
      <c r="I272" s="276" t="s">
        <v>4603</v>
      </c>
      <c r="J272" s="128">
        <v>126.5</v>
      </c>
      <c r="K272" s="128">
        <v>126.5</v>
      </c>
      <c r="L272" s="128">
        <v>5897.38</v>
      </c>
      <c r="M272" s="274">
        <v>746019</v>
      </c>
      <c r="N272" s="218">
        <f>5947.38-50</f>
        <v>5897.38</v>
      </c>
      <c r="O272" s="168">
        <v>684421.1</v>
      </c>
      <c r="P272" s="286" t="s">
        <v>4604</v>
      </c>
      <c r="Q272" s="211">
        <v>45856</v>
      </c>
      <c r="R272" s="218"/>
      <c r="S272" s="219"/>
      <c r="T272" s="1017" t="s">
        <v>1511</v>
      </c>
      <c r="U272" s="219" t="s">
        <v>677</v>
      </c>
      <c r="V272" s="218">
        <v>10000</v>
      </c>
      <c r="W272" s="219" t="s">
        <v>2392</v>
      </c>
      <c r="X272" s="218">
        <v>10000</v>
      </c>
      <c r="Y272" s="171" t="s">
        <v>1035</v>
      </c>
      <c r="Z272" s="218">
        <v>130019</v>
      </c>
      <c r="AA272" s="219" t="s">
        <v>1905</v>
      </c>
      <c r="AB272" s="218">
        <v>596000</v>
      </c>
      <c r="AC272" s="219" t="s">
        <v>4605</v>
      </c>
      <c r="AH272" s="218">
        <f t="shared" si="38"/>
        <v>746019</v>
      </c>
      <c r="AK272" s="179">
        <f t="shared" si="42"/>
        <v>0</v>
      </c>
      <c r="AL272" s="287" t="s">
        <v>4606</v>
      </c>
      <c r="AM272" s="311"/>
      <c r="AN272" s="312"/>
      <c r="AO272" s="128">
        <f t="shared" si="39"/>
        <v>746019</v>
      </c>
      <c r="AP272" s="169">
        <f>0.7%+0.05%+0.14%</f>
        <v>0.0089</v>
      </c>
      <c r="AQ272" s="275">
        <f t="shared" si="40"/>
        <v>300</v>
      </c>
      <c r="AR272" s="218"/>
      <c r="AS272" s="218"/>
      <c r="AT272" s="218"/>
      <c r="AU272" s="218"/>
      <c r="AV272" s="218">
        <f>100+200</f>
        <v>300</v>
      </c>
      <c r="AW272" s="218"/>
      <c r="AX272" s="218"/>
      <c r="AY272" s="218"/>
      <c r="AZ272" s="218">
        <v>150019</v>
      </c>
      <c r="BA272" s="292"/>
      <c r="BB272" s="218"/>
      <c r="BC272" s="292"/>
      <c r="BF272" s="128">
        <v>596000</v>
      </c>
      <c r="CI272" s="128" t="s">
        <v>376</v>
      </c>
      <c r="CJ272" s="128" t="s">
        <v>387</v>
      </c>
      <c r="CK272" s="128" t="s">
        <v>377</v>
      </c>
    </row>
    <row r="273" s="128" customFormat="1" customHeight="1" spans="1:89">
      <c r="A273" s="128">
        <v>220</v>
      </c>
      <c r="C273" s="171">
        <v>45417</v>
      </c>
      <c r="D273" s="286" t="s">
        <v>4607</v>
      </c>
      <c r="F273" s="287" t="s">
        <v>4608</v>
      </c>
      <c r="G273" s="284" t="s">
        <v>4609</v>
      </c>
      <c r="H273" s="272"/>
      <c r="I273" s="276" t="s">
        <v>4610</v>
      </c>
      <c r="J273" s="128">
        <v>126.9</v>
      </c>
      <c r="K273" s="128">
        <v>126.9</v>
      </c>
      <c r="L273" s="128">
        <f>M273/K273</f>
        <v>5930</v>
      </c>
      <c r="M273" s="274">
        <v>752517</v>
      </c>
      <c r="N273" s="218">
        <v>5929.38</v>
      </c>
      <c r="O273" s="309">
        <v>690382.57</v>
      </c>
      <c r="P273" s="286" t="s">
        <v>4611</v>
      </c>
      <c r="Q273" s="211">
        <v>45856</v>
      </c>
      <c r="R273" s="218"/>
      <c r="S273" s="219"/>
      <c r="T273" s="284"/>
      <c r="U273" s="284" t="s">
        <v>662</v>
      </c>
      <c r="V273" s="218">
        <v>15517</v>
      </c>
      <c r="W273" s="219" t="s">
        <v>1083</v>
      </c>
      <c r="X273" s="218">
        <v>135000</v>
      </c>
      <c r="Y273" s="219" t="s">
        <v>4042</v>
      </c>
      <c r="Z273" s="128">
        <v>150000</v>
      </c>
      <c r="AA273" s="128" t="s">
        <v>4612</v>
      </c>
      <c r="AB273" s="218">
        <v>452000</v>
      </c>
      <c r="AC273" s="219" t="s">
        <v>599</v>
      </c>
      <c r="AH273" s="218">
        <f t="shared" si="38"/>
        <v>752517</v>
      </c>
      <c r="AK273" s="179">
        <f t="shared" si="42"/>
        <v>0</v>
      </c>
      <c r="AL273" s="287" t="s">
        <v>4613</v>
      </c>
      <c r="AM273" s="311"/>
      <c r="AN273" s="312"/>
      <c r="AO273" s="128">
        <f t="shared" si="39"/>
        <v>752517</v>
      </c>
      <c r="AP273" s="169">
        <f>0.7%+0.08%</f>
        <v>0.0078</v>
      </c>
      <c r="AQ273" s="275">
        <f t="shared" si="40"/>
        <v>300</v>
      </c>
      <c r="AR273" s="275">
        <v>100</v>
      </c>
      <c r="AS273" s="218"/>
      <c r="AT273" s="218"/>
      <c r="AU273" s="218"/>
      <c r="AV273" s="218">
        <v>200</v>
      </c>
      <c r="AW273" s="218"/>
      <c r="AX273" s="218"/>
      <c r="AY273" s="218"/>
      <c r="AZ273" s="218"/>
      <c r="BA273" s="292"/>
      <c r="BB273" s="218"/>
      <c r="BC273" s="292"/>
      <c r="BJ273" s="128">
        <v>300517</v>
      </c>
      <c r="BK273" s="128">
        <v>452000</v>
      </c>
      <c r="CI273" s="128" t="s">
        <v>376</v>
      </c>
      <c r="CJ273" s="128" t="s">
        <v>387</v>
      </c>
      <c r="CK273" s="128" t="s">
        <v>377</v>
      </c>
    </row>
    <row r="274" s="128" customFormat="1" customHeight="1" spans="1:89">
      <c r="A274" s="128">
        <v>221</v>
      </c>
      <c r="C274" s="171">
        <v>45200</v>
      </c>
      <c r="D274" s="286" t="s">
        <v>4614</v>
      </c>
      <c r="F274" s="287" t="s">
        <v>4615</v>
      </c>
      <c r="G274" s="272" t="s">
        <v>4616</v>
      </c>
      <c r="H274" s="1017" t="s">
        <v>4617</v>
      </c>
      <c r="I274" s="276" t="s">
        <v>4618</v>
      </c>
      <c r="J274" s="128">
        <v>126.5</v>
      </c>
      <c r="K274" s="128">
        <v>126.5</v>
      </c>
      <c r="L274" s="128">
        <v>5992.38</v>
      </c>
      <c r="M274" s="274">
        <v>758036</v>
      </c>
      <c r="N274" s="218">
        <v>5992.38</v>
      </c>
      <c r="O274" s="168">
        <v>695445.87</v>
      </c>
      <c r="P274" s="286" t="s">
        <v>4619</v>
      </c>
      <c r="Q274" s="211">
        <v>45856</v>
      </c>
      <c r="R274" s="218"/>
      <c r="S274" s="219"/>
      <c r="T274" s="272"/>
      <c r="U274" s="219" t="s">
        <v>486</v>
      </c>
      <c r="V274" s="218">
        <v>20000</v>
      </c>
      <c r="W274" s="219" t="s">
        <v>571</v>
      </c>
      <c r="X274" s="218">
        <v>138036</v>
      </c>
      <c r="Y274" s="219" t="s">
        <v>2916</v>
      </c>
      <c r="Z274" s="128">
        <v>600000</v>
      </c>
      <c r="AA274" s="128" t="s">
        <v>1618</v>
      </c>
      <c r="AB274" s="218"/>
      <c r="AH274" s="218">
        <f t="shared" si="38"/>
        <v>758036</v>
      </c>
      <c r="AK274" s="179">
        <f t="shared" si="42"/>
        <v>0</v>
      </c>
      <c r="AL274" s="287" t="s">
        <v>4620</v>
      </c>
      <c r="AM274" s="311"/>
      <c r="AN274" s="312"/>
      <c r="AO274" s="128">
        <f t="shared" si="39"/>
        <v>758036</v>
      </c>
      <c r="AP274" s="169">
        <f>0.7%+0.05%+0.12%</f>
        <v>0.0087</v>
      </c>
      <c r="AQ274" s="275">
        <f t="shared" si="40"/>
        <v>0</v>
      </c>
      <c r="AR274" s="275"/>
      <c r="AS274" s="218"/>
      <c r="AT274" s="218"/>
      <c r="AU274" s="218"/>
      <c r="AV274" s="218"/>
      <c r="AW274" s="218"/>
      <c r="AX274" s="218"/>
      <c r="AY274" s="218"/>
      <c r="AZ274" s="218"/>
      <c r="BA274" s="292"/>
      <c r="BB274" s="218">
        <v>158036</v>
      </c>
      <c r="BC274" s="292">
        <v>600000</v>
      </c>
      <c r="CI274" s="128" t="s">
        <v>376</v>
      </c>
      <c r="CJ274" s="128" t="s">
        <v>387</v>
      </c>
      <c r="CK274" s="128" t="s">
        <v>377</v>
      </c>
    </row>
    <row r="275" s="128" customFormat="1" customHeight="1" spans="1:89">
      <c r="A275" s="128">
        <v>222</v>
      </c>
      <c r="C275" s="171">
        <v>45375</v>
      </c>
      <c r="D275" s="286" t="s">
        <v>4621</v>
      </c>
      <c r="F275" s="287" t="s">
        <v>4622</v>
      </c>
      <c r="G275" s="272" t="s">
        <v>4623</v>
      </c>
      <c r="H275" s="1017" t="s">
        <v>4624</v>
      </c>
      <c r="I275" s="276" t="s">
        <v>4625</v>
      </c>
      <c r="J275" s="128">
        <v>126.9</v>
      </c>
      <c r="K275" s="128">
        <v>126.9</v>
      </c>
      <c r="L275" s="128">
        <v>5988.96</v>
      </c>
      <c r="M275" s="274">
        <v>760000</v>
      </c>
      <c r="N275" s="218">
        <v>5974.38</v>
      </c>
      <c r="O275" s="168">
        <v>697247.71</v>
      </c>
      <c r="P275" s="286" t="s">
        <v>4626</v>
      </c>
      <c r="Q275" s="310">
        <v>45876</v>
      </c>
      <c r="R275" s="218"/>
      <c r="S275" s="219"/>
      <c r="T275" s="272"/>
      <c r="U275" s="219" t="s">
        <v>393</v>
      </c>
      <c r="V275" s="218">
        <f>20000</f>
        <v>20000</v>
      </c>
      <c r="W275" s="219" t="s">
        <v>1196</v>
      </c>
      <c r="X275" s="218">
        <f>40000+34000</f>
        <v>74000</v>
      </c>
      <c r="Y275" s="171" t="s">
        <v>4200</v>
      </c>
      <c r="Z275" s="218">
        <v>58000</v>
      </c>
      <c r="AA275" s="219" t="s">
        <v>384</v>
      </c>
      <c r="AB275" s="218">
        <v>608000</v>
      </c>
      <c r="AC275" s="219" t="s">
        <v>4627</v>
      </c>
      <c r="AH275" s="218">
        <f t="shared" si="38"/>
        <v>760000</v>
      </c>
      <c r="AK275" s="179">
        <f t="shared" si="42"/>
        <v>0</v>
      </c>
      <c r="AL275" s="287" t="s">
        <v>4628</v>
      </c>
      <c r="AM275" s="311"/>
      <c r="AN275" s="312"/>
      <c r="AO275" s="128">
        <f t="shared" si="39"/>
        <v>760000</v>
      </c>
      <c r="AP275" s="173">
        <f>0.7%+0.05%+0.12%</f>
        <v>0.0087</v>
      </c>
      <c r="AQ275" s="275">
        <f t="shared" si="40"/>
        <v>0</v>
      </c>
      <c r="AR275" s="275"/>
      <c r="AS275" s="218"/>
      <c r="AT275" s="218"/>
      <c r="AU275" s="218"/>
      <c r="AV275" s="218"/>
      <c r="AW275" s="218"/>
      <c r="AX275" s="218"/>
      <c r="AY275" s="218"/>
      <c r="AZ275" s="218"/>
      <c r="BA275" s="292"/>
      <c r="BB275" s="218"/>
      <c r="BC275" s="292"/>
      <c r="BH275" s="128">
        <v>152000</v>
      </c>
      <c r="BL275" s="128">
        <v>608000</v>
      </c>
      <c r="CI275" s="128" t="s">
        <v>376</v>
      </c>
      <c r="CJ275" s="128" t="s">
        <v>387</v>
      </c>
      <c r="CK275" s="128" t="s">
        <v>377</v>
      </c>
    </row>
    <row r="276" s="128" customFormat="1" customHeight="1" spans="1:89">
      <c r="A276" s="128">
        <v>223</v>
      </c>
      <c r="C276" s="171">
        <v>45464</v>
      </c>
      <c r="D276" s="286" t="s">
        <v>4629</v>
      </c>
      <c r="F276" s="287" t="s">
        <v>4630</v>
      </c>
      <c r="G276" s="272" t="s">
        <v>4631</v>
      </c>
      <c r="H276" s="1017" t="s">
        <v>4632</v>
      </c>
      <c r="I276" s="276" t="s">
        <v>4633</v>
      </c>
      <c r="J276" s="128">
        <v>126.5</v>
      </c>
      <c r="K276" s="128">
        <v>126.5</v>
      </c>
      <c r="L276" s="128">
        <v>6017.38</v>
      </c>
      <c r="M276" s="274">
        <v>761199</v>
      </c>
      <c r="N276" s="218">
        <v>6017.38</v>
      </c>
      <c r="O276" s="309">
        <v>698347.71</v>
      </c>
      <c r="P276" s="286" t="s">
        <v>4634</v>
      </c>
      <c r="Q276" s="310">
        <v>45876</v>
      </c>
      <c r="R276" s="218"/>
      <c r="S276" s="219"/>
      <c r="T276" s="272"/>
      <c r="U276" s="219" t="s">
        <v>410</v>
      </c>
      <c r="V276" s="218">
        <v>20000</v>
      </c>
      <c r="W276" s="219" t="s">
        <v>574</v>
      </c>
      <c r="X276" s="218">
        <v>152199</v>
      </c>
      <c r="Y276" s="171" t="s">
        <v>822</v>
      </c>
      <c r="Z276" s="218">
        <v>92000</v>
      </c>
      <c r="AA276" s="219" t="s">
        <v>745</v>
      </c>
      <c r="AB276" s="218">
        <v>497000</v>
      </c>
      <c r="AC276" s="219" t="s">
        <v>3392</v>
      </c>
      <c r="AH276" s="218">
        <f t="shared" si="38"/>
        <v>761199</v>
      </c>
      <c r="AK276" s="179">
        <f t="shared" si="42"/>
        <v>0</v>
      </c>
      <c r="AL276" s="287" t="s">
        <v>4635</v>
      </c>
      <c r="AM276" s="311"/>
      <c r="AN276" s="312"/>
      <c r="AO276" s="128">
        <f t="shared" si="39"/>
        <v>761199</v>
      </c>
      <c r="AP276" s="169">
        <f>0.7%+0.08%</f>
        <v>0.0078</v>
      </c>
      <c r="AQ276" s="275">
        <f t="shared" si="40"/>
        <v>0</v>
      </c>
      <c r="AR276" s="275"/>
      <c r="AS276" s="218"/>
      <c r="AT276" s="218"/>
      <c r="AU276" s="218"/>
      <c r="AV276" s="218"/>
      <c r="AW276" s="218"/>
      <c r="AX276" s="218"/>
      <c r="AY276" s="218"/>
      <c r="AZ276" s="218"/>
      <c r="BA276" s="292"/>
      <c r="BB276" s="218"/>
      <c r="BC276" s="292"/>
      <c r="BK276" s="128">
        <v>264199</v>
      </c>
      <c r="BL276" s="128">
        <v>497000</v>
      </c>
      <c r="CI276" s="128" t="s">
        <v>376</v>
      </c>
      <c r="CJ276" s="128" t="s">
        <v>387</v>
      </c>
      <c r="CK276" s="128" t="s">
        <v>377</v>
      </c>
    </row>
    <row r="277" s="128" customFormat="1" customHeight="1" spans="1:89">
      <c r="A277" s="128">
        <v>224</v>
      </c>
      <c r="C277" s="171">
        <v>45148</v>
      </c>
      <c r="D277" s="286" t="s">
        <v>4636</v>
      </c>
      <c r="F277" s="287" t="s">
        <v>4637</v>
      </c>
      <c r="G277" s="272" t="s">
        <v>4638</v>
      </c>
      <c r="H277" s="1017" t="s">
        <v>4639</v>
      </c>
      <c r="I277" s="276" t="s">
        <v>4640</v>
      </c>
      <c r="J277" s="128">
        <v>126.9</v>
      </c>
      <c r="K277" s="128">
        <v>126.9</v>
      </c>
      <c r="L277" s="128">
        <v>5949.38</v>
      </c>
      <c r="M277" s="274">
        <v>754976</v>
      </c>
      <c r="N277" s="218">
        <f>5999.38-50</f>
        <v>5949.38</v>
      </c>
      <c r="O277" s="168">
        <v>692638.53</v>
      </c>
      <c r="P277" s="286" t="s">
        <v>4641</v>
      </c>
      <c r="Q277" s="310">
        <v>45876</v>
      </c>
      <c r="R277" s="218"/>
      <c r="S277" s="219"/>
      <c r="T277" s="1017" t="s">
        <v>1747</v>
      </c>
      <c r="U277" s="219" t="s">
        <v>410</v>
      </c>
      <c r="V277" s="218">
        <v>10000</v>
      </c>
      <c r="W277" s="219" t="s">
        <v>2327</v>
      </c>
      <c r="X277" s="218">
        <f>10000+184976</f>
        <v>194976</v>
      </c>
      <c r="Y277" s="219" t="s">
        <v>1035</v>
      </c>
      <c r="Z277" s="128">
        <v>550000</v>
      </c>
      <c r="AA277" s="128" t="s">
        <v>1618</v>
      </c>
      <c r="AB277" s="218"/>
      <c r="AH277" s="218">
        <f t="shared" si="38"/>
        <v>754976</v>
      </c>
      <c r="AK277" s="179">
        <f t="shared" si="42"/>
        <v>0</v>
      </c>
      <c r="AL277" s="287" t="s">
        <v>4642</v>
      </c>
      <c r="AM277" s="311"/>
      <c r="AN277" s="312"/>
      <c r="AO277" s="128">
        <f t="shared" si="39"/>
        <v>754976</v>
      </c>
      <c r="AP277" s="169">
        <f>0.4%+0.05%+0.14%</f>
        <v>0.0059</v>
      </c>
      <c r="AQ277" s="275">
        <f t="shared" si="40"/>
        <v>300</v>
      </c>
      <c r="AR277" s="275"/>
      <c r="AS277" s="218"/>
      <c r="AT277" s="218">
        <v>100</v>
      </c>
      <c r="AU277" s="218"/>
      <c r="AV277" s="218">
        <v>200</v>
      </c>
      <c r="AW277" s="218"/>
      <c r="AX277" s="218"/>
      <c r="AY277" s="218"/>
      <c r="AZ277" s="218">
        <v>204976</v>
      </c>
      <c r="BA277" s="292"/>
      <c r="BB277" s="218"/>
      <c r="BC277" s="292">
        <v>550000</v>
      </c>
      <c r="CI277" s="128" t="s">
        <v>376</v>
      </c>
      <c r="CJ277" s="128" t="s">
        <v>387</v>
      </c>
      <c r="CK277" s="128" t="s">
        <v>377</v>
      </c>
    </row>
    <row r="278" s="128" customFormat="1" customHeight="1" spans="1:89">
      <c r="A278" s="128">
        <v>225</v>
      </c>
      <c r="C278" s="171">
        <v>45202</v>
      </c>
      <c r="D278" s="286" t="s">
        <v>4643</v>
      </c>
      <c r="F278" s="287" t="s">
        <v>4644</v>
      </c>
      <c r="G278" s="272" t="s">
        <v>4645</v>
      </c>
      <c r="H278" s="1017" t="s">
        <v>4646</v>
      </c>
      <c r="I278" s="276" t="s">
        <v>4647</v>
      </c>
      <c r="J278" s="128">
        <v>126.5</v>
      </c>
      <c r="K278" s="128">
        <v>126.5</v>
      </c>
      <c r="L278" s="128">
        <v>6042.38</v>
      </c>
      <c r="M278" s="274">
        <v>764362</v>
      </c>
      <c r="N278" s="218">
        <v>6042.38</v>
      </c>
      <c r="O278" s="168">
        <v>701249.54</v>
      </c>
      <c r="P278" s="286" t="s">
        <v>4648</v>
      </c>
      <c r="Q278" s="310">
        <v>45876</v>
      </c>
      <c r="R278" s="218"/>
      <c r="S278" s="219"/>
      <c r="T278" s="272"/>
      <c r="U278" s="219" t="s">
        <v>486</v>
      </c>
      <c r="V278" s="218">
        <v>20000</v>
      </c>
      <c r="W278" s="219" t="s">
        <v>571</v>
      </c>
      <c r="X278" s="218">
        <v>44362</v>
      </c>
      <c r="Y278" s="219" t="s">
        <v>563</v>
      </c>
      <c r="Z278" s="128">
        <v>90000</v>
      </c>
      <c r="AA278" s="128" t="s">
        <v>796</v>
      </c>
      <c r="AB278" s="218">
        <v>610000</v>
      </c>
      <c r="AC278" s="128" t="s">
        <v>1077</v>
      </c>
      <c r="AH278" s="218">
        <f t="shared" si="38"/>
        <v>764362</v>
      </c>
      <c r="AK278" s="179">
        <f t="shared" si="42"/>
        <v>0</v>
      </c>
      <c r="AL278" s="287" t="s">
        <v>4649</v>
      </c>
      <c r="AM278" s="311"/>
      <c r="AN278" s="312"/>
      <c r="AO278" s="128">
        <f t="shared" si="39"/>
        <v>764362</v>
      </c>
      <c r="AP278" s="169">
        <f>0.7%+0.05%+0.12%</f>
        <v>0.0087</v>
      </c>
      <c r="AQ278" s="275">
        <f t="shared" si="40"/>
        <v>200</v>
      </c>
      <c r="AR278" s="275"/>
      <c r="AS278" s="218"/>
      <c r="AT278" s="218"/>
      <c r="AU278" s="218"/>
      <c r="AV278" s="218"/>
      <c r="AW278" s="218"/>
      <c r="AX278" s="218">
        <v>200</v>
      </c>
      <c r="AY278" s="218"/>
      <c r="AZ278" s="218"/>
      <c r="BA278" s="292"/>
      <c r="BB278" s="218">
        <v>764362</v>
      </c>
      <c r="BC278" s="292"/>
      <c r="CI278" s="128" t="s">
        <v>376</v>
      </c>
      <c r="CJ278" s="128" t="s">
        <v>387</v>
      </c>
      <c r="CK278" s="128" t="s">
        <v>377</v>
      </c>
    </row>
    <row r="279" s="128" customFormat="1" customHeight="1" spans="1:89">
      <c r="A279" s="128">
        <v>226</v>
      </c>
      <c r="C279" s="171">
        <v>45516</v>
      </c>
      <c r="D279" s="286" t="s">
        <v>4650</v>
      </c>
      <c r="F279" s="287" t="s">
        <v>4651</v>
      </c>
      <c r="G279" s="272" t="s">
        <v>4652</v>
      </c>
      <c r="H279" s="1017" t="s">
        <v>4653</v>
      </c>
      <c r="I279" s="276" t="s">
        <v>4654</v>
      </c>
      <c r="J279" s="128">
        <v>126.9</v>
      </c>
      <c r="K279" s="128">
        <v>126.9</v>
      </c>
      <c r="L279" s="128">
        <v>5844.55</v>
      </c>
      <c r="M279" s="274">
        <v>741673</v>
      </c>
      <c r="N279" s="277">
        <v>5844.55</v>
      </c>
      <c r="O279" s="309">
        <v>680433.94</v>
      </c>
      <c r="P279" s="286" t="s">
        <v>4655</v>
      </c>
      <c r="Q279" s="310">
        <v>45876</v>
      </c>
      <c r="R279" s="218"/>
      <c r="S279" s="219"/>
      <c r="T279" s="272"/>
      <c r="U279" s="219" t="s">
        <v>486</v>
      </c>
      <c r="V279" s="218">
        <v>20000</v>
      </c>
      <c r="W279" s="219" t="s">
        <v>4656</v>
      </c>
      <c r="X279" s="218">
        <v>71673</v>
      </c>
      <c r="Y279" s="219" t="s">
        <v>4657</v>
      </c>
      <c r="Z279" s="218">
        <v>60000</v>
      </c>
      <c r="AA279" s="219">
        <v>45539</v>
      </c>
      <c r="AB279" s="218">
        <v>590000</v>
      </c>
      <c r="AC279" s="219" t="s">
        <v>4483</v>
      </c>
      <c r="AH279" s="218">
        <f t="shared" si="38"/>
        <v>741673</v>
      </c>
      <c r="AK279" s="179">
        <f t="shared" si="42"/>
        <v>0</v>
      </c>
      <c r="AL279" s="287" t="s">
        <v>4658</v>
      </c>
      <c r="AM279" s="311" t="s">
        <v>4659</v>
      </c>
      <c r="AN279" s="312"/>
      <c r="AO279" s="128">
        <f t="shared" si="39"/>
        <v>741673</v>
      </c>
      <c r="AP279" s="169">
        <f>0.7%+0.02%+0.08%</f>
        <v>0.008</v>
      </c>
      <c r="AQ279" s="275">
        <f t="shared" si="40"/>
        <v>0</v>
      </c>
      <c r="AR279" s="275"/>
      <c r="AS279" s="218"/>
      <c r="AT279" s="218"/>
      <c r="AU279" s="218"/>
      <c r="AV279" s="218"/>
      <c r="AW279" s="218"/>
      <c r="AX279" s="218"/>
      <c r="AY279" s="218"/>
      <c r="AZ279" s="218"/>
      <c r="BA279" s="292"/>
      <c r="BB279" s="218"/>
      <c r="BC279" s="292"/>
      <c r="BM279" s="128">
        <v>151673</v>
      </c>
      <c r="BO279" s="128">
        <v>590000</v>
      </c>
      <c r="CI279" s="128" t="s">
        <v>376</v>
      </c>
      <c r="CK279" s="128" t="s">
        <v>377</v>
      </c>
    </row>
    <row r="280" s="128" customFormat="1" customHeight="1" spans="1:89">
      <c r="A280" s="128">
        <v>227</v>
      </c>
      <c r="C280" s="171">
        <v>45509</v>
      </c>
      <c r="D280" s="286" t="s">
        <v>4660</v>
      </c>
      <c r="F280" s="287" t="s">
        <v>4661</v>
      </c>
      <c r="G280" s="272" t="s">
        <v>4662</v>
      </c>
      <c r="H280" s="1017" t="s">
        <v>4663</v>
      </c>
      <c r="I280" s="276" t="s">
        <v>4664</v>
      </c>
      <c r="J280" s="128">
        <v>126.5</v>
      </c>
      <c r="K280" s="128">
        <v>126.5</v>
      </c>
      <c r="L280" s="128">
        <v>5849.8</v>
      </c>
      <c r="M280" s="274">
        <v>740000</v>
      </c>
      <c r="N280" s="277">
        <v>5849.8</v>
      </c>
      <c r="O280" s="309">
        <v>678899</v>
      </c>
      <c r="P280" s="286" t="s">
        <v>4665</v>
      </c>
      <c r="Q280" s="310">
        <v>45876</v>
      </c>
      <c r="R280" s="218"/>
      <c r="S280" s="219"/>
      <c r="T280" s="272"/>
      <c r="U280" s="219" t="s">
        <v>373</v>
      </c>
      <c r="V280" s="218">
        <v>20000</v>
      </c>
      <c r="W280" s="219" t="s">
        <v>4666</v>
      </c>
      <c r="X280" s="218">
        <v>130000</v>
      </c>
      <c r="Y280" s="219" t="s">
        <v>3800</v>
      </c>
      <c r="Z280" s="218">
        <v>590000</v>
      </c>
      <c r="AA280" s="219">
        <v>45544</v>
      </c>
      <c r="AB280" s="218"/>
      <c r="AH280" s="218">
        <f t="shared" si="38"/>
        <v>740000</v>
      </c>
      <c r="AK280" s="179">
        <f t="shared" si="42"/>
        <v>0</v>
      </c>
      <c r="AL280" s="287" t="s">
        <v>4667</v>
      </c>
      <c r="AM280" s="311" t="s">
        <v>4659</v>
      </c>
      <c r="AN280" s="312"/>
      <c r="AO280" s="128">
        <f t="shared" si="39"/>
        <v>740000</v>
      </c>
      <c r="AP280" s="173">
        <f>0.7%+0.04%+0.08%</f>
        <v>0.0082</v>
      </c>
      <c r="AQ280" s="275">
        <f t="shared" si="40"/>
        <v>0</v>
      </c>
      <c r="AR280" s="275"/>
      <c r="AS280" s="218"/>
      <c r="AT280" s="218"/>
      <c r="AU280" s="218"/>
      <c r="AV280" s="218"/>
      <c r="AW280" s="218"/>
      <c r="AX280" s="218"/>
      <c r="AY280" s="218"/>
      <c r="AZ280" s="218"/>
      <c r="BA280" s="292"/>
      <c r="BB280" s="218"/>
      <c r="BC280" s="292"/>
      <c r="BL280" s="128">
        <v>150000</v>
      </c>
      <c r="BM280" s="128">
        <v>590000</v>
      </c>
      <c r="CI280" s="128" t="s">
        <v>376</v>
      </c>
      <c r="CK280" s="128" t="s">
        <v>377</v>
      </c>
    </row>
    <row r="281" s="128" customFormat="1" customHeight="1" spans="1:89">
      <c r="A281" s="128">
        <v>228</v>
      </c>
      <c r="B281" s="128"/>
      <c r="C281" s="171">
        <v>45647</v>
      </c>
      <c r="D281" s="286" t="s">
        <v>4668</v>
      </c>
      <c r="F281" s="287" t="s">
        <v>4669</v>
      </c>
      <c r="G281" s="272" t="s">
        <v>4670</v>
      </c>
      <c r="H281" s="1017" t="s">
        <v>4671</v>
      </c>
      <c r="I281" s="276" t="s">
        <v>4672</v>
      </c>
      <c r="J281" s="128">
        <v>126.9</v>
      </c>
      <c r="K281" s="128">
        <v>126.9</v>
      </c>
      <c r="L281" s="128">
        <v>6067.77</v>
      </c>
      <c r="M281" s="274">
        <v>770000</v>
      </c>
      <c r="N281" s="218">
        <v>6044.38</v>
      </c>
      <c r="O281" s="309">
        <v>706422.02</v>
      </c>
      <c r="P281" s="286" t="s">
        <v>4673</v>
      </c>
      <c r="Q281" s="310">
        <v>45876</v>
      </c>
      <c r="R281" s="218"/>
      <c r="S281" s="219"/>
      <c r="T281" s="272"/>
      <c r="U281" s="219" t="s">
        <v>393</v>
      </c>
      <c r="V281" s="218">
        <v>20000</v>
      </c>
      <c r="W281" s="219" t="s">
        <v>3399</v>
      </c>
      <c r="X281" s="218">
        <v>99000</v>
      </c>
      <c r="Y281" s="171" t="s">
        <v>4674</v>
      </c>
      <c r="Z281" s="218">
        <v>35000</v>
      </c>
      <c r="AA281" s="219" t="s">
        <v>3414</v>
      </c>
      <c r="AB281" s="218">
        <v>616000</v>
      </c>
      <c r="AC281" s="128" t="s">
        <v>4230</v>
      </c>
      <c r="AH281" s="218">
        <f t="shared" si="38"/>
        <v>770000</v>
      </c>
      <c r="AK281" s="179">
        <f t="shared" si="42"/>
        <v>0</v>
      </c>
      <c r="AL281" s="287" t="s">
        <v>4675</v>
      </c>
      <c r="AM281" s="311" t="s">
        <v>4676</v>
      </c>
      <c r="AN281" s="312"/>
      <c r="AO281" s="128">
        <f t="shared" si="39"/>
        <v>770000</v>
      </c>
      <c r="AP281" s="173">
        <f>0.6%+0.04%+0.12%+0.03%</f>
        <v>0.0079</v>
      </c>
      <c r="AQ281" s="275">
        <f t="shared" si="40"/>
        <v>0</v>
      </c>
      <c r="AR281" s="275"/>
      <c r="AS281" s="218"/>
      <c r="AT281" s="218"/>
      <c r="AU281" s="218"/>
      <c r="AV281" s="218"/>
      <c r="AW281" s="218"/>
      <c r="AX281" s="218"/>
      <c r="AY281" s="218"/>
      <c r="AZ281" s="218"/>
      <c r="BB281" s="218"/>
      <c r="BP281" s="128">
        <v>119000</v>
      </c>
      <c r="BQ281" s="128">
        <v>651000</v>
      </c>
      <c r="CI281" s="128" t="s">
        <v>376</v>
      </c>
      <c r="CK281" s="128" t="s">
        <v>377</v>
      </c>
    </row>
    <row r="282" s="101" customFormat="1" customHeight="1" spans="1:89">
      <c r="A282" s="101">
        <v>229</v>
      </c>
      <c r="D282" s="314"/>
      <c r="F282" s="300"/>
      <c r="G282" s="199"/>
      <c r="H282" s="199"/>
      <c r="I282" s="269" t="s">
        <v>4677</v>
      </c>
      <c r="J282" s="305">
        <v>126.5</v>
      </c>
      <c r="M282" s="235"/>
      <c r="N282" s="202">
        <v>7064</v>
      </c>
      <c r="O282" s="315"/>
      <c r="P282" s="314"/>
      <c r="Q282" s="316"/>
      <c r="R282" s="202"/>
      <c r="S282" s="204"/>
      <c r="T282" s="199"/>
      <c r="U282" s="204"/>
      <c r="V282" s="202"/>
      <c r="W282" s="298"/>
      <c r="X282" s="202"/>
      <c r="Y282" s="298"/>
      <c r="AB282" s="202"/>
      <c r="AH282" s="202">
        <f t="shared" si="38"/>
        <v>0</v>
      </c>
      <c r="AK282" s="201"/>
      <c r="AL282" s="300"/>
      <c r="AM282" s="301"/>
      <c r="AN282" s="317"/>
      <c r="AO282" s="101">
        <f t="shared" si="39"/>
        <v>0</v>
      </c>
      <c r="AP282" s="159"/>
      <c r="AQ282" s="268">
        <f t="shared" si="40"/>
        <v>0</v>
      </c>
      <c r="AR282" s="268"/>
      <c r="AS282" s="202"/>
      <c r="AT282" s="202"/>
      <c r="AU282" s="202"/>
      <c r="AV282" s="202"/>
      <c r="AW282" s="202"/>
      <c r="AX282" s="202"/>
      <c r="AY282" s="202"/>
      <c r="AZ282" s="202"/>
      <c r="BA282" s="291"/>
      <c r="BB282" s="202"/>
      <c r="BC282" s="291"/>
    </row>
    <row r="283" s="128" customFormat="1" customHeight="1" spans="1:89">
      <c r="A283" s="128">
        <v>230</v>
      </c>
      <c r="C283" s="171">
        <v>45342</v>
      </c>
      <c r="D283" s="286" t="s">
        <v>4678</v>
      </c>
      <c r="F283" s="287" t="s">
        <v>4679</v>
      </c>
      <c r="G283" s="272" t="s">
        <v>4680</v>
      </c>
      <c r="H283" s="1017" t="s">
        <v>4681</v>
      </c>
      <c r="I283" s="276" t="s">
        <v>4682</v>
      </c>
      <c r="J283" s="128">
        <v>126.9</v>
      </c>
      <c r="K283" s="128">
        <v>126.9</v>
      </c>
      <c r="L283" s="128">
        <v>7100</v>
      </c>
      <c r="M283" s="274">
        <v>900990</v>
      </c>
      <c r="N283" s="218">
        <v>7054</v>
      </c>
      <c r="O283" s="168">
        <v>826596.33</v>
      </c>
      <c r="P283" s="286" t="s">
        <v>4683</v>
      </c>
      <c r="Q283" s="310">
        <v>45877</v>
      </c>
      <c r="R283" s="218"/>
      <c r="S283" s="219"/>
      <c r="T283" s="272"/>
      <c r="U283" s="219" t="s">
        <v>677</v>
      </c>
      <c r="V283" s="218">
        <v>250000</v>
      </c>
      <c r="W283" s="219" t="s">
        <v>4684</v>
      </c>
      <c r="X283" s="218">
        <v>10990</v>
      </c>
      <c r="Y283" s="171" t="s">
        <v>1029</v>
      </c>
      <c r="Z283" s="128">
        <v>440000</v>
      </c>
      <c r="AA283" s="128" t="s">
        <v>4685</v>
      </c>
      <c r="AB283" s="218">
        <v>200000</v>
      </c>
      <c r="AC283" s="219" t="s">
        <v>4206</v>
      </c>
      <c r="AH283" s="218">
        <f t="shared" si="38"/>
        <v>900990</v>
      </c>
      <c r="AK283" s="179">
        <f>M283-AH283</f>
        <v>0</v>
      </c>
      <c r="AL283" s="287" t="s">
        <v>4686</v>
      </c>
      <c r="AM283" s="311"/>
      <c r="AN283" s="312"/>
      <c r="AO283" s="128">
        <f t="shared" si="39"/>
        <v>900990</v>
      </c>
      <c r="AP283" s="173">
        <f>0.7%+0.05%+0.14%</f>
        <v>0.0089</v>
      </c>
      <c r="AQ283" s="275">
        <f t="shared" si="40"/>
        <v>0</v>
      </c>
      <c r="AR283" s="275"/>
      <c r="AS283" s="218"/>
      <c r="AT283" s="218"/>
      <c r="AU283" s="218"/>
      <c r="AV283" s="218"/>
      <c r="AW283" s="218"/>
      <c r="AX283" s="218"/>
      <c r="AY283" s="218"/>
      <c r="AZ283" s="218"/>
      <c r="BA283" s="292"/>
      <c r="BB283" s="218"/>
      <c r="BC283" s="292"/>
      <c r="BF283" s="128">
        <v>700990</v>
      </c>
      <c r="BG283" s="128">
        <v>200000</v>
      </c>
      <c r="CI283" s="128" t="s">
        <v>376</v>
      </c>
      <c r="CJ283" s="128" t="s">
        <v>387</v>
      </c>
      <c r="CK283" s="128" t="s">
        <v>377</v>
      </c>
    </row>
    <row r="284" s="101" customFormat="1" customHeight="1" spans="1:89">
      <c r="A284" s="101">
        <v>231</v>
      </c>
      <c r="D284" s="314"/>
      <c r="F284" s="300" t="s">
        <v>4687</v>
      </c>
      <c r="G284" s="199"/>
      <c r="H284" s="199"/>
      <c r="I284" s="269" t="s">
        <v>4688</v>
      </c>
      <c r="J284" s="305">
        <v>109.5</v>
      </c>
      <c r="M284" s="235"/>
      <c r="N284" s="202">
        <v>8634</v>
      </c>
      <c r="O284" s="315"/>
      <c r="P284" s="314"/>
      <c r="Q284" s="316"/>
      <c r="R284" s="202"/>
      <c r="S284" s="204"/>
      <c r="T284" s="199"/>
      <c r="U284" s="204"/>
      <c r="V284" s="202"/>
      <c r="W284" s="298"/>
      <c r="X284" s="202"/>
      <c r="Y284" s="298"/>
      <c r="AB284" s="202"/>
      <c r="AH284" s="202">
        <f t="shared" si="38"/>
        <v>0</v>
      </c>
      <c r="AK284" s="201"/>
      <c r="AL284" s="300"/>
      <c r="AM284" s="301"/>
      <c r="AN284" s="317"/>
      <c r="AO284" s="101">
        <f t="shared" si="39"/>
        <v>0</v>
      </c>
      <c r="AP284" s="159"/>
      <c r="AQ284" s="268">
        <f t="shared" si="40"/>
        <v>0</v>
      </c>
      <c r="AR284" s="268"/>
      <c r="AS284" s="202"/>
      <c r="AT284" s="202"/>
      <c r="AU284" s="202"/>
      <c r="AV284" s="202"/>
      <c r="AW284" s="202"/>
      <c r="AX284" s="202"/>
      <c r="AY284" s="202"/>
      <c r="AZ284" s="202"/>
      <c r="BA284" s="291"/>
      <c r="BB284" s="202"/>
      <c r="BC284" s="291"/>
    </row>
    <row r="285" s="128" customFormat="1" customHeight="1" spans="1:89">
      <c r="A285" s="128">
        <v>232</v>
      </c>
      <c r="B285" s="128"/>
      <c r="C285" s="171">
        <v>45680</v>
      </c>
      <c r="D285" s="286" t="s">
        <v>4689</v>
      </c>
      <c r="F285" s="287" t="s">
        <v>4690</v>
      </c>
      <c r="G285" s="272" t="s">
        <v>4691</v>
      </c>
      <c r="H285" s="1017" t="s">
        <v>4692</v>
      </c>
      <c r="I285" s="276" t="s">
        <v>4693</v>
      </c>
      <c r="J285" s="128">
        <v>128.46</v>
      </c>
      <c r="K285" s="128">
        <v>128.46</v>
      </c>
      <c r="L285" s="179">
        <v>8495.354</v>
      </c>
      <c r="M285" s="274">
        <v>1091313</v>
      </c>
      <c r="N285" s="218">
        <v>8444</v>
      </c>
      <c r="O285" s="309">
        <v>1001204.59</v>
      </c>
      <c r="P285" s="286" t="s">
        <v>4694</v>
      </c>
      <c r="Q285" s="310">
        <v>45877</v>
      </c>
      <c r="R285" s="218"/>
      <c r="S285" s="219"/>
      <c r="T285" s="272"/>
      <c r="U285" s="219" t="s">
        <v>393</v>
      </c>
      <c r="V285" s="218">
        <v>20000</v>
      </c>
      <c r="W285" s="219" t="s">
        <v>613</v>
      </c>
      <c r="X285" s="218">
        <v>380000</v>
      </c>
      <c r="Y285" s="219" t="s">
        <v>375</v>
      </c>
      <c r="Z285" s="218">
        <v>100000</v>
      </c>
      <c r="AA285" s="219" t="s">
        <v>2244</v>
      </c>
      <c r="AB285" s="218">
        <v>100000</v>
      </c>
      <c r="AC285" s="219" t="s">
        <v>4695</v>
      </c>
      <c r="AD285" s="128">
        <f>55100+20000+224900</f>
        <v>300000</v>
      </c>
      <c r="AE285" s="128" t="s">
        <v>4696</v>
      </c>
      <c r="AF285" s="218">
        <f>140000+30000+18000+3313</f>
        <v>191313</v>
      </c>
      <c r="AG285" s="219" t="s">
        <v>623</v>
      </c>
      <c r="AH285" s="218">
        <f t="shared" si="38"/>
        <v>1091313</v>
      </c>
      <c r="AK285" s="179">
        <f>M285-AH285</f>
        <v>0</v>
      </c>
      <c r="AL285" s="287" t="s">
        <v>4697</v>
      </c>
      <c r="AM285" s="311" t="s">
        <v>4698</v>
      </c>
      <c r="AN285" s="312"/>
      <c r="AO285" s="128">
        <f t="shared" si="39"/>
        <v>1088000</v>
      </c>
      <c r="AP285" s="169">
        <f>0.4%+0.02%+0.08%+0.03%</f>
        <v>0.0053</v>
      </c>
      <c r="AQ285" s="275">
        <f t="shared" si="40"/>
        <v>0</v>
      </c>
      <c r="AR285" s="275"/>
      <c r="AS285" s="218"/>
      <c r="AT285" s="218"/>
      <c r="AU285" s="218"/>
      <c r="AV285" s="218"/>
      <c r="AW285" s="218"/>
      <c r="AX285" s="218"/>
      <c r="AY285" s="218"/>
      <c r="AZ285" s="218"/>
      <c r="BA285" s="292"/>
      <c r="BB285" s="218"/>
      <c r="BC285" s="292"/>
      <c r="BR285" s="128">
        <v>1088000</v>
      </c>
      <c r="CI285" s="128" t="s">
        <v>376</v>
      </c>
      <c r="CK285" s="128" t="s">
        <v>377</v>
      </c>
    </row>
    <row r="286" s="128" customFormat="1" customHeight="1" spans="1:89">
      <c r="A286" s="128">
        <v>233</v>
      </c>
      <c r="B286" s="128"/>
      <c r="C286" s="171">
        <v>45778</v>
      </c>
      <c r="D286" s="286" t="s">
        <v>4699</v>
      </c>
      <c r="F286" s="287" t="s">
        <v>4700</v>
      </c>
      <c r="G286" s="272" t="s">
        <v>4701</v>
      </c>
      <c r="H286" s="272"/>
      <c r="I286" s="276" t="s">
        <v>4702</v>
      </c>
      <c r="J286" s="128">
        <v>126.5</v>
      </c>
      <c r="K286" s="128">
        <v>126.5</v>
      </c>
      <c r="L286" s="272">
        <v>5451.1</v>
      </c>
      <c r="M286" s="274">
        <v>689564</v>
      </c>
      <c r="N286" s="218">
        <v>5451.1</v>
      </c>
      <c r="O286" s="309">
        <v>632627.52</v>
      </c>
      <c r="P286" s="286" t="s">
        <v>4703</v>
      </c>
      <c r="Q286" s="310">
        <v>45811</v>
      </c>
      <c r="R286" s="218"/>
      <c r="S286" s="219"/>
      <c r="T286" s="272"/>
      <c r="U286" s="219" t="s">
        <v>383</v>
      </c>
      <c r="V286" s="218">
        <f>75000+64564</f>
        <v>139564</v>
      </c>
      <c r="W286" s="219" t="s">
        <v>3681</v>
      </c>
      <c r="X286" s="218">
        <v>550000</v>
      </c>
      <c r="Y286" s="219" t="s">
        <v>3682</v>
      </c>
      <c r="AB286" s="218"/>
      <c r="AH286" s="218">
        <f t="shared" si="38"/>
        <v>689564</v>
      </c>
      <c r="AK286" s="179">
        <f>M286-AH286</f>
        <v>0</v>
      </c>
      <c r="AL286" s="287" t="s">
        <v>4704</v>
      </c>
      <c r="AM286" s="311" t="s">
        <v>3480</v>
      </c>
      <c r="AN286" s="312"/>
      <c r="AO286" s="128">
        <f t="shared" si="39"/>
        <v>689564</v>
      </c>
      <c r="AP286" s="169">
        <f>0.7%+0.08%+0.03%</f>
        <v>0.0081</v>
      </c>
      <c r="AQ286" s="275">
        <f t="shared" si="40"/>
        <v>0</v>
      </c>
      <c r="AR286" s="275"/>
      <c r="AS286" s="218"/>
      <c r="AT286" s="218"/>
      <c r="AU286" s="218"/>
      <c r="AV286" s="218"/>
      <c r="AW286" s="218"/>
      <c r="AX286" s="218"/>
      <c r="AY286" s="218"/>
      <c r="AZ286" s="218"/>
      <c r="BA286" s="292"/>
      <c r="BB286" s="218"/>
      <c r="BC286" s="292"/>
      <c r="BU286" s="128">
        <v>139564</v>
      </c>
      <c r="BV286" s="128">
        <v>550000</v>
      </c>
      <c r="CI286" s="128" t="s">
        <v>376</v>
      </c>
      <c r="CK286" s="128" t="s">
        <v>377</v>
      </c>
    </row>
    <row r="287" s="101" customFormat="1" customHeight="1" spans="1:89">
      <c r="A287" s="101">
        <v>234</v>
      </c>
      <c r="D287" s="314"/>
      <c r="F287" s="300" t="s">
        <v>4705</v>
      </c>
      <c r="G287" s="199"/>
      <c r="H287" s="199"/>
      <c r="I287" s="269" t="s">
        <v>4706</v>
      </c>
      <c r="J287" s="305">
        <v>126.5</v>
      </c>
      <c r="M287" s="235"/>
      <c r="N287" s="202">
        <v>5744.1</v>
      </c>
      <c r="O287" s="315"/>
      <c r="P287" s="314"/>
      <c r="Q287" s="316"/>
      <c r="R287" s="202"/>
      <c r="S287" s="204"/>
      <c r="T287" s="199"/>
      <c r="U287" s="204"/>
      <c r="V287" s="202"/>
      <c r="W287" s="298"/>
      <c r="X287" s="202"/>
      <c r="Y287" s="298"/>
      <c r="AB287" s="202"/>
      <c r="AH287" s="202">
        <f t="shared" si="38"/>
        <v>0</v>
      </c>
      <c r="AK287" s="201"/>
      <c r="AL287" s="300"/>
      <c r="AM287" s="301"/>
      <c r="AN287" s="317"/>
      <c r="AO287" s="101">
        <f t="shared" si="39"/>
        <v>0</v>
      </c>
      <c r="AP287" s="159"/>
      <c r="AQ287" s="268">
        <f t="shared" si="40"/>
        <v>0</v>
      </c>
      <c r="AR287" s="268"/>
      <c r="AS287" s="202"/>
      <c r="AT287" s="202"/>
      <c r="AU287" s="202"/>
      <c r="AV287" s="202"/>
      <c r="AW287" s="202"/>
      <c r="AX287" s="202"/>
      <c r="AY287" s="202"/>
      <c r="AZ287" s="202"/>
      <c r="BA287" s="291"/>
      <c r="BB287" s="202"/>
      <c r="BC287" s="291"/>
    </row>
    <row r="288" s="128" customFormat="1" customHeight="1" spans="1:89">
      <c r="A288" s="128">
        <v>235</v>
      </c>
      <c r="C288" s="171">
        <v>45417</v>
      </c>
      <c r="D288" s="286" t="s">
        <v>4707</v>
      </c>
      <c r="F288" s="287" t="s">
        <v>4708</v>
      </c>
      <c r="G288" s="284" t="s">
        <v>4709</v>
      </c>
      <c r="H288" s="272"/>
      <c r="I288" s="276" t="s">
        <v>4710</v>
      </c>
      <c r="J288" s="128">
        <v>126.5</v>
      </c>
      <c r="K288" s="128">
        <v>126.5</v>
      </c>
      <c r="L288" s="128">
        <v>5849.8</v>
      </c>
      <c r="M288" s="274">
        <v>740000</v>
      </c>
      <c r="N288" s="218">
        <v>5801.38</v>
      </c>
      <c r="O288" s="309">
        <v>678899.08</v>
      </c>
      <c r="P288" s="286" t="s">
        <v>4711</v>
      </c>
      <c r="Q288" s="310">
        <v>45877</v>
      </c>
      <c r="R288" s="218"/>
      <c r="S288" s="219"/>
      <c r="T288" s="272"/>
      <c r="U288" s="219" t="s">
        <v>383</v>
      </c>
      <c r="V288" s="218"/>
      <c r="W288" s="219"/>
      <c r="X288" s="218">
        <v>17000</v>
      </c>
      <c r="Y288" s="219" t="s">
        <v>1083</v>
      </c>
      <c r="Z288" s="128">
        <v>205000</v>
      </c>
      <c r="AA288" s="128" t="s">
        <v>1083</v>
      </c>
      <c r="AB288" s="218">
        <v>518000</v>
      </c>
      <c r="AC288" s="219" t="s">
        <v>543</v>
      </c>
      <c r="AH288" s="218">
        <f t="shared" si="38"/>
        <v>740000</v>
      </c>
      <c r="AK288" s="179">
        <f>M288-AH288</f>
        <v>0</v>
      </c>
      <c r="AL288" s="287" t="s">
        <v>4712</v>
      </c>
      <c r="AM288" s="311"/>
      <c r="AN288" s="312"/>
      <c r="AO288" s="128">
        <f t="shared" si="39"/>
        <v>740000</v>
      </c>
      <c r="AP288" s="169">
        <f>0.4%+0.03%+0.08%</f>
        <v>0.0051</v>
      </c>
      <c r="AQ288" s="275">
        <f t="shared" si="40"/>
        <v>0</v>
      </c>
      <c r="AR288" s="275"/>
      <c r="AS288" s="218"/>
      <c r="AT288" s="218"/>
      <c r="AU288" s="218"/>
      <c r="AV288" s="218"/>
      <c r="AW288" s="218"/>
      <c r="AX288" s="218"/>
      <c r="AY288" s="218"/>
      <c r="AZ288" s="218"/>
      <c r="BA288" s="292"/>
      <c r="BB288" s="218"/>
      <c r="BC288" s="292"/>
      <c r="BI288" s="128">
        <v>222000</v>
      </c>
      <c r="BJ288" s="128">
        <v>518000</v>
      </c>
      <c r="CI288" s="128" t="s">
        <v>376</v>
      </c>
      <c r="CJ288" s="128" t="s">
        <v>387</v>
      </c>
      <c r="CK288" s="128" t="s">
        <v>377</v>
      </c>
    </row>
    <row r="289" s="128" customFormat="1" customHeight="1" spans="1:92">
      <c r="A289" s="128">
        <v>236</v>
      </c>
      <c r="C289" s="171">
        <v>45283</v>
      </c>
      <c r="D289" s="286" t="s">
        <v>4713</v>
      </c>
      <c r="F289" s="287" t="s">
        <v>4714</v>
      </c>
      <c r="G289" s="272" t="s">
        <v>4715</v>
      </c>
      <c r="H289" s="1017" t="s">
        <v>4716</v>
      </c>
      <c r="I289" s="276" t="s">
        <v>4717</v>
      </c>
      <c r="J289" s="128">
        <v>126.5</v>
      </c>
      <c r="K289" s="128">
        <v>126.5</v>
      </c>
      <c r="L289" s="128">
        <v>5800</v>
      </c>
      <c r="M289" s="274">
        <v>733700</v>
      </c>
      <c r="N289" s="218">
        <v>5794.38</v>
      </c>
      <c r="O289" s="168">
        <v>673119.27</v>
      </c>
      <c r="P289" s="286" t="s">
        <v>4718</v>
      </c>
      <c r="Q289" s="310">
        <v>45877</v>
      </c>
      <c r="R289" s="218"/>
      <c r="S289" s="219"/>
      <c r="T289" s="272"/>
      <c r="U289" s="219" t="s">
        <v>662</v>
      </c>
      <c r="V289" s="218">
        <v>20000</v>
      </c>
      <c r="W289" s="219" t="s">
        <v>4577</v>
      </c>
      <c r="X289" s="218">
        <v>133700</v>
      </c>
      <c r="Y289" s="219" t="s">
        <v>402</v>
      </c>
      <c r="Z289" s="218">
        <v>580000</v>
      </c>
      <c r="AA289" s="219" t="s">
        <v>1657</v>
      </c>
      <c r="AB289" s="218"/>
      <c r="AH289" s="218">
        <f t="shared" si="38"/>
        <v>733700</v>
      </c>
      <c r="AK289" s="179">
        <f>M289-AH289</f>
        <v>0</v>
      </c>
      <c r="AL289" s="287"/>
      <c r="AM289" s="311"/>
      <c r="AN289" s="312"/>
      <c r="AO289" s="128">
        <f t="shared" si="39"/>
        <v>733700</v>
      </c>
      <c r="AP289" s="169">
        <f>0.4%+0.08%</f>
        <v>0.0048</v>
      </c>
      <c r="AQ289" s="275">
        <f t="shared" si="40"/>
        <v>0</v>
      </c>
      <c r="AR289" s="275"/>
      <c r="AS289" s="218"/>
      <c r="AT289" s="218"/>
      <c r="AU289" s="218"/>
      <c r="AV289" s="218"/>
      <c r="AW289" s="218"/>
      <c r="AX289" s="218"/>
      <c r="AY289" s="218"/>
      <c r="AZ289" s="218"/>
      <c r="BA289" s="292"/>
      <c r="BB289" s="218"/>
      <c r="BC289" s="292"/>
      <c r="BD289" s="128">
        <v>153700</v>
      </c>
      <c r="BE289" s="128">
        <v>580000</v>
      </c>
      <c r="CI289" s="128" t="s">
        <v>376</v>
      </c>
      <c r="CJ289" s="128" t="s">
        <v>387</v>
      </c>
      <c r="CK289" s="128" t="s">
        <v>377</v>
      </c>
    </row>
    <row r="290" s="128" customFormat="1" customHeight="1" spans="1:92">
      <c r="A290" s="128">
        <v>237</v>
      </c>
      <c r="C290" s="171">
        <v>45204</v>
      </c>
      <c r="D290" s="286" t="s">
        <v>4719</v>
      </c>
      <c r="F290" s="287" t="s">
        <v>4720</v>
      </c>
      <c r="G290" s="272" t="s">
        <v>4721</v>
      </c>
      <c r="H290" s="272"/>
      <c r="I290" s="276" t="s">
        <v>4722</v>
      </c>
      <c r="J290" s="128">
        <v>126.5</v>
      </c>
      <c r="K290" s="128">
        <v>126.5</v>
      </c>
      <c r="L290" s="128">
        <v>5831.38</v>
      </c>
      <c r="M290" s="274">
        <v>737670</v>
      </c>
      <c r="N290" s="218">
        <v>5831.38</v>
      </c>
      <c r="O290" s="168">
        <v>676761.47</v>
      </c>
      <c r="P290" s="286" t="s">
        <v>4723</v>
      </c>
      <c r="Q290" s="310">
        <v>45877</v>
      </c>
      <c r="R290" s="218"/>
      <c r="S290" s="219"/>
      <c r="T290" s="272"/>
      <c r="U290" s="219" t="s">
        <v>677</v>
      </c>
      <c r="V290" s="218">
        <v>147670</v>
      </c>
      <c r="W290" s="219" t="s">
        <v>587</v>
      </c>
      <c r="X290" s="218">
        <v>590000</v>
      </c>
      <c r="Y290" s="219" t="s">
        <v>4724</v>
      </c>
      <c r="AB290" s="218"/>
      <c r="AH290" s="218">
        <f t="shared" si="38"/>
        <v>737670</v>
      </c>
      <c r="AK290" s="179">
        <f>M290-AH290</f>
        <v>0</v>
      </c>
      <c r="AL290" s="287"/>
      <c r="AM290" s="311"/>
      <c r="AN290" s="312"/>
      <c r="AO290" s="128">
        <f t="shared" si="39"/>
        <v>737670</v>
      </c>
      <c r="AP290" s="169">
        <f>0.4%+0.02%+0.08%</f>
        <v>0.005</v>
      </c>
      <c r="AQ290" s="275">
        <f t="shared" si="40"/>
        <v>0</v>
      </c>
      <c r="AR290" s="275"/>
      <c r="AS290" s="218"/>
      <c r="AT290" s="218"/>
      <c r="AU290" s="218"/>
      <c r="AV290" s="218"/>
      <c r="AW290" s="218"/>
      <c r="AX290" s="218"/>
      <c r="AY290" s="218"/>
      <c r="AZ290" s="218"/>
      <c r="BB290" s="218">
        <v>147670</v>
      </c>
      <c r="BE290" s="128">
        <v>590000</v>
      </c>
      <c r="CI290" s="128" t="s">
        <v>376</v>
      </c>
      <c r="CJ290" s="128" t="s">
        <v>387</v>
      </c>
      <c r="CK290" s="128" t="s">
        <v>377</v>
      </c>
    </row>
    <row r="291" s="128" customFormat="1" customHeight="1" spans="1:92">
      <c r="A291" s="128">
        <v>238</v>
      </c>
      <c r="C291" s="171">
        <v>45260</v>
      </c>
      <c r="D291" s="286" t="s">
        <v>4725</v>
      </c>
      <c r="F291" s="287" t="s">
        <v>4726</v>
      </c>
      <c r="G291" s="272" t="s">
        <v>4727</v>
      </c>
      <c r="H291" s="1017" t="s">
        <v>4728</v>
      </c>
      <c r="I291" s="276" t="s">
        <v>4729</v>
      </c>
      <c r="J291" s="128">
        <v>126.5</v>
      </c>
      <c r="K291" s="128">
        <v>126.5</v>
      </c>
      <c r="L291" s="128">
        <v>5833.99</v>
      </c>
      <c r="M291" s="307">
        <v>738000</v>
      </c>
      <c r="N291" s="308">
        <v>5824.38</v>
      </c>
      <c r="O291" s="168">
        <v>677064.22</v>
      </c>
      <c r="P291" s="286" t="s">
        <v>4730</v>
      </c>
      <c r="Q291" s="310">
        <v>45877</v>
      </c>
      <c r="R291" s="218"/>
      <c r="S291" s="219"/>
      <c r="T291" s="272"/>
      <c r="U291" s="219" t="s">
        <v>677</v>
      </c>
      <c r="V291" s="218">
        <v>20000</v>
      </c>
      <c r="W291" s="219" t="s">
        <v>4731</v>
      </c>
      <c r="X291" s="218">
        <v>30000</v>
      </c>
      <c r="Y291" s="318" t="s">
        <v>2409</v>
      </c>
      <c r="Z291" s="218">
        <v>98000</v>
      </c>
      <c r="AA291" s="219" t="s">
        <v>471</v>
      </c>
      <c r="AB291" s="218">
        <v>590000</v>
      </c>
      <c r="AC291" s="219" t="s">
        <v>740</v>
      </c>
      <c r="AH291" s="218">
        <f t="shared" si="38"/>
        <v>738000</v>
      </c>
      <c r="AK291" s="179">
        <f>M291-AH291</f>
        <v>0</v>
      </c>
      <c r="AL291" s="287" t="s">
        <v>4732</v>
      </c>
      <c r="AM291" s="311"/>
      <c r="AN291" s="312"/>
      <c r="AO291" s="128">
        <f t="shared" si="39"/>
        <v>738000</v>
      </c>
      <c r="AP291" s="169">
        <f>0.5%+0.02%+0.08%</f>
        <v>0.006</v>
      </c>
      <c r="AQ291" s="275">
        <f t="shared" si="40"/>
        <v>0</v>
      </c>
      <c r="AR291" s="275"/>
      <c r="AS291" s="218"/>
      <c r="AT291" s="218"/>
      <c r="AU291" s="218"/>
      <c r="AV291" s="218"/>
      <c r="AW291" s="218"/>
      <c r="AX291" s="218"/>
      <c r="AY291" s="218"/>
      <c r="AZ291" s="218"/>
      <c r="BA291" s="292"/>
      <c r="BB291" s="218"/>
      <c r="BC291" s="292"/>
      <c r="BD291" s="128">
        <v>148000</v>
      </c>
      <c r="BE291" s="128">
        <v>590000</v>
      </c>
      <c r="CI291" s="128" t="s">
        <v>376</v>
      </c>
      <c r="CJ291" s="128" t="s">
        <v>387</v>
      </c>
      <c r="CK291" s="128" t="s">
        <v>377</v>
      </c>
    </row>
    <row r="292" s="128" customFormat="1" customHeight="1" spans="1:92">
      <c r="A292" s="128">
        <v>239</v>
      </c>
      <c r="C292" s="171">
        <v>45198</v>
      </c>
      <c r="D292" s="128">
        <v>20230008282</v>
      </c>
      <c r="E292" s="286"/>
      <c r="F292" s="287" t="s">
        <v>4733</v>
      </c>
      <c r="G292" s="284" t="s">
        <v>4734</v>
      </c>
      <c r="H292" s="1018" t="s">
        <v>4735</v>
      </c>
      <c r="I292" s="276" t="s">
        <v>4736</v>
      </c>
      <c r="J292" s="128">
        <v>126.5</v>
      </c>
      <c r="K292" s="128">
        <v>126.5</v>
      </c>
      <c r="L292" s="128">
        <v>5851.38</v>
      </c>
      <c r="M292" s="307">
        <v>740201</v>
      </c>
      <c r="N292" s="308">
        <f>5901.38-50</f>
        <v>5851.38</v>
      </c>
      <c r="O292" s="168">
        <v>679083.49</v>
      </c>
      <c r="P292" s="286" t="s">
        <v>4737</v>
      </c>
      <c r="Q292" s="310">
        <v>45877</v>
      </c>
      <c r="R292" s="218"/>
      <c r="S292" s="278"/>
      <c r="T292" s="1018" t="s">
        <v>1374</v>
      </c>
      <c r="U292" s="278" t="s">
        <v>486</v>
      </c>
      <c r="V292" s="218">
        <v>10000</v>
      </c>
      <c r="W292" s="278" t="s">
        <v>964</v>
      </c>
      <c r="X292" s="218">
        <v>10000</v>
      </c>
      <c r="Y292" s="278" t="s">
        <v>4738</v>
      </c>
      <c r="Z292" s="218">
        <v>130201</v>
      </c>
      <c r="AA292" s="278" t="s">
        <v>571</v>
      </c>
      <c r="AB292" s="218">
        <v>590000</v>
      </c>
      <c r="AC292" s="278" t="s">
        <v>3981</v>
      </c>
      <c r="AD292" s="171"/>
      <c r="AE292" s="171"/>
      <c r="AF292" s="171"/>
      <c r="AG292" s="171"/>
      <c r="AH292" s="218">
        <f t="shared" si="38"/>
        <v>740201</v>
      </c>
      <c r="AK292" s="179">
        <f t="shared" ref="AK292:AK301" si="43">M292-AH292</f>
        <v>0</v>
      </c>
      <c r="AL292" s="287" t="s">
        <v>4739</v>
      </c>
      <c r="AM292" s="311"/>
      <c r="AN292" s="312"/>
      <c r="AO292" s="128">
        <f t="shared" si="39"/>
        <v>740201</v>
      </c>
      <c r="AP292" s="169">
        <f>0.5%+0.04%+0.14%</f>
        <v>0.0068</v>
      </c>
      <c r="AQ292" s="275">
        <f t="shared" si="40"/>
        <v>300</v>
      </c>
      <c r="AR292" s="275"/>
      <c r="AS292" s="218"/>
      <c r="AT292" s="218">
        <v>100</v>
      </c>
      <c r="AU292" s="218"/>
      <c r="AV292" s="218">
        <v>200</v>
      </c>
      <c r="AW292" s="218"/>
      <c r="AX292" s="218"/>
      <c r="AY292" s="218"/>
      <c r="AZ292" s="218"/>
      <c r="BA292" s="292">
        <v>150201</v>
      </c>
      <c r="BB292" s="218"/>
      <c r="BC292" s="292"/>
      <c r="BD292" s="128">
        <v>590000</v>
      </c>
      <c r="CI292" s="128" t="s">
        <v>376</v>
      </c>
      <c r="CJ292" s="128" t="s">
        <v>387</v>
      </c>
      <c r="CK292" s="128" t="s">
        <v>377</v>
      </c>
    </row>
    <row r="293" s="128" customFormat="1" customHeight="1" spans="1:92">
      <c r="A293" s="128">
        <v>240</v>
      </c>
      <c r="C293" s="171">
        <v>45198</v>
      </c>
      <c r="D293" s="287" t="s">
        <v>4740</v>
      </c>
      <c r="F293" s="287" t="s">
        <v>4741</v>
      </c>
      <c r="G293" s="284" t="s">
        <v>4742</v>
      </c>
      <c r="H293" s="1017" t="s">
        <v>4743</v>
      </c>
      <c r="I293" s="276" t="s">
        <v>4744</v>
      </c>
      <c r="J293" s="128">
        <v>126.5</v>
      </c>
      <c r="K293" s="128">
        <v>126.5</v>
      </c>
      <c r="L293" s="128">
        <v>5894.38</v>
      </c>
      <c r="M293" s="307">
        <v>745639</v>
      </c>
      <c r="N293" s="308">
        <v>5894.38</v>
      </c>
      <c r="O293" s="168">
        <v>684072.48</v>
      </c>
      <c r="P293" s="286" t="s">
        <v>4745</v>
      </c>
      <c r="Q293" s="310">
        <v>45877</v>
      </c>
      <c r="R293" s="218"/>
      <c r="S293" s="219"/>
      <c r="T293" s="284"/>
      <c r="U293" s="278" t="s">
        <v>400</v>
      </c>
      <c r="V293" s="218"/>
      <c r="W293" s="171"/>
      <c r="X293" s="218">
        <v>20000</v>
      </c>
      <c r="Y293" s="219" t="s">
        <v>944</v>
      </c>
      <c r="Z293" s="218">
        <v>129639</v>
      </c>
      <c r="AA293" s="219" t="s">
        <v>571</v>
      </c>
      <c r="AB293" s="218">
        <v>596000</v>
      </c>
      <c r="AC293" s="219" t="s">
        <v>3981</v>
      </c>
      <c r="AD293" s="171"/>
      <c r="AE293" s="171"/>
      <c r="AF293" s="171"/>
      <c r="AG293" s="171"/>
      <c r="AH293" s="218">
        <f t="shared" si="38"/>
        <v>745639</v>
      </c>
      <c r="AK293" s="179">
        <f t="shared" si="43"/>
        <v>0</v>
      </c>
      <c r="AL293" s="287" t="s">
        <v>4746</v>
      </c>
      <c r="AM293" s="311"/>
      <c r="AN293" s="312"/>
      <c r="AO293" s="128">
        <f t="shared" si="39"/>
        <v>745639</v>
      </c>
      <c r="AP293" s="169">
        <f>0.5%+0.03%+0.14%</f>
        <v>0.0067</v>
      </c>
      <c r="AQ293" s="275">
        <f t="shared" si="40"/>
        <v>100</v>
      </c>
      <c r="AR293" s="275">
        <v>100</v>
      </c>
      <c r="AS293" s="218"/>
      <c r="AT293" s="218"/>
      <c r="AU293" s="218"/>
      <c r="AV293" s="218"/>
      <c r="AW293" s="218"/>
      <c r="AX293" s="218"/>
      <c r="AY293" s="218"/>
      <c r="AZ293" s="218"/>
      <c r="BA293" s="292">
        <v>149639</v>
      </c>
      <c r="BB293" s="218"/>
      <c r="BC293" s="292"/>
      <c r="BD293" s="128">
        <v>596000</v>
      </c>
      <c r="CI293" s="128" t="s">
        <v>376</v>
      </c>
      <c r="CJ293" s="128" t="s">
        <v>387</v>
      </c>
      <c r="CK293" s="128" t="s">
        <v>377</v>
      </c>
    </row>
    <row r="294" s="128" customFormat="1" customHeight="1" spans="1:92">
      <c r="A294" s="128">
        <v>241</v>
      </c>
      <c r="C294" s="171">
        <v>45184</v>
      </c>
      <c r="D294" s="286" t="s">
        <v>4747</v>
      </c>
      <c r="F294" s="287" t="s">
        <v>4748</v>
      </c>
      <c r="G294" s="272" t="s">
        <v>4749</v>
      </c>
      <c r="H294" s="1017" t="s">
        <v>4750</v>
      </c>
      <c r="I294" s="276" t="s">
        <v>4751</v>
      </c>
      <c r="J294" s="128">
        <v>126.5</v>
      </c>
      <c r="K294" s="128">
        <v>126.5</v>
      </c>
      <c r="L294" s="128">
        <v>5916.38</v>
      </c>
      <c r="M294" s="307">
        <v>748422</v>
      </c>
      <c r="N294" s="308">
        <f>5966.38-50</f>
        <v>5916.38</v>
      </c>
      <c r="O294" s="168">
        <v>686625.69</v>
      </c>
      <c r="P294" s="286" t="s">
        <v>4752</v>
      </c>
      <c r="Q294" s="310">
        <v>45877</v>
      </c>
      <c r="R294" s="218"/>
      <c r="S294" s="219"/>
      <c r="T294" s="272"/>
      <c r="U294" s="219" t="s">
        <v>486</v>
      </c>
      <c r="V294" s="218">
        <f>20000+68422+50000</f>
        <v>138422</v>
      </c>
      <c r="W294" s="219" t="s">
        <v>1035</v>
      </c>
      <c r="X294" s="218">
        <v>20000</v>
      </c>
      <c r="Y294" s="219" t="s">
        <v>2112</v>
      </c>
      <c r="Z294" s="218">
        <v>590000</v>
      </c>
      <c r="AA294" s="219" t="s">
        <v>2409</v>
      </c>
      <c r="AB294" s="218"/>
      <c r="AH294" s="218">
        <f t="shared" si="38"/>
        <v>748422</v>
      </c>
      <c r="AK294" s="179">
        <f t="shared" si="43"/>
        <v>0</v>
      </c>
      <c r="AL294" s="287" t="s">
        <v>4753</v>
      </c>
      <c r="AM294" s="311"/>
      <c r="AN294" s="312"/>
      <c r="AO294" s="128">
        <f t="shared" si="39"/>
        <v>748422</v>
      </c>
      <c r="AP294" s="169">
        <f>0.5%+0.04%+0.14%</f>
        <v>0.0068</v>
      </c>
      <c r="AQ294" s="275">
        <f t="shared" si="40"/>
        <v>100</v>
      </c>
      <c r="AR294" s="218"/>
      <c r="AS294" s="218">
        <v>100</v>
      </c>
      <c r="AT294" s="218"/>
      <c r="AU294" s="218"/>
      <c r="AV294" s="218"/>
      <c r="AW294" s="218"/>
      <c r="AX294" s="218"/>
      <c r="AY294" s="218"/>
      <c r="AZ294" s="218"/>
      <c r="BA294" s="292"/>
      <c r="BB294" s="218"/>
      <c r="BC294" s="292">
        <v>748422</v>
      </c>
      <c r="CI294" s="128" t="s">
        <v>376</v>
      </c>
      <c r="CJ294" s="128" t="s">
        <v>387</v>
      </c>
      <c r="CK294" s="128" t="s">
        <v>377</v>
      </c>
    </row>
    <row r="295" s="128" customFormat="1" customHeight="1" spans="1:92">
      <c r="A295" s="128">
        <v>242</v>
      </c>
      <c r="C295" s="171">
        <v>45153</v>
      </c>
      <c r="D295" s="286" t="s">
        <v>4754</v>
      </c>
      <c r="F295" s="287" t="s">
        <v>4755</v>
      </c>
      <c r="G295" s="177" t="s">
        <v>4756</v>
      </c>
      <c r="H295" s="1018" t="s">
        <v>4757</v>
      </c>
      <c r="I295" s="273" t="s">
        <v>4758</v>
      </c>
      <c r="J295" s="128">
        <v>126.5</v>
      </c>
      <c r="K295" s="128">
        <v>126.5</v>
      </c>
      <c r="L295" s="128">
        <v>5900</v>
      </c>
      <c r="M295" s="307">
        <f>K295*L295</f>
        <v>746350</v>
      </c>
      <c r="N295" s="308">
        <f>5959.38-59.38</f>
        <v>5900</v>
      </c>
      <c r="O295" s="168">
        <v>684724.77</v>
      </c>
      <c r="P295" s="286" t="s">
        <v>4759</v>
      </c>
      <c r="Q295" s="310">
        <v>45877</v>
      </c>
      <c r="R295" s="218"/>
      <c r="S295" s="219"/>
      <c r="T295" s="1017" t="s">
        <v>4760</v>
      </c>
      <c r="U295" s="219" t="s">
        <v>677</v>
      </c>
      <c r="V295" s="218">
        <v>10000</v>
      </c>
      <c r="W295" s="219" t="s">
        <v>964</v>
      </c>
      <c r="X295" s="218">
        <v>10000</v>
      </c>
      <c r="Y295" s="219" t="s">
        <v>1035</v>
      </c>
      <c r="Z295" s="218">
        <f>280000+350</f>
        <v>280350</v>
      </c>
      <c r="AA295" s="219" t="s">
        <v>1127</v>
      </c>
      <c r="AB295" s="218">
        <v>446000</v>
      </c>
      <c r="AC295" s="219" t="s">
        <v>471</v>
      </c>
      <c r="AD295" s="171"/>
      <c r="AE295" s="171"/>
      <c r="AF295" s="171"/>
      <c r="AG295" s="171"/>
      <c r="AH295" s="218">
        <f t="shared" si="38"/>
        <v>746350</v>
      </c>
      <c r="AK295" s="179">
        <f t="shared" si="43"/>
        <v>0</v>
      </c>
      <c r="AL295" s="287" t="s">
        <v>4761</v>
      </c>
      <c r="AM295" s="311"/>
      <c r="AN295" s="312"/>
      <c r="AO295" s="128">
        <f t="shared" si="39"/>
        <v>746350</v>
      </c>
      <c r="AP295" s="169">
        <f>0.7%+0.05%+0.14%</f>
        <v>0.0089</v>
      </c>
      <c r="AQ295" s="275">
        <f t="shared" si="40"/>
        <v>200</v>
      </c>
      <c r="AR295" s="218"/>
      <c r="AS295" s="218"/>
      <c r="AT295" s="218"/>
      <c r="AU295" s="218"/>
      <c r="AV295" s="218">
        <v>200</v>
      </c>
      <c r="AW295" s="218"/>
      <c r="AX295" s="218"/>
      <c r="AY295" s="218"/>
      <c r="AZ295" s="218">
        <v>300350</v>
      </c>
      <c r="BA295" s="292"/>
      <c r="BB295" s="218"/>
      <c r="BC295" s="292"/>
      <c r="BD295" s="128">
        <v>446000</v>
      </c>
      <c r="CI295" s="128" t="s">
        <v>376</v>
      </c>
      <c r="CJ295" s="128" t="s">
        <v>387</v>
      </c>
      <c r="CK295" s="128" t="s">
        <v>377</v>
      </c>
    </row>
    <row r="296" s="128" customFormat="1" customHeight="1" spans="1:92">
      <c r="A296" s="128">
        <v>243</v>
      </c>
      <c r="C296" s="171">
        <v>45149</v>
      </c>
      <c r="D296" s="286" t="s">
        <v>4762</v>
      </c>
      <c r="F296" s="128" t="s">
        <v>4763</v>
      </c>
      <c r="G296" s="284" t="s">
        <v>4764</v>
      </c>
      <c r="H296" s="284"/>
      <c r="I296" s="276" t="s">
        <v>4765</v>
      </c>
      <c r="J296" s="128">
        <v>126.5</v>
      </c>
      <c r="K296" s="128">
        <v>126.5</v>
      </c>
      <c r="L296" s="128">
        <v>6011.38</v>
      </c>
      <c r="M296" s="307">
        <v>760440</v>
      </c>
      <c r="N296" s="308">
        <v>6011.38</v>
      </c>
      <c r="O296" s="168">
        <v>697651.38</v>
      </c>
      <c r="P296" s="286" t="s">
        <v>4766</v>
      </c>
      <c r="Q296" s="310">
        <v>45877</v>
      </c>
      <c r="R296" s="218"/>
      <c r="S296" s="219"/>
      <c r="T296" s="1018" t="s">
        <v>4767</v>
      </c>
      <c r="U296" s="284" t="s">
        <v>662</v>
      </c>
      <c r="V296" s="218">
        <f>10000+60000+440+400000</f>
        <v>470440</v>
      </c>
      <c r="W296" s="219" t="s">
        <v>928</v>
      </c>
      <c r="X296" s="218">
        <v>290000</v>
      </c>
      <c r="Y296" s="219" t="s">
        <v>421</v>
      </c>
      <c r="AA296" s="171"/>
      <c r="AB296" s="218"/>
      <c r="AH296" s="218">
        <f t="shared" si="38"/>
        <v>760440</v>
      </c>
      <c r="AK296" s="179">
        <f t="shared" si="43"/>
        <v>0</v>
      </c>
      <c r="AL296" s="287" t="s">
        <v>4768</v>
      </c>
      <c r="AM296" s="311"/>
      <c r="AN296" s="312"/>
      <c r="AO296" s="128">
        <f t="shared" si="39"/>
        <v>760440</v>
      </c>
      <c r="AP296" s="169">
        <f>0.7%+0.14%</f>
        <v>0.0084</v>
      </c>
      <c r="AQ296" s="275">
        <f t="shared" si="40"/>
        <v>300</v>
      </c>
      <c r="AR296" s="218"/>
      <c r="AS296" s="218"/>
      <c r="AT296" s="218"/>
      <c r="AU296" s="218"/>
      <c r="AV296" s="218">
        <f>100+200</f>
        <v>300</v>
      </c>
      <c r="AW296" s="218"/>
      <c r="AX296" s="218"/>
      <c r="AY296" s="218"/>
      <c r="AZ296" s="218"/>
      <c r="BA296" s="292"/>
      <c r="BB296" s="218"/>
      <c r="BC296" s="292">
        <v>760440</v>
      </c>
      <c r="CI296" s="128" t="s">
        <v>376</v>
      </c>
      <c r="CJ296" s="128" t="s">
        <v>387</v>
      </c>
      <c r="CK296" s="128" t="s">
        <v>377</v>
      </c>
    </row>
    <row r="297" s="128" customFormat="1" customHeight="1" spans="1:92">
      <c r="A297" s="128">
        <v>244</v>
      </c>
      <c r="C297" s="171">
        <v>45151</v>
      </c>
      <c r="D297" s="286" t="s">
        <v>4769</v>
      </c>
      <c r="F297" s="287" t="s">
        <v>4770</v>
      </c>
      <c r="G297" s="272" t="s">
        <v>4771</v>
      </c>
      <c r="H297" s="1017" t="s">
        <v>4772</v>
      </c>
      <c r="I297" s="273" t="s">
        <v>4773</v>
      </c>
      <c r="J297" s="128">
        <v>126.5</v>
      </c>
      <c r="K297" s="128">
        <v>126.5</v>
      </c>
      <c r="L297" s="128">
        <v>5954.38</v>
      </c>
      <c r="M297" s="307">
        <v>753229</v>
      </c>
      <c r="N297" s="308">
        <f>6004.38-50</f>
        <v>5954.38</v>
      </c>
      <c r="O297" s="168">
        <v>691035.78</v>
      </c>
      <c r="P297" s="286" t="s">
        <v>4774</v>
      </c>
      <c r="Q297" s="310">
        <v>45877</v>
      </c>
      <c r="R297" s="218"/>
      <c r="S297" s="219"/>
      <c r="T297" s="1017" t="s">
        <v>1661</v>
      </c>
      <c r="U297" s="219" t="s">
        <v>383</v>
      </c>
      <c r="V297" s="218">
        <v>10000</v>
      </c>
      <c r="W297" s="219" t="s">
        <v>2165</v>
      </c>
      <c r="X297" s="218">
        <v>10000</v>
      </c>
      <c r="Y297" s="219" t="s">
        <v>4738</v>
      </c>
      <c r="Z297" s="218">
        <v>233229</v>
      </c>
      <c r="AA297" s="219" t="s">
        <v>1529</v>
      </c>
      <c r="AB297" s="218">
        <v>500000</v>
      </c>
      <c r="AC297" s="219" t="s">
        <v>1508</v>
      </c>
      <c r="AH297" s="218">
        <f t="shared" si="38"/>
        <v>753229</v>
      </c>
      <c r="AK297" s="179">
        <f t="shared" si="43"/>
        <v>0</v>
      </c>
      <c r="AL297" s="287"/>
      <c r="AM297" s="311"/>
      <c r="AN297" s="312"/>
      <c r="AO297" s="128">
        <f t="shared" si="39"/>
        <v>753229</v>
      </c>
      <c r="AP297" s="169">
        <f>0.5%+0.14%</f>
        <v>0.0064</v>
      </c>
      <c r="AQ297" s="275">
        <f t="shared" si="40"/>
        <v>300</v>
      </c>
      <c r="AR297" s="218"/>
      <c r="AS297" s="218"/>
      <c r="AT297" s="218"/>
      <c r="AU297" s="218">
        <v>100</v>
      </c>
      <c r="AV297" s="218">
        <v>200</v>
      </c>
      <c r="AW297" s="218"/>
      <c r="AX297" s="218"/>
      <c r="AY297" s="218"/>
      <c r="AZ297" s="218">
        <v>253229</v>
      </c>
      <c r="BA297" s="292"/>
      <c r="BB297" s="218">
        <v>500000</v>
      </c>
      <c r="BC297" s="292"/>
      <c r="CI297" s="128" t="s">
        <v>376</v>
      </c>
      <c r="CJ297" s="128" t="s">
        <v>387</v>
      </c>
      <c r="CK297" s="128" t="s">
        <v>377</v>
      </c>
    </row>
    <row r="298" s="128" customFormat="1" customHeight="1" spans="1:92">
      <c r="A298" s="128">
        <v>245</v>
      </c>
      <c r="C298" s="171">
        <v>45177</v>
      </c>
      <c r="D298" s="319" t="s">
        <v>4775</v>
      </c>
      <c r="F298" s="287" t="s">
        <v>4776</v>
      </c>
      <c r="G298" s="272" t="s">
        <v>4777</v>
      </c>
      <c r="H298" s="272"/>
      <c r="I298" s="276" t="s">
        <v>4778</v>
      </c>
      <c r="J298" s="128">
        <v>126.5</v>
      </c>
      <c r="K298" s="128">
        <v>126.5</v>
      </c>
      <c r="L298" s="128">
        <v>5986.38</v>
      </c>
      <c r="M298" s="307">
        <v>757277</v>
      </c>
      <c r="N298" s="218">
        <f>6036.38-50</f>
        <v>5986.38</v>
      </c>
      <c r="O298" s="168">
        <v>694749.5</v>
      </c>
      <c r="P298" s="319" t="s">
        <v>4779</v>
      </c>
      <c r="Q298" s="310">
        <v>45877</v>
      </c>
      <c r="R298" s="218"/>
      <c r="T298" s="1018" t="s">
        <v>1542</v>
      </c>
      <c r="U298" s="128" t="s">
        <v>383</v>
      </c>
      <c r="V298" s="218">
        <v>10000</v>
      </c>
      <c r="W298" s="128" t="s">
        <v>1990</v>
      </c>
      <c r="X298" s="218">
        <f>10000+97277</f>
        <v>107277</v>
      </c>
      <c r="Y298" s="128" t="s">
        <v>1999</v>
      </c>
      <c r="Z298" s="218">
        <v>40000</v>
      </c>
      <c r="AA298" s="128" t="s">
        <v>2000</v>
      </c>
      <c r="AB298" s="218">
        <v>600000</v>
      </c>
      <c r="AC298" s="128" t="s">
        <v>713</v>
      </c>
      <c r="AD298" s="320"/>
      <c r="AE298" s="320"/>
      <c r="AF298" s="320"/>
      <c r="AG298" s="320"/>
      <c r="AH298" s="218">
        <f t="shared" si="38"/>
        <v>757277</v>
      </c>
      <c r="AK298" s="179">
        <f t="shared" si="43"/>
        <v>0</v>
      </c>
      <c r="AL298" s="287"/>
      <c r="AM298" s="311"/>
      <c r="AN298" s="321"/>
      <c r="AO298" s="128">
        <f t="shared" si="39"/>
        <v>757277</v>
      </c>
      <c r="AP298" s="169">
        <f>0.5%+0.14%</f>
        <v>0.0064</v>
      </c>
      <c r="AQ298" s="275">
        <f t="shared" si="40"/>
        <v>300</v>
      </c>
      <c r="AR298" s="218"/>
      <c r="AS298" s="218"/>
      <c r="AT298" s="218"/>
      <c r="AU298" s="218"/>
      <c r="AV298" s="218">
        <f>100+200</f>
        <v>300</v>
      </c>
      <c r="AW298" s="218"/>
      <c r="AX298" s="218"/>
      <c r="AY298" s="218"/>
      <c r="AZ298" s="218"/>
      <c r="BA298" s="128">
        <v>157277</v>
      </c>
      <c r="BB298" s="218"/>
      <c r="BD298" s="128">
        <v>600000</v>
      </c>
      <c r="CI298" s="128" t="s">
        <v>376</v>
      </c>
      <c r="CJ298" s="128" t="s">
        <v>387</v>
      </c>
      <c r="CK298" s="128" t="s">
        <v>377</v>
      </c>
    </row>
    <row r="299" s="128" customFormat="1" customHeight="1" spans="1:92">
      <c r="A299" s="128">
        <v>246</v>
      </c>
      <c r="C299" s="171">
        <v>45393</v>
      </c>
      <c r="D299" s="286" t="s">
        <v>4780</v>
      </c>
      <c r="F299" s="287" t="s">
        <v>4781</v>
      </c>
      <c r="G299" s="284" t="s">
        <v>4782</v>
      </c>
      <c r="H299" s="284"/>
      <c r="I299" s="273" t="s">
        <v>4783</v>
      </c>
      <c r="J299" s="128">
        <v>126.5</v>
      </c>
      <c r="K299" s="128">
        <v>126.5</v>
      </c>
      <c r="L299" s="128">
        <v>6029.38</v>
      </c>
      <c r="M299" s="307">
        <v>762717</v>
      </c>
      <c r="N299" s="308">
        <v>6029.38</v>
      </c>
      <c r="O299" s="168">
        <v>699740.37</v>
      </c>
      <c r="P299" s="286" t="s">
        <v>4784</v>
      </c>
      <c r="Q299" s="310">
        <v>45877</v>
      </c>
      <c r="R299" s="218"/>
      <c r="S299" s="278"/>
      <c r="T299" s="284"/>
      <c r="U299" s="278" t="s">
        <v>383</v>
      </c>
      <c r="V299" s="218">
        <v>12717</v>
      </c>
      <c r="W299" s="278" t="s">
        <v>4151</v>
      </c>
      <c r="X299" s="218">
        <v>220000</v>
      </c>
      <c r="Y299" s="278" t="s">
        <v>4127</v>
      </c>
      <c r="Z299" s="128">
        <v>530000</v>
      </c>
      <c r="AA299" s="128" t="s">
        <v>597</v>
      </c>
      <c r="AB299" s="218"/>
      <c r="AH299" s="218">
        <f t="shared" si="38"/>
        <v>762717</v>
      </c>
      <c r="AK299" s="179">
        <f t="shared" si="43"/>
        <v>0</v>
      </c>
      <c r="AL299" s="287" t="s">
        <v>4785</v>
      </c>
      <c r="AM299" s="311"/>
      <c r="AN299" s="312"/>
      <c r="AO299" s="128">
        <f t="shared" si="39"/>
        <v>762717</v>
      </c>
      <c r="AP299" s="173">
        <f>0.6%+0.12%</f>
        <v>0.0072</v>
      </c>
      <c r="AQ299" s="275">
        <f t="shared" si="40"/>
        <v>0</v>
      </c>
      <c r="AR299" s="218"/>
      <c r="AS299" s="218"/>
      <c r="AT299" s="218"/>
      <c r="AU299" s="218"/>
      <c r="AV299" s="218"/>
      <c r="AW299" s="218"/>
      <c r="AX299" s="218"/>
      <c r="AY299" s="218"/>
      <c r="AZ299" s="218"/>
      <c r="BA299" s="292"/>
      <c r="BB299" s="218"/>
      <c r="BC299" s="292"/>
      <c r="BH299" s="128">
        <v>762717</v>
      </c>
      <c r="CI299" s="128" t="s">
        <v>376</v>
      </c>
      <c r="CJ299" s="128" t="s">
        <v>387</v>
      </c>
      <c r="CK299" s="128" t="s">
        <v>377</v>
      </c>
    </row>
    <row r="300" s="128" customFormat="1" customHeight="1" spans="1:92">
      <c r="A300" s="128">
        <v>247</v>
      </c>
      <c r="C300" s="171">
        <v>45302</v>
      </c>
      <c r="D300" s="286" t="s">
        <v>4786</v>
      </c>
      <c r="F300" s="287" t="s">
        <v>4787</v>
      </c>
      <c r="G300" s="284" t="s">
        <v>4788</v>
      </c>
      <c r="H300" s="1018" t="s">
        <v>4789</v>
      </c>
      <c r="I300" s="276" t="s">
        <v>4790</v>
      </c>
      <c r="J300" s="128">
        <v>126.5</v>
      </c>
      <c r="K300" s="128">
        <v>126.5</v>
      </c>
      <c r="L300" s="128">
        <v>6065</v>
      </c>
      <c r="M300" s="307">
        <v>767223</v>
      </c>
      <c r="N300" s="308">
        <v>6061.38</v>
      </c>
      <c r="O300" s="168">
        <v>703874.31</v>
      </c>
      <c r="P300" s="286" t="s">
        <v>4791</v>
      </c>
      <c r="Q300" s="310">
        <v>45877</v>
      </c>
      <c r="R300" s="218"/>
      <c r="S300" s="219"/>
      <c r="T300" s="284" t="s">
        <v>4792</v>
      </c>
      <c r="U300" s="278" t="s">
        <v>4793</v>
      </c>
      <c r="V300" s="218">
        <f>10000-10000</f>
        <v>0</v>
      </c>
      <c r="W300" s="171" t="s">
        <v>2344</v>
      </c>
      <c r="X300" s="218">
        <v>20000</v>
      </c>
      <c r="Y300" s="219" t="s">
        <v>726</v>
      </c>
      <c r="Z300" s="128">
        <v>497223</v>
      </c>
      <c r="AA300" s="171" t="s">
        <v>4794</v>
      </c>
      <c r="AB300" s="218">
        <v>250000</v>
      </c>
      <c r="AC300" s="219" t="s">
        <v>4112</v>
      </c>
      <c r="AD300" s="171"/>
      <c r="AE300" s="171"/>
      <c r="AF300" s="171"/>
      <c r="AG300" s="171"/>
      <c r="AH300" s="218">
        <f t="shared" si="38"/>
        <v>767223</v>
      </c>
      <c r="AK300" s="179">
        <f t="shared" si="43"/>
        <v>0</v>
      </c>
      <c r="AL300" s="287" t="s">
        <v>4795</v>
      </c>
      <c r="AM300" s="311"/>
      <c r="AN300" s="312"/>
      <c r="AO300" s="128">
        <f t="shared" si="39"/>
        <v>767223</v>
      </c>
      <c r="AP300" s="169">
        <f>0.5%+0.04%+0.12%</f>
        <v>0.0066</v>
      </c>
      <c r="AQ300" s="275">
        <f t="shared" si="40"/>
        <v>100</v>
      </c>
      <c r="AR300" s="218"/>
      <c r="AS300" s="218"/>
      <c r="AT300" s="218">
        <v>100</v>
      </c>
      <c r="AU300" s="218"/>
      <c r="AV300" s="218"/>
      <c r="AW300" s="218"/>
      <c r="AX300" s="218"/>
      <c r="AY300" s="218"/>
      <c r="AZ300" s="218"/>
      <c r="BA300" s="292"/>
      <c r="BB300" s="218"/>
      <c r="BC300" s="292"/>
      <c r="BE300" s="128">
        <v>517223</v>
      </c>
      <c r="BG300" s="128">
        <v>250000</v>
      </c>
      <c r="CI300" s="128" t="s">
        <v>376</v>
      </c>
      <c r="CJ300" s="128" t="s">
        <v>387</v>
      </c>
      <c r="CK300" s="128" t="s">
        <v>377</v>
      </c>
    </row>
    <row r="301" s="128" customFormat="1" customHeight="1" spans="1:92">
      <c r="A301" s="128">
        <v>248</v>
      </c>
      <c r="C301" s="171">
        <v>45376</v>
      </c>
      <c r="D301" s="286" t="s">
        <v>4796</v>
      </c>
      <c r="F301" s="287" t="s">
        <v>4797</v>
      </c>
      <c r="G301" s="284" t="s">
        <v>4798</v>
      </c>
      <c r="H301" s="1018" t="s">
        <v>4799</v>
      </c>
      <c r="I301" s="273" t="s">
        <v>4800</v>
      </c>
      <c r="J301" s="128">
        <v>126.5</v>
      </c>
      <c r="K301" s="128">
        <v>126.5</v>
      </c>
      <c r="L301" s="128">
        <v>6054.38</v>
      </c>
      <c r="M301" s="307">
        <v>765879</v>
      </c>
      <c r="N301" s="308">
        <v>6054.38</v>
      </c>
      <c r="O301" s="168">
        <v>702641.28</v>
      </c>
      <c r="P301" s="286" t="s">
        <v>4801</v>
      </c>
      <c r="Q301" s="310">
        <v>45877</v>
      </c>
      <c r="R301" s="218"/>
      <c r="S301" s="219"/>
      <c r="T301" s="284"/>
      <c r="U301" s="284" t="s">
        <v>400</v>
      </c>
      <c r="V301" s="218">
        <v>20000</v>
      </c>
      <c r="W301" s="219" t="s">
        <v>3983</v>
      </c>
      <c r="X301" s="218">
        <v>135879</v>
      </c>
      <c r="Y301" s="171" t="s">
        <v>3766</v>
      </c>
      <c r="Z301" s="218">
        <v>610000</v>
      </c>
      <c r="AA301" s="219" t="s">
        <v>4425</v>
      </c>
      <c r="AB301" s="218"/>
      <c r="AC301" s="171"/>
      <c r="AD301" s="171"/>
      <c r="AE301" s="171"/>
      <c r="AF301" s="171"/>
      <c r="AG301" s="171"/>
      <c r="AH301" s="218">
        <f t="shared" si="38"/>
        <v>765879</v>
      </c>
      <c r="AK301" s="179">
        <f t="shared" si="43"/>
        <v>0</v>
      </c>
      <c r="AL301" s="287" t="s">
        <v>4802</v>
      </c>
      <c r="AM301" s="311"/>
      <c r="AN301" s="312"/>
      <c r="AO301" s="128">
        <f t="shared" si="39"/>
        <v>765879</v>
      </c>
      <c r="AP301" s="173">
        <f>0.7%+0.04%+0.12%</f>
        <v>0.0086</v>
      </c>
      <c r="AQ301" s="275">
        <f t="shared" si="40"/>
        <v>0</v>
      </c>
      <c r="AR301" s="218"/>
      <c r="AS301" s="218"/>
      <c r="AT301" s="218"/>
      <c r="AU301" s="218"/>
      <c r="AV301" s="218"/>
      <c r="AW301" s="218"/>
      <c r="AX301" s="218"/>
      <c r="AY301" s="218"/>
      <c r="AZ301" s="218"/>
      <c r="BA301" s="292"/>
      <c r="BB301" s="218"/>
      <c r="BC301" s="292"/>
      <c r="BG301" s="128">
        <v>155879</v>
      </c>
      <c r="BH301" s="128">
        <v>610000</v>
      </c>
      <c r="CI301" s="128" t="s">
        <v>376</v>
      </c>
      <c r="CJ301" s="128" t="s">
        <v>387</v>
      </c>
      <c r="CK301" s="128" t="s">
        <v>377</v>
      </c>
      <c r="CN301" s="128">
        <f>CL301-CM301</f>
        <v>0</v>
      </c>
    </row>
    <row r="302" s="128" customFormat="1" customHeight="1" spans="1:92">
      <c r="A302" s="128">
        <v>249</v>
      </c>
      <c r="C302" s="171">
        <v>45390</v>
      </c>
      <c r="D302" s="286" t="s">
        <v>4803</v>
      </c>
      <c r="F302" s="287" t="s">
        <v>4804</v>
      </c>
      <c r="G302" s="284" t="s">
        <v>4805</v>
      </c>
      <c r="H302" s="284"/>
      <c r="I302" s="276" t="s">
        <v>4806</v>
      </c>
      <c r="J302" s="128">
        <v>126.5</v>
      </c>
      <c r="K302" s="128">
        <v>126.5</v>
      </c>
      <c r="L302" s="128">
        <v>6081.38</v>
      </c>
      <c r="M302" s="307">
        <v>769295</v>
      </c>
      <c r="N302" s="308">
        <v>6081.38</v>
      </c>
      <c r="O302" s="168">
        <v>705775.23</v>
      </c>
      <c r="P302" s="286" t="s">
        <v>4807</v>
      </c>
      <c r="Q302" s="310">
        <v>45877</v>
      </c>
      <c r="R302" s="218"/>
      <c r="S302" s="219"/>
      <c r="T302" s="284"/>
      <c r="U302" s="278" t="s">
        <v>393</v>
      </c>
      <c r="V302" s="218">
        <v>9295</v>
      </c>
      <c r="W302" s="219" t="s">
        <v>3785</v>
      </c>
      <c r="X302" s="218">
        <v>150000</v>
      </c>
      <c r="Y302" s="219" t="s">
        <v>4095</v>
      </c>
      <c r="Z302" s="218">
        <v>610000</v>
      </c>
      <c r="AA302" s="219" t="s">
        <v>4808</v>
      </c>
      <c r="AB302" s="218"/>
      <c r="AH302" s="218">
        <f t="shared" si="38"/>
        <v>769295</v>
      </c>
      <c r="AK302" s="179">
        <f t="shared" ref="AK302:AK329" si="44">M302-AH302</f>
        <v>0</v>
      </c>
      <c r="AL302" s="287"/>
      <c r="AM302" s="311"/>
      <c r="AN302" s="312"/>
      <c r="AO302" s="128">
        <f t="shared" si="39"/>
        <v>769295</v>
      </c>
      <c r="AP302" s="173">
        <f>0.7%+0.05%+0.12%</f>
        <v>0.0087</v>
      </c>
      <c r="AQ302" s="275">
        <f t="shared" si="40"/>
        <v>0</v>
      </c>
      <c r="AR302" s="218"/>
      <c r="AS302" s="218"/>
      <c r="AT302" s="218"/>
      <c r="AU302" s="218"/>
      <c r="AV302" s="218"/>
      <c r="AW302" s="218"/>
      <c r="AX302" s="218"/>
      <c r="AY302" s="218"/>
      <c r="AZ302" s="218"/>
      <c r="BA302" s="292"/>
      <c r="BB302" s="218"/>
      <c r="BC302" s="292"/>
      <c r="BH302" s="128">
        <v>159295</v>
      </c>
      <c r="BI302" s="128">
        <v>610000</v>
      </c>
      <c r="CI302" s="128" t="s">
        <v>376</v>
      </c>
      <c r="CJ302" s="128" t="s">
        <v>387</v>
      </c>
      <c r="CK302" s="128" t="s">
        <v>377</v>
      </c>
    </row>
    <row r="303" s="128" customFormat="1" customHeight="1" spans="1:92">
      <c r="A303" s="128">
        <v>250</v>
      </c>
      <c r="C303" s="171">
        <v>45483</v>
      </c>
      <c r="D303" s="286" t="s">
        <v>4809</v>
      </c>
      <c r="F303" s="287" t="s">
        <v>4810</v>
      </c>
      <c r="G303" s="177" t="s">
        <v>4811</v>
      </c>
      <c r="H303" s="177"/>
      <c r="I303" s="273" t="s">
        <v>4812</v>
      </c>
      <c r="J303" s="128">
        <v>126.5</v>
      </c>
      <c r="K303" s="128">
        <v>126.5</v>
      </c>
      <c r="L303" s="128">
        <v>6119</v>
      </c>
      <c r="M303" s="307">
        <v>774053</v>
      </c>
      <c r="N303" s="308">
        <v>6074.38</v>
      </c>
      <c r="O303" s="309">
        <v>710140.37</v>
      </c>
      <c r="P303" s="286" t="s">
        <v>4813</v>
      </c>
      <c r="Q303" s="310">
        <v>45877</v>
      </c>
      <c r="R303" s="218"/>
      <c r="S303" s="219"/>
      <c r="T303" s="272"/>
      <c r="U303" s="219" t="s">
        <v>400</v>
      </c>
      <c r="V303" s="218">
        <v>145053</v>
      </c>
      <c r="W303" s="219" t="s">
        <v>3391</v>
      </c>
      <c r="X303" s="218">
        <v>10000</v>
      </c>
      <c r="Y303" s="318" t="s">
        <v>4814</v>
      </c>
      <c r="Z303" s="218">
        <v>619000</v>
      </c>
      <c r="AA303" s="219">
        <v>45540</v>
      </c>
      <c r="AB303" s="218"/>
      <c r="AH303" s="218">
        <f t="shared" si="38"/>
        <v>774053</v>
      </c>
      <c r="AK303" s="179">
        <f t="shared" si="44"/>
        <v>0</v>
      </c>
      <c r="AL303" s="287" t="s">
        <v>4815</v>
      </c>
      <c r="AM303" s="311"/>
      <c r="AN303" s="312"/>
      <c r="AO303" s="128">
        <f t="shared" si="39"/>
        <v>774053</v>
      </c>
      <c r="AP303" s="178">
        <f>0.7%+0.03%+0.08%</f>
        <v>0.0081</v>
      </c>
      <c r="AQ303" s="275">
        <f t="shared" si="40"/>
        <v>0</v>
      </c>
      <c r="AR303" s="218"/>
      <c r="AS303" s="218"/>
      <c r="AT303" s="218"/>
      <c r="AU303" s="218"/>
      <c r="AV303" s="218"/>
      <c r="AW303" s="218"/>
      <c r="AX303" s="218"/>
      <c r="AY303" s="218"/>
      <c r="AZ303" s="218"/>
      <c r="BA303" s="292"/>
      <c r="BB303" s="218"/>
      <c r="BC303" s="292"/>
      <c r="BK303" s="128">
        <v>155053</v>
      </c>
      <c r="BM303" s="128">
        <v>619000</v>
      </c>
      <c r="CI303" s="128" t="s">
        <v>376</v>
      </c>
      <c r="CJ303" s="128" t="s">
        <v>387</v>
      </c>
      <c r="CK303" s="128" t="s">
        <v>377</v>
      </c>
    </row>
    <row r="304" s="101" customFormat="1" customHeight="1" spans="1:92">
      <c r="A304" s="101">
        <v>251</v>
      </c>
      <c r="D304" s="314"/>
      <c r="F304" s="300"/>
      <c r="G304" s="200"/>
      <c r="H304" s="200"/>
      <c r="I304" s="269" t="s">
        <v>4816</v>
      </c>
      <c r="J304" s="305">
        <v>126.5</v>
      </c>
      <c r="M304" s="296"/>
      <c r="N304" s="297">
        <v>7084</v>
      </c>
      <c r="O304" s="315"/>
      <c r="P304" s="314"/>
      <c r="Q304" s="316"/>
      <c r="R304" s="202"/>
      <c r="S304" s="289"/>
      <c r="T304" s="290"/>
      <c r="U304" s="289"/>
      <c r="V304" s="202"/>
      <c r="W304" s="283"/>
      <c r="X304" s="202"/>
      <c r="Y304" s="299"/>
      <c r="AB304" s="202"/>
      <c r="AH304" s="202">
        <f t="shared" si="38"/>
        <v>0</v>
      </c>
      <c r="AK304" s="201">
        <f t="shared" si="44"/>
        <v>0</v>
      </c>
      <c r="AL304" s="300"/>
      <c r="AM304" s="301"/>
      <c r="AN304" s="317"/>
      <c r="AO304" s="101">
        <f t="shared" si="39"/>
        <v>0</v>
      </c>
      <c r="AP304" s="159"/>
      <c r="AQ304" s="268">
        <f t="shared" si="40"/>
        <v>0</v>
      </c>
      <c r="AR304" s="202"/>
      <c r="AS304" s="202"/>
      <c r="AT304" s="202"/>
      <c r="AU304" s="202"/>
      <c r="AV304" s="202"/>
      <c r="AW304" s="202"/>
      <c r="AX304" s="202"/>
      <c r="AY304" s="202"/>
      <c r="AZ304" s="202"/>
      <c r="BA304" s="291"/>
      <c r="BB304" s="202"/>
      <c r="BC304" s="291"/>
    </row>
    <row r="305" s="101" customFormat="1" customHeight="1" spans="1:89">
      <c r="A305" s="101">
        <v>252</v>
      </c>
      <c r="D305" s="314"/>
      <c r="F305" s="300"/>
      <c r="G305" s="200"/>
      <c r="H305" s="200"/>
      <c r="I305" s="266" t="s">
        <v>4817</v>
      </c>
      <c r="J305" s="305">
        <v>126.5</v>
      </c>
      <c r="M305" s="296"/>
      <c r="N305" s="297">
        <v>7074</v>
      </c>
      <c r="O305" s="315"/>
      <c r="P305" s="314"/>
      <c r="Q305" s="316"/>
      <c r="R305" s="202"/>
      <c r="S305" s="204"/>
      <c r="T305" s="290"/>
      <c r="U305" s="200"/>
      <c r="V305" s="202"/>
      <c r="W305" s="298"/>
      <c r="X305" s="202"/>
      <c r="Y305" s="299"/>
      <c r="AB305" s="202"/>
      <c r="AH305" s="202">
        <f t="shared" si="38"/>
        <v>0</v>
      </c>
      <c r="AK305" s="201">
        <f t="shared" si="44"/>
        <v>0</v>
      </c>
      <c r="AL305" s="300"/>
      <c r="AM305" s="301"/>
      <c r="AN305" s="317"/>
      <c r="AO305" s="101">
        <f t="shared" si="39"/>
        <v>0</v>
      </c>
      <c r="AP305" s="159"/>
      <c r="AQ305" s="268">
        <f t="shared" si="40"/>
        <v>0</v>
      </c>
      <c r="AR305" s="202"/>
      <c r="AS305" s="202"/>
      <c r="AT305" s="202"/>
      <c r="AU305" s="202"/>
      <c r="AV305" s="202"/>
      <c r="AW305" s="202"/>
      <c r="AX305" s="202"/>
      <c r="AY305" s="202"/>
      <c r="AZ305" s="202"/>
      <c r="BA305" s="291"/>
      <c r="BB305" s="202"/>
      <c r="BC305" s="291"/>
    </row>
    <row r="306" s="128" customFormat="1" customHeight="1" spans="1:89">
      <c r="A306" s="128">
        <v>253</v>
      </c>
      <c r="C306" s="171">
        <v>45164</v>
      </c>
      <c r="D306" s="286" t="s">
        <v>4818</v>
      </c>
      <c r="F306" s="287" t="s">
        <v>4819</v>
      </c>
      <c r="G306" s="177" t="s">
        <v>4820</v>
      </c>
      <c r="H306" s="1019" t="s">
        <v>4821</v>
      </c>
      <c r="I306" s="273" t="s">
        <v>4822</v>
      </c>
      <c r="J306" s="128">
        <v>128.86</v>
      </c>
      <c r="K306" s="128">
        <v>128.86</v>
      </c>
      <c r="L306" s="128">
        <v>8391.065</v>
      </c>
      <c r="M306" s="307">
        <v>1081273</v>
      </c>
      <c r="N306" s="308">
        <f>8464-72.93</f>
        <v>8391.07</v>
      </c>
      <c r="O306" s="168">
        <v>991993.58</v>
      </c>
      <c r="P306" s="286" t="s">
        <v>4823</v>
      </c>
      <c r="Q306" s="310">
        <v>45881</v>
      </c>
      <c r="R306" s="218"/>
      <c r="S306" s="278"/>
      <c r="T306" s="1018" t="s">
        <v>2117</v>
      </c>
      <c r="U306" s="278" t="s">
        <v>496</v>
      </c>
      <c r="V306" s="218">
        <v>1000</v>
      </c>
      <c r="W306" s="128" t="s">
        <v>2573</v>
      </c>
      <c r="X306" s="218">
        <v>277000</v>
      </c>
      <c r="Y306" s="278" t="s">
        <v>795</v>
      </c>
      <c r="Z306" s="128">
        <f>800000+3273</f>
        <v>803273</v>
      </c>
      <c r="AA306" s="128" t="s">
        <v>1077</v>
      </c>
      <c r="AB306" s="218"/>
      <c r="AC306" s="128"/>
      <c r="AD306" s="218"/>
      <c r="AE306" s="278"/>
      <c r="AF306" s="128"/>
      <c r="AG306" s="128"/>
      <c r="AH306" s="218">
        <f t="shared" si="38"/>
        <v>1081273</v>
      </c>
      <c r="AK306" s="179">
        <f t="shared" si="44"/>
        <v>0</v>
      </c>
      <c r="AL306" s="287" t="s">
        <v>4824</v>
      </c>
      <c r="AM306" s="311"/>
      <c r="AN306" s="312"/>
      <c r="AO306" s="128">
        <f t="shared" si="39"/>
        <v>1078000</v>
      </c>
      <c r="AP306" s="169">
        <f>0.6%+0.05%+0.14%</f>
        <v>0.0079</v>
      </c>
      <c r="AQ306" s="275">
        <f t="shared" si="40"/>
        <v>300</v>
      </c>
      <c r="AR306" s="218"/>
      <c r="AS306" s="218"/>
      <c r="AT306" s="218">
        <v>100</v>
      </c>
      <c r="AU306" s="218"/>
      <c r="AV306" s="218">
        <v>200</v>
      </c>
      <c r="AW306" s="218"/>
      <c r="AX306" s="218"/>
      <c r="AY306" s="218"/>
      <c r="AZ306" s="218"/>
      <c r="BA306" s="292"/>
      <c r="BB306" s="218">
        <v>1078000</v>
      </c>
      <c r="BC306" s="292"/>
      <c r="CI306" s="128" t="s">
        <v>376</v>
      </c>
      <c r="CJ306" s="128" t="s">
        <v>387</v>
      </c>
      <c r="CK306" s="128" t="s">
        <v>377</v>
      </c>
    </row>
    <row r="307" s="101" customFormat="1" customHeight="1" spans="1:89">
      <c r="A307" s="101">
        <v>254</v>
      </c>
      <c r="D307" s="314"/>
      <c r="F307" s="300"/>
      <c r="I307" s="269" t="s">
        <v>4825</v>
      </c>
      <c r="J307" s="322">
        <v>109.5</v>
      </c>
      <c r="M307" s="296"/>
      <c r="N307" s="297">
        <v>8654</v>
      </c>
      <c r="O307" s="315"/>
      <c r="P307" s="314"/>
      <c r="Q307" s="316"/>
      <c r="R307" s="202"/>
      <c r="S307" s="204"/>
      <c r="T307" s="290"/>
      <c r="U307" s="289"/>
      <c r="V307" s="202"/>
      <c r="W307" s="299"/>
      <c r="X307" s="202"/>
      <c r="Y307" s="299"/>
      <c r="AB307" s="202"/>
      <c r="AH307" s="202">
        <f t="shared" si="38"/>
        <v>0</v>
      </c>
      <c r="AK307" s="201">
        <f t="shared" si="44"/>
        <v>0</v>
      </c>
      <c r="AL307" s="300"/>
      <c r="AM307" s="301"/>
      <c r="AN307" s="317"/>
      <c r="AO307" s="101">
        <f t="shared" si="39"/>
        <v>0</v>
      </c>
      <c r="AP307" s="159"/>
      <c r="AQ307" s="268">
        <f t="shared" si="40"/>
        <v>0</v>
      </c>
      <c r="AR307" s="202"/>
      <c r="AS307" s="202"/>
      <c r="AT307" s="202"/>
      <c r="AU307" s="202"/>
      <c r="AV307" s="202"/>
      <c r="AW307" s="202"/>
      <c r="AX307" s="202"/>
      <c r="AY307" s="202"/>
      <c r="AZ307" s="202"/>
      <c r="BA307" s="291"/>
      <c r="BB307" s="202"/>
      <c r="BC307" s="291"/>
    </row>
    <row r="308" s="128" customFormat="1" customHeight="1" spans="1:89">
      <c r="A308" s="128">
        <v>255</v>
      </c>
      <c r="B308" s="183"/>
      <c r="C308" s="171">
        <v>45446</v>
      </c>
      <c r="D308" s="286" t="s">
        <v>4826</v>
      </c>
      <c r="F308" s="287" t="s">
        <v>4827</v>
      </c>
      <c r="G308" s="177" t="s">
        <v>4828</v>
      </c>
      <c r="H308" s="1019" t="s">
        <v>4829</v>
      </c>
      <c r="I308" s="276" t="s">
        <v>4830</v>
      </c>
      <c r="J308" s="128">
        <v>126.9</v>
      </c>
      <c r="K308" s="128">
        <v>126.9</v>
      </c>
      <c r="L308" s="128">
        <v>5764.1</v>
      </c>
      <c r="M308" s="307">
        <v>731464</v>
      </c>
      <c r="N308" s="308">
        <v>5764.1</v>
      </c>
      <c r="O308" s="309">
        <v>671067.89</v>
      </c>
      <c r="P308" s="286" t="s">
        <v>4831</v>
      </c>
      <c r="Q308" s="310">
        <v>45881</v>
      </c>
      <c r="R308" s="218"/>
      <c r="S308" s="219"/>
      <c r="T308" s="284" t="s">
        <v>4832</v>
      </c>
      <c r="U308" s="278" t="s">
        <v>4833</v>
      </c>
      <c r="V308" s="218">
        <f>10000-10000</f>
        <v>0</v>
      </c>
      <c r="W308" s="278" t="s">
        <v>2185</v>
      </c>
      <c r="X308" s="218">
        <f>10000-10000</f>
        <v>0</v>
      </c>
      <c r="Y308" s="219" t="s">
        <v>1999</v>
      </c>
      <c r="Z308" s="218">
        <v>20000</v>
      </c>
      <c r="AA308" s="219" t="s">
        <v>4317</v>
      </c>
      <c r="AB308" s="218">
        <f>126464+15000</f>
        <v>141464</v>
      </c>
      <c r="AC308" s="219" t="s">
        <v>3792</v>
      </c>
      <c r="AD308" s="218">
        <v>570000</v>
      </c>
      <c r="AE308" s="219" t="s">
        <v>756</v>
      </c>
      <c r="AH308" s="218">
        <f t="shared" si="38"/>
        <v>731464</v>
      </c>
      <c r="AK308" s="179">
        <f t="shared" si="44"/>
        <v>0</v>
      </c>
      <c r="AL308" s="287" t="s">
        <v>4834</v>
      </c>
      <c r="AM308" s="311"/>
      <c r="AN308" s="312"/>
      <c r="AO308" s="128">
        <f t="shared" si="39"/>
        <v>731464</v>
      </c>
      <c r="AP308" s="169">
        <f>0.7%+0.08%</f>
        <v>0.0078</v>
      </c>
      <c r="AQ308" s="275">
        <f t="shared" si="40"/>
        <v>200</v>
      </c>
      <c r="AR308" s="218"/>
      <c r="AS308" s="218"/>
      <c r="AT308" s="218"/>
      <c r="AU308" s="218"/>
      <c r="AV308" s="218">
        <v>200</v>
      </c>
      <c r="AW308" s="218"/>
      <c r="AX308" s="218"/>
      <c r="AY308" s="218"/>
      <c r="AZ308" s="218"/>
      <c r="BA308" s="292"/>
      <c r="BB308" s="218"/>
      <c r="BC308" s="292"/>
      <c r="BJ308" s="128">
        <v>161464</v>
      </c>
      <c r="BL308" s="128">
        <v>570000</v>
      </c>
      <c r="CI308" s="128" t="s">
        <v>376</v>
      </c>
      <c r="CJ308" s="128" t="s">
        <v>387</v>
      </c>
      <c r="CK308" s="128" t="s">
        <v>377</v>
      </c>
    </row>
    <row r="309" s="128" customFormat="1" customHeight="1" spans="1:89">
      <c r="A309" s="128">
        <v>256</v>
      </c>
      <c r="B309" s="128"/>
      <c r="C309" s="171">
        <v>46056</v>
      </c>
      <c r="D309" s="128">
        <v>20260000672</v>
      </c>
      <c r="F309" s="287" t="s">
        <v>4835</v>
      </c>
      <c r="G309" s="128" t="s">
        <v>4836</v>
      </c>
      <c r="H309" s="1016" t="s">
        <v>4837</v>
      </c>
      <c r="I309" s="273" t="s">
        <v>4838</v>
      </c>
      <c r="J309" s="128">
        <v>126.5</v>
      </c>
      <c r="K309" s="128">
        <v>126.5</v>
      </c>
      <c r="L309" s="128">
        <v>5106.72</v>
      </c>
      <c r="M309" s="307">
        <v>646000</v>
      </c>
      <c r="N309" s="308">
        <v>5106.72</v>
      </c>
      <c r="O309" s="309">
        <v>592660.55</v>
      </c>
      <c r="P309" s="286" t="s">
        <v>4839</v>
      </c>
      <c r="Q309" s="310">
        <v>46093</v>
      </c>
      <c r="R309" s="218"/>
      <c r="S309" s="219"/>
      <c r="T309" s="284"/>
      <c r="U309" s="278" t="s">
        <v>3522</v>
      </c>
      <c r="V309" s="218">
        <v>10000</v>
      </c>
      <c r="W309" s="219">
        <v>45957</v>
      </c>
      <c r="X309" s="218">
        <v>87000</v>
      </c>
      <c r="Y309" s="219">
        <v>46056</v>
      </c>
      <c r="AB309" s="218"/>
      <c r="AH309" s="218">
        <f t="shared" si="38"/>
        <v>97000</v>
      </c>
      <c r="AK309" s="179">
        <f t="shared" si="44"/>
        <v>549000</v>
      </c>
      <c r="AL309" s="287"/>
      <c r="AM309" s="311" t="s">
        <v>3480</v>
      </c>
      <c r="AN309" s="312"/>
      <c r="AO309" s="128">
        <f t="shared" si="39"/>
        <v>97000</v>
      </c>
      <c r="AP309" s="169">
        <f>0.7%+0.08%+0.03%</f>
        <v>0.0081</v>
      </c>
      <c r="AQ309" s="275">
        <f t="shared" si="40"/>
        <v>0</v>
      </c>
      <c r="AR309" s="218"/>
      <c r="AS309" s="218"/>
      <c r="AT309" s="218"/>
      <c r="AU309" s="218"/>
      <c r="AV309" s="218"/>
      <c r="AW309" s="218"/>
      <c r="AX309" s="218"/>
      <c r="AY309" s="218"/>
      <c r="AZ309" s="218"/>
      <c r="BA309" s="292"/>
      <c r="BB309" s="218"/>
      <c r="BC309" s="292"/>
      <c r="CD309" s="128">
        <v>97000</v>
      </c>
      <c r="CI309" s="128" t="s">
        <v>376</v>
      </c>
      <c r="CK309" s="128" t="s">
        <v>377</v>
      </c>
    </row>
    <row r="310" s="128" customFormat="1" customHeight="1" spans="1:89">
      <c r="A310" s="128">
        <v>257</v>
      </c>
      <c r="C310" s="171">
        <v>45198</v>
      </c>
      <c r="D310" s="286" t="s">
        <v>4840</v>
      </c>
      <c r="F310" s="287" t="s">
        <v>4841</v>
      </c>
      <c r="G310" s="128" t="s">
        <v>4842</v>
      </c>
      <c r="H310" s="1016" t="s">
        <v>4843</v>
      </c>
      <c r="I310" s="276" t="s">
        <v>4844</v>
      </c>
      <c r="J310" s="128">
        <v>126.9</v>
      </c>
      <c r="K310" s="128">
        <v>126.9</v>
      </c>
      <c r="L310" s="128">
        <v>5800</v>
      </c>
      <c r="M310" s="307">
        <v>736020</v>
      </c>
      <c r="N310" s="308">
        <f>5808.38-8.38</f>
        <v>5800</v>
      </c>
      <c r="O310" s="168">
        <v>675247.71</v>
      </c>
      <c r="P310" s="286" t="s">
        <v>4845</v>
      </c>
      <c r="Q310" s="310">
        <v>45881</v>
      </c>
      <c r="R310" s="218"/>
      <c r="S310" s="219"/>
      <c r="T310" s="272"/>
      <c r="U310" s="219" t="s">
        <v>393</v>
      </c>
      <c r="V310" s="218">
        <v>20000</v>
      </c>
      <c r="W310" s="219" t="s">
        <v>571</v>
      </c>
      <c r="X310" s="218">
        <v>201020</v>
      </c>
      <c r="Y310" s="219" t="s">
        <v>430</v>
      </c>
      <c r="Z310" s="218">
        <v>515000</v>
      </c>
      <c r="AA310" s="219" t="s">
        <v>641</v>
      </c>
      <c r="AB310" s="218"/>
      <c r="AH310" s="218">
        <f t="shared" si="38"/>
        <v>736020</v>
      </c>
      <c r="AK310" s="179">
        <f t="shared" si="44"/>
        <v>0</v>
      </c>
      <c r="AL310" s="287" t="s">
        <v>4846</v>
      </c>
      <c r="AM310" s="311"/>
      <c r="AN310" s="312"/>
      <c r="AO310" s="128">
        <f t="shared" si="39"/>
        <v>736020</v>
      </c>
      <c r="AP310" s="169">
        <f>0.4%+0.04%+0.12%</f>
        <v>0.0056</v>
      </c>
      <c r="AQ310" s="275">
        <f t="shared" si="40"/>
        <v>0</v>
      </c>
      <c r="AR310" s="218"/>
      <c r="AS310" s="218"/>
      <c r="AT310" s="218"/>
      <c r="AU310" s="218"/>
      <c r="AV310" s="218"/>
      <c r="AW310" s="218"/>
      <c r="AX310" s="218"/>
      <c r="AY310" s="218"/>
      <c r="AZ310" s="218"/>
      <c r="BA310" s="292"/>
      <c r="BB310" s="218">
        <v>221020</v>
      </c>
      <c r="BC310" s="292"/>
      <c r="BD310" s="128">
        <v>515000</v>
      </c>
      <c r="CI310" s="128" t="s">
        <v>376</v>
      </c>
      <c r="CJ310" s="128" t="s">
        <v>387</v>
      </c>
      <c r="CK310" s="128" t="s">
        <v>377</v>
      </c>
    </row>
    <row r="311" s="128" customFormat="1" customHeight="1" spans="1:89">
      <c r="A311" s="128">
        <v>258</v>
      </c>
      <c r="C311" s="171">
        <v>45202</v>
      </c>
      <c r="D311" s="286" t="s">
        <v>4847</v>
      </c>
      <c r="F311" s="287" t="s">
        <v>4848</v>
      </c>
      <c r="G311" s="284" t="s">
        <v>4849</v>
      </c>
      <c r="H311" s="1019" t="s">
        <v>4850</v>
      </c>
      <c r="I311" s="273" t="s">
        <v>4851</v>
      </c>
      <c r="J311" s="128">
        <v>126.5</v>
      </c>
      <c r="K311" s="128">
        <v>126.5</v>
      </c>
      <c r="L311" s="128">
        <v>5850</v>
      </c>
      <c r="M311" s="307">
        <v>740026</v>
      </c>
      <c r="N311" s="308">
        <v>5808.38</v>
      </c>
      <c r="O311" s="168">
        <v>678922.94</v>
      </c>
      <c r="P311" s="286" t="s">
        <v>4852</v>
      </c>
      <c r="Q311" s="310">
        <v>45881</v>
      </c>
      <c r="R311" s="218"/>
      <c r="S311" s="278"/>
      <c r="T311" s="284"/>
      <c r="U311" s="278" t="s">
        <v>393</v>
      </c>
      <c r="V311" s="218">
        <v>20000</v>
      </c>
      <c r="W311" s="278" t="s">
        <v>1900</v>
      </c>
      <c r="X311" s="218">
        <v>419967</v>
      </c>
      <c r="Y311" s="278" t="s">
        <v>563</v>
      </c>
      <c r="Z311" s="128">
        <v>300000</v>
      </c>
      <c r="AA311" s="128" t="s">
        <v>2916</v>
      </c>
      <c r="AB311" s="218">
        <v>59</v>
      </c>
      <c r="AC311" s="278" t="s">
        <v>3370</v>
      </c>
      <c r="AH311" s="218">
        <f t="shared" si="38"/>
        <v>740026</v>
      </c>
      <c r="AK311" s="179">
        <f t="shared" si="44"/>
        <v>0</v>
      </c>
      <c r="AL311" s="287" t="s">
        <v>4853</v>
      </c>
      <c r="AM311" s="311"/>
      <c r="AN311" s="312"/>
      <c r="AO311" s="128">
        <f t="shared" si="39"/>
        <v>739967</v>
      </c>
      <c r="AP311" s="169">
        <f>0.4%+0.05%+0.12%</f>
        <v>0.0057</v>
      </c>
      <c r="AQ311" s="275">
        <f t="shared" si="40"/>
        <v>0</v>
      </c>
      <c r="AR311" s="218"/>
      <c r="AS311" s="218"/>
      <c r="AT311" s="218"/>
      <c r="AU311" s="218"/>
      <c r="AV311" s="218"/>
      <c r="AW311" s="218"/>
      <c r="AX311" s="218"/>
      <c r="AY311" s="218"/>
      <c r="AZ311" s="218"/>
      <c r="BA311" s="292"/>
      <c r="BB311" s="218">
        <v>739967</v>
      </c>
      <c r="BC311" s="292"/>
      <c r="CI311" s="128" t="s">
        <v>376</v>
      </c>
      <c r="CJ311" s="128" t="s">
        <v>387</v>
      </c>
      <c r="CK311" s="128" t="s">
        <v>377</v>
      </c>
    </row>
    <row r="312" s="128" customFormat="1" customHeight="1" spans="1:89">
      <c r="A312" s="128">
        <v>259</v>
      </c>
      <c r="C312" s="171">
        <v>45200</v>
      </c>
      <c r="D312" s="286" t="s">
        <v>4854</v>
      </c>
      <c r="F312" s="287" t="s">
        <v>4855</v>
      </c>
      <c r="G312" s="177" t="s">
        <v>4856</v>
      </c>
      <c r="H312" s="1019" t="s">
        <v>4857</v>
      </c>
      <c r="I312" s="276" t="s">
        <v>4858</v>
      </c>
      <c r="J312" s="128">
        <v>126.9</v>
      </c>
      <c r="K312" s="128">
        <v>126.9</v>
      </c>
      <c r="L312" s="128">
        <v>5844.38</v>
      </c>
      <c r="M312" s="307">
        <v>741652</v>
      </c>
      <c r="N312" s="308">
        <v>5844.38</v>
      </c>
      <c r="O312" s="168">
        <v>680414.68</v>
      </c>
      <c r="P312" s="286" t="s">
        <v>4859</v>
      </c>
      <c r="Q312" s="310">
        <v>45882</v>
      </c>
      <c r="R312" s="218"/>
      <c r="S312" s="219"/>
      <c r="T312" s="272"/>
      <c r="U312" s="219" t="s">
        <v>400</v>
      </c>
      <c r="V312" s="218">
        <v>20000</v>
      </c>
      <c r="W312" s="219" t="s">
        <v>571</v>
      </c>
      <c r="X312" s="218">
        <f>80000+51652</f>
        <v>131652</v>
      </c>
      <c r="Y312" s="219" t="s">
        <v>430</v>
      </c>
      <c r="Z312" s="218">
        <v>590000</v>
      </c>
      <c r="AA312" s="219" t="s">
        <v>4860</v>
      </c>
      <c r="AB312" s="218"/>
      <c r="AH312" s="218">
        <f t="shared" si="38"/>
        <v>741652</v>
      </c>
      <c r="AK312" s="179">
        <f t="shared" si="44"/>
        <v>0</v>
      </c>
      <c r="AL312" s="287" t="s">
        <v>4861</v>
      </c>
      <c r="AM312" s="311"/>
      <c r="AN312" s="312"/>
      <c r="AO312" s="128">
        <f t="shared" si="39"/>
        <v>741652</v>
      </c>
      <c r="AP312" s="169">
        <f>0.4%+0.02%+0.12%</f>
        <v>0.0054</v>
      </c>
      <c r="AQ312" s="275">
        <f t="shared" si="40"/>
        <v>0</v>
      </c>
      <c r="AR312" s="218"/>
      <c r="AS312" s="218"/>
      <c r="AT312" s="218"/>
      <c r="AU312" s="218"/>
      <c r="AV312" s="218"/>
      <c r="AW312" s="218"/>
      <c r="AX312" s="218"/>
      <c r="AY312" s="218"/>
      <c r="AZ312" s="218"/>
      <c r="BA312" s="292"/>
      <c r="BB312" s="218">
        <v>151652</v>
      </c>
      <c r="BC312" s="292"/>
      <c r="BD312" s="128">
        <v>590000</v>
      </c>
      <c r="CI312" s="128" t="s">
        <v>376</v>
      </c>
      <c r="CJ312" s="128" t="s">
        <v>387</v>
      </c>
      <c r="CK312" s="128" t="s">
        <v>377</v>
      </c>
    </row>
    <row r="313" s="128" customFormat="1" customHeight="1" spans="1:89">
      <c r="A313" s="128">
        <v>260</v>
      </c>
      <c r="C313" s="171">
        <v>45223</v>
      </c>
      <c r="D313" s="286" t="s">
        <v>4862</v>
      </c>
      <c r="F313" s="287" t="s">
        <v>4863</v>
      </c>
      <c r="G313" s="177" t="s">
        <v>4864</v>
      </c>
      <c r="H313" s="177"/>
      <c r="I313" s="273" t="s">
        <v>4865</v>
      </c>
      <c r="J313" s="128">
        <v>126.5</v>
      </c>
      <c r="K313" s="128">
        <v>126.5</v>
      </c>
      <c r="L313" s="128">
        <v>5838.38</v>
      </c>
      <c r="M313" s="307">
        <v>738555</v>
      </c>
      <c r="N313" s="308">
        <v>5838.38</v>
      </c>
      <c r="O313" s="168">
        <v>677573.39</v>
      </c>
      <c r="P313" s="286" t="s">
        <v>4866</v>
      </c>
      <c r="Q313" s="310">
        <v>45882</v>
      </c>
      <c r="R313" s="218"/>
      <c r="S313" s="219"/>
      <c r="T313" s="284"/>
      <c r="U313" s="278" t="s">
        <v>400</v>
      </c>
      <c r="V313" s="218">
        <v>20000</v>
      </c>
      <c r="W313" s="219" t="s">
        <v>2916</v>
      </c>
      <c r="X313" s="218">
        <v>128497</v>
      </c>
      <c r="Y313" s="318" t="s">
        <v>965</v>
      </c>
      <c r="Z313" s="218">
        <v>590000</v>
      </c>
      <c r="AA313" s="219" t="s">
        <v>650</v>
      </c>
      <c r="AB313" s="218">
        <v>58</v>
      </c>
      <c r="AC313" s="219" t="s">
        <v>3370</v>
      </c>
      <c r="AH313" s="218">
        <f t="shared" si="38"/>
        <v>738555</v>
      </c>
      <c r="AK313" s="179">
        <f t="shared" si="44"/>
        <v>0</v>
      </c>
      <c r="AL313" s="287"/>
      <c r="AM313" s="311"/>
      <c r="AN313" s="312"/>
      <c r="AO313" s="128">
        <f t="shared" si="39"/>
        <v>738497</v>
      </c>
      <c r="AP313" s="169">
        <f>0.4%+0.02%+0.08%</f>
        <v>0.005</v>
      </c>
      <c r="AQ313" s="275">
        <f t="shared" si="40"/>
        <v>300</v>
      </c>
      <c r="AR313" s="218"/>
      <c r="AS313" s="218"/>
      <c r="AT313" s="218"/>
      <c r="AU313" s="218">
        <v>100</v>
      </c>
      <c r="AV313" s="218">
        <v>200</v>
      </c>
      <c r="AW313" s="218"/>
      <c r="AX313" s="218"/>
      <c r="AY313" s="218"/>
      <c r="AZ313" s="218"/>
      <c r="BA313" s="292"/>
      <c r="BB313" s="218">
        <v>148497</v>
      </c>
      <c r="BC313" s="292"/>
      <c r="BD313" s="128">
        <v>590000</v>
      </c>
      <c r="CI313" s="128" t="s">
        <v>376</v>
      </c>
      <c r="CJ313" s="128" t="s">
        <v>387</v>
      </c>
      <c r="CK313" s="128" t="s">
        <v>377</v>
      </c>
    </row>
    <row r="314" s="128" customFormat="1" customHeight="1" spans="1:89">
      <c r="A314" s="128">
        <v>261</v>
      </c>
      <c r="C314" s="171">
        <v>45151</v>
      </c>
      <c r="D314" s="286" t="s">
        <v>4867</v>
      </c>
      <c r="F314" s="287" t="s">
        <v>4868</v>
      </c>
      <c r="G314" s="128" t="s">
        <v>4869</v>
      </c>
      <c r="H314" s="1016" t="s">
        <v>4870</v>
      </c>
      <c r="I314" s="276" t="s">
        <v>4871</v>
      </c>
      <c r="J314" s="128">
        <v>126.9</v>
      </c>
      <c r="K314" s="128">
        <v>126.9</v>
      </c>
      <c r="L314" s="128">
        <v>5864.38</v>
      </c>
      <c r="M314" s="307">
        <v>744190</v>
      </c>
      <c r="N314" s="308">
        <f>5914.38-50</f>
        <v>5864.38</v>
      </c>
      <c r="O314" s="168">
        <v>682743.12</v>
      </c>
      <c r="P314" s="286" t="s">
        <v>4872</v>
      </c>
      <c r="Q314" s="310">
        <v>45882</v>
      </c>
      <c r="R314" s="218"/>
      <c r="S314" s="219"/>
      <c r="T314" s="272"/>
      <c r="U314" s="128" t="s">
        <v>524</v>
      </c>
      <c r="V314" s="218">
        <v>20000</v>
      </c>
      <c r="W314" s="171" t="s">
        <v>1740</v>
      </c>
      <c r="X314" s="218">
        <f>200000+238190+36000</f>
        <v>474190</v>
      </c>
      <c r="Y314" s="219" t="s">
        <v>1035</v>
      </c>
      <c r="Z314" s="218">
        <v>250000</v>
      </c>
      <c r="AA314" s="219" t="s">
        <v>2409</v>
      </c>
      <c r="AB314" s="218"/>
      <c r="AH314" s="218">
        <f t="shared" si="38"/>
        <v>744190</v>
      </c>
      <c r="AK314" s="179">
        <f t="shared" si="44"/>
        <v>0</v>
      </c>
      <c r="AL314" s="287" t="s">
        <v>4873</v>
      </c>
      <c r="AM314" s="311"/>
      <c r="AN314" s="312"/>
      <c r="AO314" s="128">
        <f t="shared" si="39"/>
        <v>744190</v>
      </c>
      <c r="AP314" s="169">
        <f>0.5%+0.04%+0.14%</f>
        <v>0.0068</v>
      </c>
      <c r="AQ314" s="275">
        <f t="shared" si="40"/>
        <v>0</v>
      </c>
      <c r="AR314" s="218"/>
      <c r="AS314" s="218"/>
      <c r="AT314" s="218"/>
      <c r="AU314" s="218"/>
      <c r="AV314" s="218"/>
      <c r="AW314" s="218"/>
      <c r="AX314" s="218"/>
      <c r="AY314" s="218"/>
      <c r="AZ314" s="218">
        <v>494190</v>
      </c>
      <c r="BA314" s="292"/>
      <c r="BB314" s="218"/>
      <c r="BC314" s="292">
        <v>250000</v>
      </c>
      <c r="CI314" s="128" t="s">
        <v>376</v>
      </c>
      <c r="CJ314" s="128" t="s">
        <v>387</v>
      </c>
      <c r="CK314" s="128" t="s">
        <v>377</v>
      </c>
    </row>
    <row r="315" s="128" customFormat="1" customHeight="1" spans="1:89">
      <c r="A315" s="128">
        <v>262</v>
      </c>
      <c r="C315" s="171">
        <v>45204</v>
      </c>
      <c r="D315" s="286" t="s">
        <v>4874</v>
      </c>
      <c r="F315" s="287" t="s">
        <v>4875</v>
      </c>
      <c r="G315" s="177" t="s">
        <v>4876</v>
      </c>
      <c r="H315" s="1016" t="s">
        <v>4877</v>
      </c>
      <c r="I315" s="273" t="s">
        <v>4878</v>
      </c>
      <c r="J315" s="128">
        <v>126.5</v>
      </c>
      <c r="K315" s="128">
        <v>126.5</v>
      </c>
      <c r="L315" s="128">
        <v>5858.38</v>
      </c>
      <c r="M315" s="307">
        <v>741086</v>
      </c>
      <c r="N315" s="308">
        <f>5908.38-50</f>
        <v>5858.38</v>
      </c>
      <c r="O315" s="168">
        <v>679895.41</v>
      </c>
      <c r="P315" s="286" t="s">
        <v>4879</v>
      </c>
      <c r="Q315" s="310">
        <v>45883</v>
      </c>
      <c r="R315" s="218"/>
      <c r="S315" s="219"/>
      <c r="T315" s="1018" t="s">
        <v>2013</v>
      </c>
      <c r="U315" s="278" t="s">
        <v>1048</v>
      </c>
      <c r="V315" s="218">
        <f>10000</f>
        <v>10000</v>
      </c>
      <c r="W315" s="278" t="s">
        <v>4880</v>
      </c>
      <c r="X315" s="218">
        <f>10000+151027</f>
        <v>161027</v>
      </c>
      <c r="Y315" s="219" t="s">
        <v>1035</v>
      </c>
      <c r="Z315" s="218">
        <v>130000</v>
      </c>
      <c r="AA315" s="219" t="s">
        <v>1618</v>
      </c>
      <c r="AB315" s="218">
        <v>440000</v>
      </c>
      <c r="AC315" s="219" t="s">
        <v>4881</v>
      </c>
      <c r="AD315" s="218">
        <v>59</v>
      </c>
      <c r="AE315" s="219" t="s">
        <v>3370</v>
      </c>
      <c r="AH315" s="218">
        <f t="shared" si="38"/>
        <v>741086</v>
      </c>
      <c r="AK315" s="179">
        <f t="shared" si="44"/>
        <v>0</v>
      </c>
      <c r="AL315" s="287" t="s">
        <v>4882</v>
      </c>
      <c r="AM315" s="311"/>
      <c r="AN315" s="312"/>
      <c r="AO315" s="128">
        <f t="shared" si="39"/>
        <v>741027</v>
      </c>
      <c r="AP315" s="169">
        <f>0.7%+0.14%</f>
        <v>0.0084</v>
      </c>
      <c r="AQ315" s="275">
        <f t="shared" si="40"/>
        <v>300</v>
      </c>
      <c r="AR315" s="275"/>
      <c r="AS315" s="218">
        <v>100</v>
      </c>
      <c r="AT315" s="218"/>
      <c r="AU315" s="218"/>
      <c r="AV315" s="218">
        <v>200</v>
      </c>
      <c r="AW315" s="218"/>
      <c r="AX315" s="218"/>
      <c r="AY315" s="218"/>
      <c r="AZ315" s="218"/>
      <c r="BB315" s="218"/>
      <c r="BC315" s="128">
        <v>301027</v>
      </c>
      <c r="BD315" s="128">
        <v>440000</v>
      </c>
      <c r="CI315" s="128" t="s">
        <v>376</v>
      </c>
      <c r="CJ315" s="128" t="s">
        <v>387</v>
      </c>
      <c r="CK315" s="128" t="s">
        <v>377</v>
      </c>
    </row>
    <row r="316" s="128" customFormat="1" customHeight="1" spans="1:89">
      <c r="A316" s="128">
        <v>263</v>
      </c>
      <c r="C316" s="171">
        <v>45270</v>
      </c>
      <c r="D316" s="286" t="s">
        <v>4883</v>
      </c>
      <c r="F316" s="287" t="s">
        <v>4884</v>
      </c>
      <c r="G316" s="128" t="s">
        <v>4885</v>
      </c>
      <c r="H316" s="1016" t="s">
        <v>3441</v>
      </c>
      <c r="I316" s="276" t="s">
        <v>4886</v>
      </c>
      <c r="J316" s="128">
        <v>126.9</v>
      </c>
      <c r="K316" s="128">
        <v>126.9</v>
      </c>
      <c r="L316" s="128">
        <v>5980</v>
      </c>
      <c r="M316" s="307">
        <f>K316*L316</f>
        <v>758862</v>
      </c>
      <c r="N316" s="308">
        <v>5979.38</v>
      </c>
      <c r="O316" s="168">
        <v>696203.67</v>
      </c>
      <c r="P316" s="286" t="s">
        <v>4887</v>
      </c>
      <c r="Q316" s="310">
        <v>45883</v>
      </c>
      <c r="R316" s="218"/>
      <c r="S316" s="219"/>
      <c r="T316" s="272"/>
      <c r="U316" s="219" t="s">
        <v>662</v>
      </c>
      <c r="V316" s="218">
        <v>20000</v>
      </c>
      <c r="W316" s="219" t="s">
        <v>1900</v>
      </c>
      <c r="X316" s="218">
        <v>238862</v>
      </c>
      <c r="Y316" s="219" t="s">
        <v>4888</v>
      </c>
      <c r="Z316" s="218">
        <v>500000</v>
      </c>
      <c r="AA316" s="219" t="s">
        <v>740</v>
      </c>
      <c r="AB316" s="218"/>
      <c r="AH316" s="218">
        <f t="shared" si="38"/>
        <v>758862</v>
      </c>
      <c r="AK316" s="179">
        <f t="shared" si="44"/>
        <v>0</v>
      </c>
      <c r="AL316" s="287" t="s">
        <v>4889</v>
      </c>
      <c r="AM316" s="311"/>
      <c r="AN316" s="312"/>
      <c r="AO316" s="128">
        <f t="shared" si="39"/>
        <v>758862</v>
      </c>
      <c r="AP316" s="169">
        <f>0.7%+0.12%</f>
        <v>0.0082</v>
      </c>
      <c r="AQ316" s="275">
        <f t="shared" si="40"/>
        <v>100</v>
      </c>
      <c r="AR316" s="275">
        <v>100</v>
      </c>
      <c r="AS316" s="218"/>
      <c r="AT316" s="218"/>
      <c r="AU316" s="218"/>
      <c r="AV316" s="218"/>
      <c r="AW316" s="218"/>
      <c r="AX316" s="218"/>
      <c r="AY316" s="218"/>
      <c r="AZ316" s="218"/>
      <c r="BA316" s="292"/>
      <c r="BB316" s="218"/>
      <c r="BC316" s="292"/>
      <c r="BD316" s="128">
        <v>258862</v>
      </c>
      <c r="BE316" s="128">
        <v>500000</v>
      </c>
      <c r="CI316" s="128" t="s">
        <v>376</v>
      </c>
      <c r="CJ316" s="128" t="s">
        <v>387</v>
      </c>
      <c r="CK316" s="128" t="s">
        <v>377</v>
      </c>
    </row>
    <row r="317" s="128" customFormat="1" customHeight="1" spans="1:89">
      <c r="A317" s="128">
        <v>264</v>
      </c>
      <c r="C317" s="171">
        <v>45149</v>
      </c>
      <c r="D317" s="286" t="s">
        <v>4890</v>
      </c>
      <c r="F317" s="287" t="s">
        <v>4891</v>
      </c>
      <c r="G317" s="177" t="s">
        <v>1312</v>
      </c>
      <c r="H317" s="1019" t="s">
        <v>4892</v>
      </c>
      <c r="I317" s="273" t="s">
        <v>4893</v>
      </c>
      <c r="J317" s="128">
        <v>126.5</v>
      </c>
      <c r="K317" s="128">
        <v>126.5</v>
      </c>
      <c r="L317" s="128">
        <v>5923.38</v>
      </c>
      <c r="M317" s="307">
        <v>749307</v>
      </c>
      <c r="N317" s="308">
        <f>5973.38-50</f>
        <v>5923.38</v>
      </c>
      <c r="O317" s="168">
        <v>687437.61</v>
      </c>
      <c r="P317" s="286" t="s">
        <v>4894</v>
      </c>
      <c r="Q317" s="310">
        <v>45883</v>
      </c>
      <c r="R317" s="218"/>
      <c r="S317" s="278"/>
      <c r="T317" s="1018" t="s">
        <v>2982</v>
      </c>
      <c r="U317" s="278" t="s">
        <v>393</v>
      </c>
      <c r="V317" s="218">
        <v>10000</v>
      </c>
      <c r="W317" s="278" t="s">
        <v>3042</v>
      </c>
      <c r="X317" s="218">
        <f>90000+100248</f>
        <v>190248</v>
      </c>
      <c r="Y317" s="278" t="s">
        <v>1035</v>
      </c>
      <c r="Z317" s="218">
        <v>549000</v>
      </c>
      <c r="AA317" s="278" t="s">
        <v>1668</v>
      </c>
      <c r="AB317" s="218">
        <v>59</v>
      </c>
      <c r="AC317" s="278" t="s">
        <v>3370</v>
      </c>
      <c r="AH317" s="218">
        <f t="shared" si="38"/>
        <v>749307</v>
      </c>
      <c r="AK317" s="179">
        <f t="shared" si="44"/>
        <v>0</v>
      </c>
      <c r="AL317" s="287" t="s">
        <v>4895</v>
      </c>
      <c r="AM317" s="311"/>
      <c r="AN317" s="312"/>
      <c r="AO317" s="128">
        <f t="shared" si="39"/>
        <v>749248</v>
      </c>
      <c r="AP317" s="169">
        <f>0.5%+0.05%+0.14%</f>
        <v>0.0069</v>
      </c>
      <c r="AQ317" s="275">
        <f t="shared" si="40"/>
        <v>300</v>
      </c>
      <c r="AR317" s="218"/>
      <c r="AS317" s="218"/>
      <c r="AT317" s="218">
        <v>100</v>
      </c>
      <c r="AU317" s="218"/>
      <c r="AV317" s="218">
        <v>200</v>
      </c>
      <c r="AW317" s="218"/>
      <c r="AX317" s="218"/>
      <c r="AY317" s="218"/>
      <c r="AZ317" s="218">
        <v>200248</v>
      </c>
      <c r="BA317" s="292"/>
      <c r="BB317" s="218"/>
      <c r="BC317" s="292">
        <v>549000</v>
      </c>
      <c r="CI317" s="128" t="s">
        <v>376</v>
      </c>
      <c r="CJ317" s="128" t="s">
        <v>387</v>
      </c>
      <c r="CK317" s="128" t="s">
        <v>377</v>
      </c>
    </row>
    <row r="318" s="128" customFormat="1" customHeight="1" spans="1:89">
      <c r="A318" s="128">
        <v>265</v>
      </c>
      <c r="C318" s="171">
        <v>45154</v>
      </c>
      <c r="D318" s="286" t="s">
        <v>4896</v>
      </c>
      <c r="F318" s="287" t="s">
        <v>4897</v>
      </c>
      <c r="G318" s="177" t="s">
        <v>4898</v>
      </c>
      <c r="H318" s="1019" t="s">
        <v>4899</v>
      </c>
      <c r="I318" s="276" t="s">
        <v>4900</v>
      </c>
      <c r="J318" s="128">
        <v>126.9</v>
      </c>
      <c r="K318" s="128">
        <v>126.9</v>
      </c>
      <c r="L318" s="128">
        <v>6024.38</v>
      </c>
      <c r="M318" s="307">
        <v>764494</v>
      </c>
      <c r="N318" s="308">
        <v>6024.38</v>
      </c>
      <c r="O318" s="168">
        <v>701370.64</v>
      </c>
      <c r="P318" s="286" t="s">
        <v>4901</v>
      </c>
      <c r="Q318" s="310">
        <v>45883</v>
      </c>
      <c r="R318" s="218"/>
      <c r="S318" s="278"/>
      <c r="T318" s="284" t="s">
        <v>4902</v>
      </c>
      <c r="U318" s="278" t="s">
        <v>486</v>
      </c>
      <c r="V318" s="128">
        <v>20000</v>
      </c>
      <c r="W318" s="128" t="s">
        <v>4903</v>
      </c>
      <c r="X318" s="218">
        <v>134494</v>
      </c>
      <c r="Y318" s="318" t="s">
        <v>2739</v>
      </c>
      <c r="Z318" s="218">
        <v>610000</v>
      </c>
      <c r="AA318" s="278" t="s">
        <v>2409</v>
      </c>
      <c r="AB318" s="218"/>
      <c r="AC318" s="278"/>
      <c r="AH318" s="218">
        <f t="shared" si="38"/>
        <v>764494</v>
      </c>
      <c r="AK318" s="179">
        <f t="shared" si="44"/>
        <v>0</v>
      </c>
      <c r="AL318" s="287" t="s">
        <v>4904</v>
      </c>
      <c r="AM318" s="311"/>
      <c r="AN318" s="312"/>
      <c r="AO318" s="128">
        <f t="shared" si="39"/>
        <v>764494</v>
      </c>
      <c r="AP318" s="169">
        <f>0.6%+0.04%+0.12%</f>
        <v>0.0076</v>
      </c>
      <c r="AQ318" s="275">
        <f t="shared" si="40"/>
        <v>100</v>
      </c>
      <c r="AR318" s="275">
        <v>100</v>
      </c>
      <c r="AS318" s="218"/>
      <c r="AT318" s="218"/>
      <c r="AU318" s="218"/>
      <c r="AV318" s="218"/>
      <c r="AW318" s="218"/>
      <c r="AX318" s="218"/>
      <c r="AY318" s="218"/>
      <c r="AZ318" s="218">
        <v>154494</v>
      </c>
      <c r="BA318" s="292"/>
      <c r="BB318" s="218"/>
      <c r="BC318" s="292">
        <v>610000</v>
      </c>
      <c r="CI318" s="128" t="s">
        <v>376</v>
      </c>
      <c r="CJ318" s="128" t="s">
        <v>387</v>
      </c>
      <c r="CK318" s="128" t="s">
        <v>377</v>
      </c>
    </row>
    <row r="319" s="128" customFormat="1" customHeight="1" spans="1:89">
      <c r="A319" s="128">
        <v>266</v>
      </c>
      <c r="C319" s="171">
        <v>45270</v>
      </c>
      <c r="D319" s="286" t="s">
        <v>4905</v>
      </c>
      <c r="F319" s="287" t="s">
        <v>4906</v>
      </c>
      <c r="G319" s="177" t="s">
        <v>4907</v>
      </c>
      <c r="H319" s="1019" t="s">
        <v>3563</v>
      </c>
      <c r="I319" s="273" t="s">
        <v>4908</v>
      </c>
      <c r="J319" s="128">
        <v>126.5</v>
      </c>
      <c r="K319" s="128">
        <v>126.5</v>
      </c>
      <c r="L319" s="128">
        <v>6019</v>
      </c>
      <c r="M319" s="307">
        <v>761403</v>
      </c>
      <c r="N319" s="308">
        <v>6018.38</v>
      </c>
      <c r="O319" s="168">
        <v>698534.86</v>
      </c>
      <c r="P319" s="286" t="s">
        <v>4909</v>
      </c>
      <c r="Q319" s="310">
        <v>45883</v>
      </c>
      <c r="R319" s="218"/>
      <c r="S319" s="219"/>
      <c r="T319" s="284"/>
      <c r="U319" s="278" t="s">
        <v>662</v>
      </c>
      <c r="V319" s="218">
        <v>20000</v>
      </c>
      <c r="W319" s="219" t="s">
        <v>1900</v>
      </c>
      <c r="X319" s="218">
        <v>241343</v>
      </c>
      <c r="Y319" s="219" t="s">
        <v>4888</v>
      </c>
      <c r="Z319" s="218">
        <v>500000</v>
      </c>
      <c r="AA319" s="219" t="s">
        <v>740</v>
      </c>
      <c r="AB319" s="218">
        <v>60</v>
      </c>
      <c r="AC319" s="219" t="s">
        <v>2807</v>
      </c>
      <c r="AH319" s="218">
        <f t="shared" si="38"/>
        <v>761403</v>
      </c>
      <c r="AK319" s="179">
        <f t="shared" si="44"/>
        <v>0</v>
      </c>
      <c r="AL319" s="287" t="s">
        <v>4910</v>
      </c>
      <c r="AM319" s="311"/>
      <c r="AN319" s="312"/>
      <c r="AO319" s="128">
        <f t="shared" si="39"/>
        <v>761343</v>
      </c>
      <c r="AP319" s="169">
        <f>0.7%+0.12%</f>
        <v>0.0082</v>
      </c>
      <c r="AQ319" s="275">
        <f t="shared" si="40"/>
        <v>100</v>
      </c>
      <c r="AR319" s="275">
        <v>100</v>
      </c>
      <c r="AS319" s="218"/>
      <c r="AT319" s="218"/>
      <c r="AU319" s="218"/>
      <c r="AV319" s="218"/>
      <c r="AW319" s="218"/>
      <c r="AX319" s="218"/>
      <c r="AY319" s="218"/>
      <c r="AZ319" s="218"/>
      <c r="BA319" s="292"/>
      <c r="BB319" s="218"/>
      <c r="BC319" s="292"/>
      <c r="BD319" s="128">
        <v>261343</v>
      </c>
      <c r="BE319" s="128">
        <v>500000</v>
      </c>
      <c r="CI319" s="128" t="s">
        <v>376</v>
      </c>
      <c r="CJ319" s="128" t="s">
        <v>387</v>
      </c>
      <c r="CK319" s="128" t="s">
        <v>377</v>
      </c>
    </row>
    <row r="320" s="128" customFormat="1" customHeight="1" spans="1:89">
      <c r="A320" s="128">
        <v>267</v>
      </c>
      <c r="C320" s="171">
        <v>45148</v>
      </c>
      <c r="D320" s="286" t="s">
        <v>4911</v>
      </c>
      <c r="F320" s="287" t="s">
        <v>4912</v>
      </c>
      <c r="G320" s="177" t="s">
        <v>4913</v>
      </c>
      <c r="H320" s="1019" t="s">
        <v>4914</v>
      </c>
      <c r="I320" s="273" t="s">
        <v>4915</v>
      </c>
      <c r="J320" s="128">
        <v>126.9</v>
      </c>
      <c r="K320" s="128">
        <v>126.9</v>
      </c>
      <c r="L320" s="128">
        <v>5999.38</v>
      </c>
      <c r="M320" s="307">
        <v>761321</v>
      </c>
      <c r="N320" s="308">
        <f>6049.38-50</f>
        <v>5999.38</v>
      </c>
      <c r="O320" s="168">
        <v>698459.63</v>
      </c>
      <c r="P320" s="286" t="s">
        <v>4916</v>
      </c>
      <c r="Q320" s="310">
        <v>45883</v>
      </c>
      <c r="R320" s="218"/>
      <c r="S320" s="219"/>
      <c r="T320" s="1018" t="s">
        <v>1394</v>
      </c>
      <c r="U320" s="177" t="s">
        <v>410</v>
      </c>
      <c r="V320" s="218">
        <v>10000</v>
      </c>
      <c r="W320" s="219" t="s">
        <v>1771</v>
      </c>
      <c r="X320" s="218">
        <v>62321</v>
      </c>
      <c r="Y320" s="219" t="s">
        <v>1893</v>
      </c>
      <c r="Z320" s="128">
        <v>80000</v>
      </c>
      <c r="AA320" s="128" t="s">
        <v>3265</v>
      </c>
      <c r="AB320" s="218">
        <v>609000</v>
      </c>
      <c r="AC320" s="128" t="s">
        <v>1618</v>
      </c>
      <c r="AH320" s="218">
        <f t="shared" si="38"/>
        <v>761321</v>
      </c>
      <c r="AK320" s="179">
        <f t="shared" si="44"/>
        <v>0</v>
      </c>
      <c r="AL320" s="287" t="s">
        <v>4917</v>
      </c>
      <c r="AM320" s="311"/>
      <c r="AN320" s="312"/>
      <c r="AO320" s="128">
        <f t="shared" si="39"/>
        <v>761321</v>
      </c>
      <c r="AP320" s="169">
        <f>0.7%+0.05%+0.12%</f>
        <v>0.0087</v>
      </c>
      <c r="AQ320" s="275">
        <f t="shared" si="40"/>
        <v>300</v>
      </c>
      <c r="AR320" s="218"/>
      <c r="AS320" s="218"/>
      <c r="AT320" s="218"/>
      <c r="AU320" s="128">
        <v>100</v>
      </c>
      <c r="AV320" s="218"/>
      <c r="AW320" s="218">
        <v>200</v>
      </c>
      <c r="AX320" s="218"/>
      <c r="AY320" s="218"/>
      <c r="AZ320" s="218">
        <v>152321</v>
      </c>
      <c r="BA320" s="292"/>
      <c r="BB320" s="218"/>
      <c r="BC320" s="292"/>
      <c r="BD320" s="128">
        <v>609000</v>
      </c>
      <c r="CI320" s="128" t="s">
        <v>376</v>
      </c>
      <c r="CJ320" s="128" t="s">
        <v>387</v>
      </c>
      <c r="CK320" s="128" t="s">
        <v>377</v>
      </c>
    </row>
    <row r="321" s="128" customFormat="1" ht="51" customHeight="1" spans="1:89">
      <c r="A321" s="128">
        <v>268</v>
      </c>
      <c r="B321" s="128"/>
      <c r="C321" s="171">
        <v>45810</v>
      </c>
      <c r="D321" s="286" t="s">
        <v>4918</v>
      </c>
      <c r="F321" s="287" t="s">
        <v>4919</v>
      </c>
      <c r="G321" s="177" t="s">
        <v>4920</v>
      </c>
      <c r="H321" s="177"/>
      <c r="I321" s="323" t="s">
        <v>4921</v>
      </c>
      <c r="J321" s="128">
        <v>126.5</v>
      </c>
      <c r="K321" s="128">
        <v>126.5</v>
      </c>
      <c r="L321" s="272">
        <v>6000</v>
      </c>
      <c r="M321" s="307">
        <v>759000</v>
      </c>
      <c r="N321" s="308">
        <v>5999.53</v>
      </c>
      <c r="O321" s="309">
        <v>696330.28</v>
      </c>
      <c r="P321" s="286" t="s">
        <v>4922</v>
      </c>
      <c r="Q321" s="310">
        <v>45883</v>
      </c>
      <c r="R321" s="218"/>
      <c r="S321" s="219"/>
      <c r="T321" s="284"/>
      <c r="U321" s="219" t="s">
        <v>373</v>
      </c>
      <c r="V321" s="218">
        <f>10000-10000</f>
        <v>0</v>
      </c>
      <c r="W321" s="219" t="s">
        <v>2852</v>
      </c>
      <c r="X321" s="218">
        <v>20000</v>
      </c>
      <c r="Y321" s="219" t="s">
        <v>4923</v>
      </c>
      <c r="Z321" s="218">
        <v>20000</v>
      </c>
      <c r="AA321" s="219" t="s">
        <v>3350</v>
      </c>
      <c r="AB321" s="218">
        <v>288940</v>
      </c>
      <c r="AC321" s="128" t="s">
        <v>3695</v>
      </c>
      <c r="AD321" s="218">
        <v>60</v>
      </c>
      <c r="AE321" s="219">
        <v>45839</v>
      </c>
      <c r="AF321" s="128">
        <v>450000</v>
      </c>
      <c r="AG321" s="171">
        <v>45859</v>
      </c>
      <c r="AH321" s="218">
        <f t="shared" si="38"/>
        <v>779000</v>
      </c>
      <c r="AK321" s="179">
        <f t="shared" si="44"/>
        <v>-20000</v>
      </c>
      <c r="AL321" s="287" t="s">
        <v>4924</v>
      </c>
      <c r="AM321" s="311" t="s">
        <v>3614</v>
      </c>
      <c r="AN321" s="312"/>
      <c r="AO321" s="128">
        <f t="shared" si="39"/>
        <v>758940</v>
      </c>
      <c r="AP321" s="173">
        <f>0.7%+0.05%+0.08%+0.03%</f>
        <v>0.0086</v>
      </c>
      <c r="AQ321" s="275">
        <f t="shared" si="40"/>
        <v>100</v>
      </c>
      <c r="AR321" s="218"/>
      <c r="AS321" s="218">
        <v>100</v>
      </c>
      <c r="AT321" s="218"/>
      <c r="AU321" s="218"/>
      <c r="AV321" s="218"/>
      <c r="AW321" s="218"/>
      <c r="AX321" s="218"/>
      <c r="AY321" s="218"/>
      <c r="AZ321" s="218"/>
      <c r="BA321" s="292"/>
      <c r="BB321" s="218"/>
      <c r="BC321" s="292"/>
      <c r="BV321" s="128">
        <v>308940</v>
      </c>
      <c r="BW321" s="128">
        <v>450000</v>
      </c>
      <c r="CI321" s="128" t="s">
        <v>376</v>
      </c>
      <c r="CK321" s="128" t="s">
        <v>377</v>
      </c>
    </row>
    <row r="322" s="128" customFormat="1" customHeight="1" spans="1:89">
      <c r="A322" s="128">
        <v>269</v>
      </c>
      <c r="C322" s="171">
        <v>45199</v>
      </c>
      <c r="D322" s="286" t="s">
        <v>4925</v>
      </c>
      <c r="F322" s="311" t="s">
        <v>4926</v>
      </c>
      <c r="G322" s="177" t="s">
        <v>4927</v>
      </c>
      <c r="H322" s="177"/>
      <c r="I322" s="276" t="s">
        <v>4928</v>
      </c>
      <c r="J322" s="128">
        <v>126.9</v>
      </c>
      <c r="K322" s="128">
        <v>126.9</v>
      </c>
      <c r="L322" s="128">
        <v>6074.38</v>
      </c>
      <c r="M322" s="307">
        <v>770839</v>
      </c>
      <c r="N322" s="308">
        <v>6074.38</v>
      </c>
      <c r="O322" s="168">
        <v>707191.74</v>
      </c>
      <c r="P322" s="286" t="s">
        <v>4929</v>
      </c>
      <c r="Q322" s="310">
        <v>45883</v>
      </c>
      <c r="R322" s="218"/>
      <c r="S322" s="278"/>
      <c r="T322" s="284"/>
      <c r="U322" s="278" t="s">
        <v>677</v>
      </c>
      <c r="V322" s="218">
        <v>10000</v>
      </c>
      <c r="W322" s="278" t="s">
        <v>571</v>
      </c>
      <c r="X322" s="218">
        <v>390839</v>
      </c>
      <c r="Y322" s="278" t="s">
        <v>430</v>
      </c>
      <c r="Z322" s="218">
        <v>370000</v>
      </c>
      <c r="AA322" s="278" t="s">
        <v>756</v>
      </c>
      <c r="AB322" s="218"/>
      <c r="AH322" s="218">
        <f t="shared" si="38"/>
        <v>770839</v>
      </c>
      <c r="AK322" s="179">
        <f t="shared" si="44"/>
        <v>0</v>
      </c>
      <c r="AL322" s="287" t="s">
        <v>4930</v>
      </c>
      <c r="AM322" s="311"/>
      <c r="AN322" s="312"/>
      <c r="AO322" s="128">
        <f t="shared" si="39"/>
        <v>770839</v>
      </c>
      <c r="AP322" s="169">
        <f>0.7%+0.04%+0.12%</f>
        <v>0.0086</v>
      </c>
      <c r="AQ322" s="275">
        <f t="shared" si="40"/>
        <v>0</v>
      </c>
      <c r="AR322" s="218"/>
      <c r="AS322" s="218"/>
      <c r="AT322" s="218"/>
      <c r="AU322" s="218"/>
      <c r="AV322" s="218"/>
      <c r="AW322" s="218"/>
      <c r="AX322" s="218"/>
      <c r="AY322" s="218"/>
      <c r="AZ322" s="218"/>
      <c r="BA322" s="292"/>
      <c r="BB322" s="218">
        <v>400839</v>
      </c>
      <c r="BC322" s="292"/>
      <c r="BL322" s="128">
        <v>370000</v>
      </c>
      <c r="CI322" s="128" t="s">
        <v>376</v>
      </c>
      <c r="CJ322" s="128" t="s">
        <v>387</v>
      </c>
      <c r="CK322" s="128" t="s">
        <v>377</v>
      </c>
    </row>
    <row r="323" s="128" customFormat="1" ht="41" customHeight="1" spans="1:89">
      <c r="A323" s="128">
        <v>270</v>
      </c>
      <c r="C323" s="171">
        <v>45198</v>
      </c>
      <c r="D323" s="286" t="s">
        <v>4931</v>
      </c>
      <c r="F323" s="287" t="s">
        <v>4932</v>
      </c>
      <c r="G323" s="177" t="s">
        <v>4933</v>
      </c>
      <c r="H323" s="177"/>
      <c r="I323" s="276" t="s">
        <v>4934</v>
      </c>
      <c r="J323" s="128">
        <v>126.5</v>
      </c>
      <c r="K323" s="128">
        <v>126.5</v>
      </c>
      <c r="L323" s="128">
        <v>6068.385</v>
      </c>
      <c r="M323" s="307">
        <v>767651</v>
      </c>
      <c r="N323" s="308">
        <v>6068.38</v>
      </c>
      <c r="O323" s="168">
        <v>704266.97</v>
      </c>
      <c r="P323" s="286" t="s">
        <v>4935</v>
      </c>
      <c r="Q323" s="310">
        <v>45883</v>
      </c>
      <c r="R323" s="218"/>
      <c r="S323" s="278"/>
      <c r="T323" s="284"/>
      <c r="U323" s="278" t="s">
        <v>486</v>
      </c>
      <c r="V323" s="218"/>
      <c r="W323" s="278"/>
      <c r="X323" s="218">
        <v>20000</v>
      </c>
      <c r="Y323" s="278" t="s">
        <v>571</v>
      </c>
      <c r="Z323" s="128">
        <v>407590</v>
      </c>
      <c r="AA323" s="128" t="s">
        <v>571</v>
      </c>
      <c r="AB323" s="218">
        <v>340000</v>
      </c>
      <c r="AC323" s="278" t="s">
        <v>3100</v>
      </c>
      <c r="AD323" s="218">
        <v>61</v>
      </c>
      <c r="AE323" s="278" t="s">
        <v>3538</v>
      </c>
      <c r="AH323" s="218">
        <f t="shared" si="38"/>
        <v>767651</v>
      </c>
      <c r="AK323" s="179">
        <f t="shared" si="44"/>
        <v>0</v>
      </c>
      <c r="AL323" s="287" t="s">
        <v>4936</v>
      </c>
      <c r="AM323" s="311"/>
      <c r="AN323" s="312"/>
      <c r="AO323" s="128">
        <f t="shared" si="39"/>
        <v>767590</v>
      </c>
      <c r="AP323" s="169">
        <f>0.7%+0.05%+0.12%</f>
        <v>0.0087</v>
      </c>
      <c r="AQ323" s="275">
        <f t="shared" si="40"/>
        <v>100</v>
      </c>
      <c r="AR323" s="218"/>
      <c r="AS323" s="218"/>
      <c r="AT323" s="218">
        <v>100</v>
      </c>
      <c r="AU323" s="218"/>
      <c r="AV323" s="218"/>
      <c r="AW323" s="218"/>
      <c r="AX323" s="218"/>
      <c r="AY323" s="218"/>
      <c r="AZ323" s="218"/>
      <c r="BB323" s="218">
        <v>767590</v>
      </c>
      <c r="CI323" s="128" t="s">
        <v>376</v>
      </c>
      <c r="CJ323" s="128" t="s">
        <v>387</v>
      </c>
      <c r="CK323" s="128" t="s">
        <v>377</v>
      </c>
    </row>
    <row r="324" s="128" customFormat="1" customHeight="1" spans="1:89">
      <c r="A324" s="128">
        <v>271</v>
      </c>
      <c r="C324" s="171">
        <v>45418</v>
      </c>
      <c r="D324" s="286" t="s">
        <v>4937</v>
      </c>
      <c r="F324" s="287" t="s">
        <v>4938</v>
      </c>
      <c r="G324" s="284" t="s">
        <v>4939</v>
      </c>
      <c r="H324" s="1018" t="s">
        <v>4940</v>
      </c>
      <c r="I324" s="276" t="s">
        <v>4941</v>
      </c>
      <c r="J324" s="128">
        <v>126.9</v>
      </c>
      <c r="K324" s="128">
        <v>126.9</v>
      </c>
      <c r="L324" s="128">
        <v>6095</v>
      </c>
      <c r="M324" s="307">
        <v>773456</v>
      </c>
      <c r="N324" s="308">
        <v>6094.38</v>
      </c>
      <c r="O324" s="309">
        <v>709592.66</v>
      </c>
      <c r="P324" s="286" t="s">
        <v>4942</v>
      </c>
      <c r="Q324" s="310">
        <v>45883</v>
      </c>
      <c r="R324" s="218"/>
      <c r="S324" s="278"/>
      <c r="T324" s="284"/>
      <c r="U324" s="278" t="s">
        <v>383</v>
      </c>
      <c r="V324" s="218">
        <v>20000</v>
      </c>
      <c r="W324" s="278" t="s">
        <v>726</v>
      </c>
      <c r="X324" s="218">
        <v>123456</v>
      </c>
      <c r="Y324" s="278" t="s">
        <v>3862</v>
      </c>
      <c r="Z324" s="128">
        <v>360000</v>
      </c>
      <c r="AA324" s="128" t="s">
        <v>4943</v>
      </c>
      <c r="AB324" s="218">
        <v>70000</v>
      </c>
      <c r="AC324" s="278" t="s">
        <v>882</v>
      </c>
      <c r="AD324" s="218">
        <v>200000</v>
      </c>
      <c r="AE324" s="278" t="s">
        <v>4944</v>
      </c>
      <c r="AH324" s="218">
        <f t="shared" si="38"/>
        <v>773456</v>
      </c>
      <c r="AK324" s="179">
        <f t="shared" si="44"/>
        <v>0</v>
      </c>
      <c r="AL324" s="287" t="s">
        <v>4945</v>
      </c>
      <c r="AM324" s="311"/>
      <c r="AN324" s="312"/>
      <c r="AO324" s="128">
        <f t="shared" si="39"/>
        <v>773456</v>
      </c>
      <c r="AP324" s="173">
        <f>0.6%+0.12%</f>
        <v>0.0072</v>
      </c>
      <c r="AQ324" s="275">
        <f t="shared" si="40"/>
        <v>0</v>
      </c>
      <c r="AR324" s="218"/>
      <c r="AS324" s="218"/>
      <c r="AT324" s="218"/>
      <c r="AU324" s="218"/>
      <c r="AV324" s="218"/>
      <c r="AW324" s="218"/>
      <c r="AX324" s="218"/>
      <c r="AY324" s="218"/>
      <c r="AZ324" s="218"/>
      <c r="BA324" s="292"/>
      <c r="BB324" s="218"/>
      <c r="BC324" s="292"/>
      <c r="BJ324" s="128">
        <v>573456</v>
      </c>
      <c r="BK324" s="128">
        <v>200000</v>
      </c>
      <c r="CI324" s="128" t="s">
        <v>376</v>
      </c>
      <c r="CJ324" s="128" t="s">
        <v>387</v>
      </c>
      <c r="CK324" s="128" t="s">
        <v>377</v>
      </c>
    </row>
    <row r="325" s="128" customFormat="1" customHeight="1" spans="1:89">
      <c r="A325" s="128">
        <v>272</v>
      </c>
      <c r="C325" s="171">
        <v>45415</v>
      </c>
      <c r="D325" s="286" t="s">
        <v>4946</v>
      </c>
      <c r="F325" s="287" t="s">
        <v>4947</v>
      </c>
      <c r="G325" s="284" t="s">
        <v>4948</v>
      </c>
      <c r="H325" s="1019" t="s">
        <v>4949</v>
      </c>
      <c r="I325" s="276" t="s">
        <v>4950</v>
      </c>
      <c r="J325" s="128">
        <v>126.5</v>
      </c>
      <c r="K325" s="128">
        <v>126.5</v>
      </c>
      <c r="L325" s="128">
        <v>6088.38</v>
      </c>
      <c r="M325" s="307">
        <v>770181</v>
      </c>
      <c r="N325" s="308">
        <v>6088.38</v>
      </c>
      <c r="O325" s="309">
        <v>706588.07</v>
      </c>
      <c r="P325" s="286" t="s">
        <v>4951</v>
      </c>
      <c r="Q325" s="310">
        <v>45883</v>
      </c>
      <c r="R325" s="218"/>
      <c r="S325" s="278"/>
      <c r="T325" s="284"/>
      <c r="U325" s="278" t="s">
        <v>410</v>
      </c>
      <c r="V325" s="218"/>
      <c r="W325" s="320"/>
      <c r="X325" s="218">
        <v>20000</v>
      </c>
      <c r="Y325" s="219" t="s">
        <v>412</v>
      </c>
      <c r="Z325" s="218">
        <v>134120</v>
      </c>
      <c r="AA325" s="219" t="s">
        <v>1082</v>
      </c>
      <c r="AB325" s="218">
        <v>616000</v>
      </c>
      <c r="AC325" s="219" t="s">
        <v>599</v>
      </c>
      <c r="AD325" s="218">
        <v>61</v>
      </c>
      <c r="AE325" s="278" t="s">
        <v>3538</v>
      </c>
      <c r="AH325" s="218">
        <f t="shared" si="38"/>
        <v>770181</v>
      </c>
      <c r="AK325" s="179">
        <f t="shared" si="44"/>
        <v>0</v>
      </c>
      <c r="AL325" s="287" t="s">
        <v>4952</v>
      </c>
      <c r="AM325" s="311"/>
      <c r="AN325" s="312"/>
      <c r="AO325" s="128">
        <f t="shared" si="39"/>
        <v>770120</v>
      </c>
      <c r="AP325" s="169">
        <f>0.7%+0.12%</f>
        <v>0.0082</v>
      </c>
      <c r="AQ325" s="275">
        <f t="shared" si="40"/>
        <v>0</v>
      </c>
      <c r="AR325" s="218"/>
      <c r="AS325" s="218"/>
      <c r="AT325" s="218"/>
      <c r="AU325" s="218"/>
      <c r="AV325" s="218"/>
      <c r="AW325" s="218"/>
      <c r="AX325" s="218"/>
      <c r="AY325" s="218"/>
      <c r="AZ325" s="218"/>
      <c r="BA325" s="292"/>
      <c r="BB325" s="218"/>
      <c r="BC325" s="292"/>
      <c r="BI325" s="128">
        <v>154120</v>
      </c>
      <c r="BK325" s="128">
        <v>616000</v>
      </c>
      <c r="CI325" s="128" t="s">
        <v>376</v>
      </c>
      <c r="CJ325" s="128" t="s">
        <v>387</v>
      </c>
      <c r="CK325" s="128" t="s">
        <v>377</v>
      </c>
    </row>
    <row r="326" s="128" customFormat="1" customHeight="1" spans="1:89">
      <c r="A326" s="128">
        <v>273</v>
      </c>
      <c r="C326" s="171">
        <v>45362</v>
      </c>
      <c r="D326" s="286" t="s">
        <v>4953</v>
      </c>
      <c r="F326" s="311" t="s">
        <v>4954</v>
      </c>
      <c r="G326" s="177" t="s">
        <v>4955</v>
      </c>
      <c r="H326" s="1019" t="s">
        <v>4956</v>
      </c>
      <c r="I326" s="276" t="s">
        <v>4957</v>
      </c>
      <c r="J326" s="128">
        <v>126.9</v>
      </c>
      <c r="K326" s="128">
        <v>126.9</v>
      </c>
      <c r="L326" s="128">
        <v>7120</v>
      </c>
      <c r="M326" s="307">
        <v>903528</v>
      </c>
      <c r="N326" s="308">
        <v>7104</v>
      </c>
      <c r="O326" s="168">
        <v>828924.77</v>
      </c>
      <c r="P326" s="286" t="s">
        <v>4958</v>
      </c>
      <c r="Q326" s="310">
        <v>45883</v>
      </c>
      <c r="R326" s="218"/>
      <c r="S326" s="278"/>
      <c r="T326" s="284"/>
      <c r="U326" s="278" t="s">
        <v>677</v>
      </c>
      <c r="V326" s="218">
        <v>20000</v>
      </c>
      <c r="W326" s="278" t="s">
        <v>4959</v>
      </c>
      <c r="X326" s="218">
        <f>683528+20000</f>
        <v>703528</v>
      </c>
      <c r="Y326" s="278" t="s">
        <v>553</v>
      </c>
      <c r="Z326" s="218">
        <v>180000</v>
      </c>
      <c r="AA326" s="278" t="s">
        <v>827</v>
      </c>
      <c r="AB326" s="218"/>
      <c r="AH326" s="218">
        <f t="shared" si="38"/>
        <v>903528</v>
      </c>
      <c r="AK326" s="179">
        <f t="shared" si="44"/>
        <v>0</v>
      </c>
      <c r="AL326" s="287" t="s">
        <v>4960</v>
      </c>
      <c r="AM326" s="311"/>
      <c r="AN326" s="312"/>
      <c r="AO326" s="128">
        <f t="shared" si="39"/>
        <v>903528</v>
      </c>
      <c r="AP326" s="173">
        <f>0.7%+0.05%+0.14%</f>
        <v>0.0089</v>
      </c>
      <c r="AQ326" s="275">
        <f t="shared" si="40"/>
        <v>0</v>
      </c>
      <c r="AR326" s="218"/>
      <c r="AS326" s="218"/>
      <c r="AT326" s="218"/>
      <c r="AU326" s="218"/>
      <c r="AV326" s="218"/>
      <c r="AW326" s="218"/>
      <c r="AX326" s="218"/>
      <c r="AY326" s="218"/>
      <c r="AZ326" s="218"/>
      <c r="BA326" s="292"/>
      <c r="BB326" s="218"/>
      <c r="BC326" s="292"/>
      <c r="BG326" s="128">
        <v>723528</v>
      </c>
      <c r="BI326" s="128">
        <v>180000</v>
      </c>
      <c r="CI326" s="128" t="s">
        <v>376</v>
      </c>
      <c r="CJ326" s="128" t="s">
        <v>387</v>
      </c>
      <c r="CK326" s="128" t="s">
        <v>377</v>
      </c>
    </row>
    <row r="327" s="128" customFormat="1" customHeight="1" spans="1:89">
      <c r="A327" s="128">
        <v>274</v>
      </c>
      <c r="B327" s="128"/>
      <c r="C327" s="171">
        <v>45715</v>
      </c>
      <c r="D327" s="286" t="s">
        <v>4961</v>
      </c>
      <c r="F327" s="287" t="s">
        <v>4962</v>
      </c>
      <c r="G327" s="177" t="s">
        <v>4963</v>
      </c>
      <c r="H327" s="1019" t="s">
        <v>4964</v>
      </c>
      <c r="I327" s="276" t="s">
        <v>4965</v>
      </c>
      <c r="J327" s="128">
        <v>126.5</v>
      </c>
      <c r="K327" s="128">
        <v>126.5</v>
      </c>
      <c r="L327" s="128">
        <v>6844</v>
      </c>
      <c r="M327" s="307">
        <v>865766</v>
      </c>
      <c r="N327" s="308">
        <v>6844</v>
      </c>
      <c r="O327" s="309">
        <v>794280.73</v>
      </c>
      <c r="P327" s="286" t="s">
        <v>4966</v>
      </c>
      <c r="Q327" s="310">
        <v>45883</v>
      </c>
      <c r="R327" s="218"/>
      <c r="S327" s="278"/>
      <c r="T327" s="272"/>
      <c r="U327" s="219" t="s">
        <v>2278</v>
      </c>
      <c r="V327" s="218">
        <v>10000</v>
      </c>
      <c r="W327" s="278" t="s">
        <v>526</v>
      </c>
      <c r="X327" s="218">
        <v>125698</v>
      </c>
      <c r="Y327" s="318" t="s">
        <v>3468</v>
      </c>
      <c r="Z327" s="218">
        <v>10000</v>
      </c>
      <c r="AA327" s="278" t="s">
        <v>4967</v>
      </c>
      <c r="AB327" s="218">
        <v>730000</v>
      </c>
      <c r="AC327" s="128" t="s">
        <v>4968</v>
      </c>
      <c r="AD327" s="128">
        <v>-10000</v>
      </c>
      <c r="AF327" s="218">
        <v>68</v>
      </c>
      <c r="AG327" s="278" t="s">
        <v>3370</v>
      </c>
      <c r="AH327" s="218">
        <f t="shared" ref="AH327:AH390" si="45">V327+X327+Z327+AB327+AD327+AF327</f>
        <v>865766</v>
      </c>
      <c r="AK327" s="179">
        <f t="shared" si="44"/>
        <v>0</v>
      </c>
      <c r="AL327" s="287" t="s">
        <v>4969</v>
      </c>
      <c r="AM327" s="311" t="s">
        <v>4970</v>
      </c>
      <c r="AN327" s="312"/>
      <c r="AO327" s="128">
        <f t="shared" ref="AO327:AO390" si="46">SUM(AZ327:CF327)</f>
        <v>865698</v>
      </c>
      <c r="AP327" s="169">
        <f>0.7%+0.03%+0.12%+0.03%</f>
        <v>0.0088</v>
      </c>
      <c r="AQ327" s="275">
        <f t="shared" ref="AQ327:AQ390" si="47">AR327+AS327+AT327+AU327+AV327+AW327+AX327+AY327</f>
        <v>0</v>
      </c>
      <c r="AR327" s="218"/>
      <c r="AS327" s="218"/>
      <c r="AT327" s="218"/>
      <c r="AU327" s="218"/>
      <c r="AV327" s="218"/>
      <c r="AW327" s="218"/>
      <c r="AX327" s="218"/>
      <c r="AY327" s="218"/>
      <c r="AZ327" s="218"/>
      <c r="BA327" s="292"/>
      <c r="BB327" s="218"/>
      <c r="BC327" s="292"/>
      <c r="BR327" s="128">
        <v>135698</v>
      </c>
      <c r="BS327" s="128">
        <v>730000</v>
      </c>
      <c r="CI327" s="128" t="s">
        <v>376</v>
      </c>
      <c r="CK327" s="128" t="s">
        <v>377</v>
      </c>
    </row>
    <row r="328" s="101" customFormat="1" customHeight="1" spans="1:89">
      <c r="D328" s="314"/>
      <c r="F328" s="300"/>
      <c r="G328" s="200"/>
      <c r="H328" s="200"/>
      <c r="I328" s="269" t="s">
        <v>4971</v>
      </c>
      <c r="J328" s="295">
        <v>45.49</v>
      </c>
      <c r="M328" s="296"/>
      <c r="N328" s="297">
        <v>101303</v>
      </c>
      <c r="O328" s="315"/>
      <c r="P328" s="314"/>
      <c r="Q328" s="316"/>
      <c r="R328" s="202"/>
      <c r="S328" s="204"/>
      <c r="T328" s="290"/>
      <c r="U328" s="289"/>
      <c r="V328" s="202"/>
      <c r="W328" s="299"/>
      <c r="AB328" s="202"/>
      <c r="AH328" s="202">
        <f t="shared" si="45"/>
        <v>0</v>
      </c>
      <c r="AK328" s="201">
        <f t="shared" si="44"/>
        <v>0</v>
      </c>
      <c r="AL328" s="300"/>
      <c r="AM328" s="301"/>
      <c r="AN328" s="317"/>
      <c r="AO328" s="101">
        <f t="shared" si="46"/>
        <v>0</v>
      </c>
      <c r="AP328" s="207">
        <v>0.02</v>
      </c>
      <c r="AQ328" s="268">
        <f t="shared" si="47"/>
        <v>0</v>
      </c>
      <c r="AR328" s="202"/>
      <c r="AS328" s="202"/>
      <c r="AT328" s="202"/>
      <c r="AU328" s="202"/>
      <c r="AV328" s="202"/>
      <c r="AW328" s="202"/>
      <c r="AX328" s="202"/>
      <c r="AY328" s="202"/>
      <c r="AZ328" s="202"/>
      <c r="BA328" s="291"/>
      <c r="BB328" s="202"/>
      <c r="BC328" s="291"/>
    </row>
    <row r="329" s="101" customFormat="1" customHeight="1" spans="1:89">
      <c r="D329" s="314"/>
      <c r="F329" s="300"/>
      <c r="G329" s="200" t="s">
        <v>4972</v>
      </c>
      <c r="H329" s="200"/>
      <c r="I329" s="269" t="s">
        <v>4973</v>
      </c>
      <c r="J329" s="295">
        <v>14.74</v>
      </c>
      <c r="K329" s="101"/>
      <c r="M329" s="296">
        <v>32815</v>
      </c>
      <c r="N329" s="297">
        <v>32815</v>
      </c>
      <c r="O329" s="315"/>
      <c r="P329" s="314"/>
      <c r="Q329" s="316"/>
      <c r="R329" s="202"/>
      <c r="S329" s="204"/>
      <c r="T329" s="199"/>
      <c r="U329" s="204"/>
      <c r="V329" s="202">
        <v>32815</v>
      </c>
      <c r="W329" s="204" t="s">
        <v>3357</v>
      </c>
      <c r="X329" s="202"/>
      <c r="Y329" s="299"/>
      <c r="AB329" s="202"/>
      <c r="AH329" s="202">
        <f t="shared" si="45"/>
        <v>32815</v>
      </c>
      <c r="AK329" s="201">
        <f t="shared" si="44"/>
        <v>0</v>
      </c>
      <c r="AL329" s="300"/>
      <c r="AM329" s="301"/>
      <c r="AN329" s="317"/>
      <c r="AO329" s="101">
        <f t="shared" si="46"/>
        <v>32815</v>
      </c>
      <c r="AP329" s="207">
        <v>0.02</v>
      </c>
      <c r="AQ329" s="268">
        <f t="shared" si="47"/>
        <v>0</v>
      </c>
      <c r="AR329" s="202"/>
      <c r="AS329" s="202"/>
      <c r="AT329" s="202"/>
      <c r="AU329" s="202"/>
      <c r="AV329" s="202"/>
      <c r="AW329" s="202"/>
      <c r="AX329" s="202"/>
      <c r="AY329" s="202"/>
      <c r="AZ329" s="202"/>
      <c r="BA329" s="291"/>
      <c r="BB329" s="202"/>
      <c r="BC329" s="291"/>
      <c r="BU329" s="101">
        <v>32815</v>
      </c>
    </row>
    <row r="330" s="101" customFormat="1" customHeight="1" spans="1:89">
      <c r="D330" s="314"/>
      <c r="F330" s="300"/>
      <c r="G330" s="200" t="s">
        <v>4974</v>
      </c>
      <c r="H330" s="200"/>
      <c r="I330" s="269" t="s">
        <v>4975</v>
      </c>
      <c r="J330" s="295">
        <v>22.03</v>
      </c>
      <c r="M330" s="296">
        <v>49056</v>
      </c>
      <c r="N330" s="297">
        <v>49056</v>
      </c>
      <c r="O330" s="315"/>
      <c r="P330" s="314"/>
      <c r="Q330" s="316"/>
      <c r="R330" s="202"/>
      <c r="S330" s="204"/>
      <c r="T330" s="199"/>
      <c r="U330" s="204"/>
      <c r="V330" s="202">
        <v>49056</v>
      </c>
      <c r="W330" s="204" t="s">
        <v>3681</v>
      </c>
      <c r="X330" s="202"/>
      <c r="Y330" s="299"/>
      <c r="AB330" s="202"/>
      <c r="AH330" s="202">
        <f t="shared" si="45"/>
        <v>49056</v>
      </c>
      <c r="AK330" s="201">
        <f t="shared" ref="AK330:AK346" si="48">M330-AH330</f>
        <v>0</v>
      </c>
      <c r="AL330" s="300"/>
      <c r="AM330" s="301"/>
      <c r="AN330" s="317"/>
      <c r="AO330" s="101">
        <f t="shared" si="46"/>
        <v>49056</v>
      </c>
      <c r="AP330" s="207">
        <v>0.02</v>
      </c>
      <c r="AQ330" s="268">
        <f t="shared" si="47"/>
        <v>0</v>
      </c>
      <c r="AR330" s="202"/>
      <c r="AS330" s="202"/>
      <c r="AT330" s="202"/>
      <c r="AU330" s="202"/>
      <c r="AV330" s="202"/>
      <c r="AW330" s="202"/>
      <c r="AX330" s="202"/>
      <c r="AY330" s="202"/>
      <c r="AZ330" s="202"/>
      <c r="BB330" s="202"/>
      <c r="BU330" s="101">
        <v>49056</v>
      </c>
    </row>
    <row r="331" s="101" customFormat="1" customHeight="1" spans="1:89">
      <c r="D331" s="314"/>
      <c r="F331" s="300"/>
      <c r="G331" s="199"/>
      <c r="H331" s="199"/>
      <c r="I331" s="269" t="s">
        <v>4976</v>
      </c>
      <c r="J331" s="295">
        <v>69.4</v>
      </c>
      <c r="M331" s="296"/>
      <c r="N331" s="202" t="s">
        <v>3345</v>
      </c>
      <c r="O331" s="315"/>
      <c r="P331" s="314"/>
      <c r="Q331" s="316"/>
      <c r="R331" s="202"/>
      <c r="S331" s="204"/>
      <c r="T331" s="199"/>
      <c r="U331" s="199"/>
      <c r="V331" s="202"/>
      <c r="W331" s="298"/>
      <c r="X331" s="202"/>
      <c r="Y331" s="298"/>
      <c r="AA331" s="298"/>
      <c r="AB331" s="202"/>
      <c r="AH331" s="202">
        <f t="shared" si="45"/>
        <v>0</v>
      </c>
      <c r="AK331" s="201">
        <f t="shared" si="48"/>
        <v>0</v>
      </c>
      <c r="AL331" s="300"/>
      <c r="AM331" s="301"/>
      <c r="AN331" s="317"/>
      <c r="AO331" s="101">
        <f t="shared" si="46"/>
        <v>0</v>
      </c>
      <c r="AP331" s="207">
        <v>0.02</v>
      </c>
      <c r="AQ331" s="268">
        <f t="shared" si="47"/>
        <v>0</v>
      </c>
      <c r="AR331" s="202"/>
      <c r="AS331" s="202"/>
      <c r="AT331" s="202"/>
      <c r="AU331" s="202"/>
      <c r="AV331" s="202"/>
      <c r="AW331" s="202"/>
      <c r="AX331" s="202"/>
      <c r="AY331" s="202"/>
      <c r="AZ331" s="202"/>
      <c r="BA331" s="291"/>
      <c r="BB331" s="202"/>
      <c r="BC331" s="291"/>
    </row>
    <row r="332" s="101" customFormat="1" customHeight="1" spans="1:89">
      <c r="D332" s="314"/>
      <c r="F332" s="300"/>
      <c r="G332" s="199"/>
      <c r="H332" s="199"/>
      <c r="I332" s="269" t="s">
        <v>4977</v>
      </c>
      <c r="J332" s="295">
        <v>66.06</v>
      </c>
      <c r="M332" s="296"/>
      <c r="N332" s="202" t="s">
        <v>3345</v>
      </c>
      <c r="O332" s="315"/>
      <c r="P332" s="314"/>
      <c r="Q332" s="316"/>
      <c r="R332" s="202"/>
      <c r="S332" s="204"/>
      <c r="T332" s="199"/>
      <c r="U332" s="204"/>
      <c r="V332" s="202"/>
      <c r="W332" s="298"/>
      <c r="X332" s="202"/>
      <c r="Y332" s="205"/>
      <c r="AB332" s="202"/>
      <c r="AH332" s="202">
        <f t="shared" si="45"/>
        <v>0</v>
      </c>
      <c r="AK332" s="201">
        <f t="shared" si="48"/>
        <v>0</v>
      </c>
      <c r="AL332" s="300"/>
      <c r="AM332" s="301"/>
      <c r="AN332" s="317"/>
      <c r="AO332" s="101">
        <f t="shared" si="46"/>
        <v>0</v>
      </c>
      <c r="AP332" s="207">
        <v>0.02</v>
      </c>
      <c r="AQ332" s="268">
        <f t="shared" si="47"/>
        <v>0</v>
      </c>
      <c r="AR332" s="202"/>
      <c r="AS332" s="202"/>
      <c r="AT332" s="202"/>
      <c r="AU332" s="202"/>
      <c r="AV332" s="202"/>
      <c r="AW332" s="202"/>
      <c r="AX332" s="202"/>
      <c r="AY332" s="202"/>
      <c r="AZ332" s="202"/>
      <c r="BA332" s="291"/>
      <c r="BB332" s="202"/>
      <c r="BC332" s="291"/>
    </row>
    <row r="333" s="101" customFormat="1" customHeight="1" spans="1:89">
      <c r="D333" s="314"/>
      <c r="F333" s="300"/>
      <c r="G333" s="290" t="s">
        <v>4978</v>
      </c>
      <c r="H333" s="290"/>
      <c r="I333" s="269" t="s">
        <v>4979</v>
      </c>
      <c r="J333" s="295">
        <v>22.03</v>
      </c>
      <c r="M333" s="296">
        <v>49056</v>
      </c>
      <c r="N333" s="297">
        <v>49056</v>
      </c>
      <c r="O333" s="315"/>
      <c r="P333" s="314"/>
      <c r="Q333" s="316"/>
      <c r="R333" s="202"/>
      <c r="S333" s="204"/>
      <c r="T333" s="290"/>
      <c r="U333" s="289"/>
      <c r="V333" s="202">
        <v>49056</v>
      </c>
      <c r="W333" s="204" t="s">
        <v>3638</v>
      </c>
      <c r="X333" s="324"/>
      <c r="Z333" s="324"/>
      <c r="AB333" s="202"/>
      <c r="AH333" s="202">
        <f t="shared" si="45"/>
        <v>49056</v>
      </c>
      <c r="AK333" s="201">
        <f t="shared" si="48"/>
        <v>0</v>
      </c>
      <c r="AL333" s="300"/>
      <c r="AM333" s="301"/>
      <c r="AN333" s="317"/>
      <c r="AO333" s="101">
        <f t="shared" si="46"/>
        <v>49056</v>
      </c>
      <c r="AP333" s="207">
        <v>0.02</v>
      </c>
      <c r="AQ333" s="268">
        <f t="shared" si="47"/>
        <v>0</v>
      </c>
      <c r="AR333" s="202"/>
      <c r="AS333" s="202"/>
      <c r="AT333" s="202"/>
      <c r="AU333" s="202"/>
      <c r="AV333" s="202"/>
      <c r="AW333" s="202"/>
      <c r="AX333" s="202"/>
      <c r="AY333" s="202"/>
      <c r="AZ333" s="202"/>
      <c r="BA333" s="291"/>
      <c r="BB333" s="202"/>
      <c r="BC333" s="291"/>
      <c r="BU333" s="101">
        <v>49056</v>
      </c>
    </row>
    <row r="334" s="101" customFormat="1" customHeight="1" spans="1:89">
      <c r="D334" s="300"/>
      <c r="F334" s="325"/>
      <c r="G334" s="290" t="s">
        <v>4980</v>
      </c>
      <c r="H334" s="290"/>
      <c r="I334" s="269" t="s">
        <v>4981</v>
      </c>
      <c r="J334" s="295">
        <v>22.03</v>
      </c>
      <c r="M334" s="296">
        <v>49056</v>
      </c>
      <c r="N334" s="297">
        <v>49056</v>
      </c>
      <c r="O334" s="315"/>
      <c r="P334" s="314"/>
      <c r="Q334" s="316"/>
      <c r="R334" s="202"/>
      <c r="S334" s="204"/>
      <c r="T334" s="290"/>
      <c r="U334" s="289"/>
      <c r="V334" s="202">
        <v>49056</v>
      </c>
      <c r="W334" s="204" t="s">
        <v>3681</v>
      </c>
      <c r="AB334" s="202"/>
      <c r="AH334" s="202">
        <f t="shared" si="45"/>
        <v>49056</v>
      </c>
      <c r="AK334" s="201">
        <f t="shared" si="48"/>
        <v>0</v>
      </c>
      <c r="AL334" s="300"/>
      <c r="AM334" s="301"/>
      <c r="AN334" s="317"/>
      <c r="AO334" s="101">
        <f t="shared" si="46"/>
        <v>49056</v>
      </c>
      <c r="AP334" s="207">
        <v>0.02</v>
      </c>
      <c r="AQ334" s="268">
        <f t="shared" si="47"/>
        <v>0</v>
      </c>
      <c r="AR334" s="202"/>
      <c r="AS334" s="202"/>
      <c r="AT334" s="202"/>
      <c r="AU334" s="202"/>
      <c r="AV334" s="202"/>
      <c r="AW334" s="202"/>
      <c r="AX334" s="202"/>
      <c r="AY334" s="202"/>
      <c r="AZ334" s="202"/>
      <c r="BA334" s="291"/>
      <c r="BB334" s="202"/>
      <c r="BC334" s="291"/>
      <c r="BU334" s="101">
        <v>49056</v>
      </c>
    </row>
    <row r="335" s="101" customFormat="1" ht="65" customHeight="1" spans="1:89">
      <c r="F335" s="300"/>
      <c r="G335" s="290"/>
      <c r="H335" s="290"/>
      <c r="I335" s="269" t="s">
        <v>4982</v>
      </c>
      <c r="J335" s="295">
        <v>66.06</v>
      </c>
      <c r="M335" s="235"/>
      <c r="N335" s="202" t="s">
        <v>3345</v>
      </c>
      <c r="O335" s="158"/>
      <c r="Q335" s="205"/>
      <c r="R335" s="202"/>
      <c r="S335" s="289"/>
      <c r="T335" s="290"/>
      <c r="U335" s="289"/>
      <c r="V335" s="202"/>
      <c r="W335" s="283"/>
      <c r="X335" s="202"/>
      <c r="Y335" s="205"/>
      <c r="AA335" s="298"/>
      <c r="AB335" s="202"/>
      <c r="AH335" s="202">
        <f t="shared" si="45"/>
        <v>0</v>
      </c>
      <c r="AK335" s="201">
        <f t="shared" si="48"/>
        <v>0</v>
      </c>
      <c r="AL335" s="300"/>
      <c r="AM335" s="301"/>
      <c r="AN335" s="303"/>
      <c r="AO335" s="101">
        <f t="shared" si="46"/>
        <v>0</v>
      </c>
      <c r="AP335" s="207">
        <v>0.02</v>
      </c>
      <c r="AQ335" s="268">
        <f t="shared" si="47"/>
        <v>0</v>
      </c>
      <c r="AR335" s="202"/>
      <c r="AS335" s="202"/>
      <c r="AT335" s="202"/>
      <c r="AU335" s="202"/>
      <c r="AV335" s="202"/>
      <c r="AW335" s="202"/>
      <c r="AX335" s="202"/>
      <c r="AY335" s="202"/>
      <c r="AZ335" s="202"/>
      <c r="BB335" s="202"/>
    </row>
    <row r="336" s="101" customFormat="1" customHeight="1" spans="1:89">
      <c r="D336" s="300"/>
      <c r="F336" s="300"/>
      <c r="G336" s="290"/>
      <c r="H336" s="290"/>
      <c r="I336" s="269" t="s">
        <v>4983</v>
      </c>
      <c r="J336" s="295">
        <v>66.06</v>
      </c>
      <c r="M336" s="296"/>
      <c r="N336" s="202" t="s">
        <v>3345</v>
      </c>
      <c r="O336" s="315"/>
      <c r="P336" s="314"/>
      <c r="Q336" s="316"/>
      <c r="R336" s="202"/>
      <c r="S336" s="289"/>
      <c r="T336" s="290"/>
      <c r="U336" s="289"/>
      <c r="V336" s="202"/>
      <c r="W336" s="326"/>
      <c r="X336" s="202"/>
      <c r="Y336" s="205"/>
      <c r="AA336" s="298"/>
      <c r="AB336" s="202"/>
      <c r="AH336" s="202">
        <f t="shared" si="45"/>
        <v>0</v>
      </c>
      <c r="AK336" s="201">
        <f t="shared" si="48"/>
        <v>0</v>
      </c>
      <c r="AL336" s="300"/>
      <c r="AM336" s="301"/>
      <c r="AN336" s="317"/>
      <c r="AO336" s="101">
        <f t="shared" si="46"/>
        <v>0</v>
      </c>
      <c r="AP336" s="207">
        <v>0.02</v>
      </c>
      <c r="AQ336" s="268">
        <f t="shared" si="47"/>
        <v>0</v>
      </c>
      <c r="AR336" s="202"/>
      <c r="AS336" s="202"/>
      <c r="AT336" s="202"/>
      <c r="AU336" s="202"/>
      <c r="AV336" s="202"/>
      <c r="AW336" s="202"/>
      <c r="AX336" s="202"/>
      <c r="AY336" s="202"/>
      <c r="AZ336" s="202"/>
      <c r="BA336" s="291"/>
      <c r="BB336" s="202"/>
      <c r="BC336" s="291"/>
    </row>
    <row r="337" s="101" customFormat="1" customHeight="1" spans="1:89">
      <c r="D337" s="314"/>
      <c r="F337" s="300"/>
      <c r="G337" s="199" t="s">
        <v>4984</v>
      </c>
      <c r="H337" s="199"/>
      <c r="I337" s="269" t="s">
        <v>4985</v>
      </c>
      <c r="J337" s="295">
        <v>10.72</v>
      </c>
      <c r="M337" s="296">
        <v>23865</v>
      </c>
      <c r="N337" s="297">
        <v>23865</v>
      </c>
      <c r="O337" s="315"/>
      <c r="P337" s="314"/>
      <c r="Q337" s="316"/>
      <c r="R337" s="202"/>
      <c r="S337" s="204"/>
      <c r="T337" s="199"/>
      <c r="U337" s="204"/>
      <c r="V337" s="202">
        <v>23865</v>
      </c>
      <c r="W337" s="204" t="s">
        <v>4986</v>
      </c>
      <c r="X337" s="202"/>
      <c r="AB337" s="202"/>
      <c r="AH337" s="202">
        <f t="shared" si="45"/>
        <v>23865</v>
      </c>
      <c r="AK337" s="201">
        <f t="shared" si="48"/>
        <v>0</v>
      </c>
      <c r="AL337" s="300"/>
      <c r="AM337" s="301"/>
      <c r="AN337" s="317"/>
      <c r="AO337" s="101">
        <f t="shared" si="46"/>
        <v>23865</v>
      </c>
      <c r="AP337" s="207">
        <v>0.02</v>
      </c>
      <c r="AQ337" s="268">
        <f t="shared" si="47"/>
        <v>0</v>
      </c>
      <c r="AR337" s="202"/>
      <c r="AS337" s="202"/>
      <c r="AT337" s="202"/>
      <c r="AU337" s="202"/>
      <c r="AV337" s="202"/>
      <c r="AW337" s="202"/>
      <c r="AX337" s="202"/>
      <c r="AY337" s="202"/>
      <c r="AZ337" s="202"/>
      <c r="BA337" s="291"/>
      <c r="BB337" s="202"/>
      <c r="BC337" s="291"/>
      <c r="BV337" s="101">
        <v>23865</v>
      </c>
    </row>
    <row r="338" s="101" customFormat="1" customHeight="1" spans="1:89">
      <c r="C338" s="298"/>
      <c r="D338" s="314"/>
      <c r="F338" s="300"/>
      <c r="G338" s="199" t="s">
        <v>1653</v>
      </c>
      <c r="H338" s="199"/>
      <c r="I338" s="269" t="s">
        <v>4987</v>
      </c>
      <c r="J338" s="327">
        <v>11.05</v>
      </c>
      <c r="M338" s="296">
        <v>24611</v>
      </c>
      <c r="N338" s="297">
        <v>24611</v>
      </c>
      <c r="O338" s="315"/>
      <c r="P338" s="314"/>
      <c r="Q338" s="316"/>
      <c r="R338" s="202"/>
      <c r="S338" s="204"/>
      <c r="T338" s="199"/>
      <c r="U338" s="204"/>
      <c r="V338" s="202">
        <v>24611</v>
      </c>
      <c r="W338" s="204" t="s">
        <v>4509</v>
      </c>
      <c r="X338" s="202"/>
      <c r="Y338" s="298"/>
      <c r="AA338" s="298"/>
      <c r="AB338" s="202"/>
      <c r="AC338" s="298"/>
      <c r="AD338" s="298"/>
      <c r="AE338" s="298"/>
      <c r="AF338" s="298"/>
      <c r="AG338" s="298"/>
      <c r="AH338" s="202">
        <f t="shared" si="45"/>
        <v>24611</v>
      </c>
      <c r="AK338" s="201">
        <f t="shared" si="48"/>
        <v>0</v>
      </c>
      <c r="AL338" s="300"/>
      <c r="AM338" s="301"/>
      <c r="AN338" s="317"/>
      <c r="AO338" s="101">
        <f t="shared" si="46"/>
        <v>24611</v>
      </c>
      <c r="AP338" s="207">
        <v>0.02</v>
      </c>
      <c r="AQ338" s="268">
        <f t="shared" si="47"/>
        <v>0</v>
      </c>
      <c r="AR338" s="202"/>
      <c r="AS338" s="202"/>
      <c r="AT338" s="202"/>
      <c r="AU338" s="202"/>
      <c r="AV338" s="202"/>
      <c r="AW338" s="202"/>
      <c r="AX338" s="202"/>
      <c r="AY338" s="202"/>
      <c r="AZ338" s="202"/>
      <c r="BA338" s="291"/>
      <c r="BB338" s="202"/>
      <c r="BC338" s="291"/>
      <c r="BV338" s="101">
        <v>24611</v>
      </c>
    </row>
    <row r="339" s="101" customFormat="1" customHeight="1" spans="1:89">
      <c r="F339" s="304"/>
      <c r="G339" s="290"/>
      <c r="H339" s="290"/>
      <c r="I339" s="269" t="s">
        <v>4988</v>
      </c>
      <c r="J339" s="295">
        <v>38.52</v>
      </c>
      <c r="M339" s="296"/>
      <c r="N339" s="297">
        <v>85766</v>
      </c>
      <c r="O339" s="315"/>
      <c r="P339" s="314"/>
      <c r="Q339" s="316"/>
      <c r="R339" s="202"/>
      <c r="S339" s="289"/>
      <c r="T339" s="290"/>
      <c r="U339" s="289"/>
      <c r="V339" s="202"/>
      <c r="W339" s="205"/>
      <c r="X339" s="202"/>
      <c r="Y339" s="205"/>
      <c r="Z339" s="199"/>
      <c r="AA339" s="205"/>
      <c r="AB339" s="202"/>
      <c r="AH339" s="202">
        <f t="shared" si="45"/>
        <v>0</v>
      </c>
      <c r="AK339" s="201">
        <f t="shared" si="48"/>
        <v>0</v>
      </c>
      <c r="AL339" s="300"/>
      <c r="AM339" s="301"/>
      <c r="AN339" s="317"/>
      <c r="AO339" s="101">
        <f t="shared" si="46"/>
        <v>0</v>
      </c>
      <c r="AP339" s="207">
        <v>0.02</v>
      </c>
      <c r="AQ339" s="268">
        <f t="shared" si="47"/>
        <v>0</v>
      </c>
      <c r="AR339" s="202"/>
      <c r="AS339" s="202"/>
      <c r="AT339" s="202"/>
      <c r="AU339" s="202"/>
      <c r="AV339" s="202"/>
      <c r="AW339" s="202"/>
      <c r="AX339" s="202"/>
      <c r="AY339" s="202"/>
      <c r="AZ339" s="202"/>
      <c r="BA339" s="291"/>
      <c r="BB339" s="202"/>
      <c r="BC339" s="291"/>
    </row>
    <row r="340" s="101" customFormat="1" customHeight="1" spans="1:89">
      <c r="F340" s="300"/>
      <c r="G340" s="290"/>
      <c r="H340" s="290"/>
      <c r="I340" s="269" t="s">
        <v>4989</v>
      </c>
      <c r="J340" s="327">
        <v>18.4</v>
      </c>
      <c r="M340" s="235"/>
      <c r="N340" s="202">
        <v>40977</v>
      </c>
      <c r="O340" s="158"/>
      <c r="P340" s="325"/>
      <c r="Q340" s="205"/>
      <c r="R340" s="202"/>
      <c r="S340" s="204"/>
      <c r="T340" s="290"/>
      <c r="U340" s="289"/>
      <c r="V340" s="202"/>
      <c r="W340" s="328"/>
      <c r="X340" s="202"/>
      <c r="Y340" s="205"/>
      <c r="AA340" s="298"/>
      <c r="AB340" s="202"/>
      <c r="AC340" s="329"/>
      <c r="AD340" s="329"/>
      <c r="AE340" s="329"/>
      <c r="AF340" s="329"/>
      <c r="AG340" s="329"/>
      <c r="AH340" s="202">
        <f t="shared" si="45"/>
        <v>0</v>
      </c>
      <c r="AK340" s="201">
        <f t="shared" si="48"/>
        <v>0</v>
      </c>
      <c r="AL340" s="300"/>
      <c r="AM340" s="301"/>
      <c r="AN340" s="303"/>
      <c r="AO340" s="101">
        <f t="shared" si="46"/>
        <v>0</v>
      </c>
      <c r="AP340" s="207">
        <v>0.02</v>
      </c>
      <c r="AQ340" s="268">
        <f t="shared" si="47"/>
        <v>0</v>
      </c>
      <c r="AR340" s="202"/>
      <c r="AS340" s="202"/>
      <c r="AT340" s="202"/>
      <c r="AU340" s="202"/>
      <c r="AV340" s="202"/>
      <c r="AW340" s="202"/>
      <c r="AX340" s="202"/>
      <c r="AY340" s="202"/>
      <c r="AZ340" s="202"/>
      <c r="BA340" s="291"/>
      <c r="BB340" s="202"/>
      <c r="BC340" s="291"/>
    </row>
    <row r="341" s="101" customFormat="1" ht="62" customHeight="1" spans="1:89">
      <c r="D341" s="314"/>
      <c r="F341" s="300"/>
      <c r="G341" s="290" t="s">
        <v>4782</v>
      </c>
      <c r="H341" s="290"/>
      <c r="I341" s="269" t="s">
        <v>4990</v>
      </c>
      <c r="J341" s="295">
        <v>14.87</v>
      </c>
      <c r="M341" s="296">
        <v>33105</v>
      </c>
      <c r="N341" s="297">
        <v>33105</v>
      </c>
      <c r="O341" s="315"/>
      <c r="P341" s="314"/>
      <c r="Q341" s="316"/>
      <c r="R341" s="202"/>
      <c r="S341" s="289"/>
      <c r="T341" s="290"/>
      <c r="U341" s="289"/>
      <c r="V341" s="202">
        <v>33105</v>
      </c>
      <c r="W341" s="289" t="s">
        <v>3241</v>
      </c>
      <c r="Y341" s="298"/>
      <c r="AA341" s="298"/>
      <c r="AB341" s="202"/>
      <c r="AH341" s="202">
        <f t="shared" si="45"/>
        <v>33105</v>
      </c>
      <c r="AK341" s="201">
        <f t="shared" si="48"/>
        <v>0</v>
      </c>
      <c r="AL341" s="300"/>
      <c r="AM341" s="301"/>
      <c r="AN341" s="317"/>
      <c r="AO341" s="101">
        <f t="shared" si="46"/>
        <v>33105</v>
      </c>
      <c r="AP341" s="207">
        <v>0.02</v>
      </c>
      <c r="AQ341" s="268">
        <f t="shared" si="47"/>
        <v>0</v>
      </c>
      <c r="AR341" s="202"/>
      <c r="AS341" s="202"/>
      <c r="AT341" s="202"/>
      <c r="AU341" s="202"/>
      <c r="AV341" s="202"/>
      <c r="AW341" s="202"/>
      <c r="AX341" s="202"/>
      <c r="AY341" s="202"/>
      <c r="AZ341" s="202"/>
      <c r="BA341" s="291"/>
      <c r="BB341" s="202"/>
      <c r="BC341" s="291"/>
      <c r="BU341" s="101">
        <v>33105</v>
      </c>
    </row>
    <row r="342" s="101" customFormat="1" ht="47" customHeight="1" spans="1:89">
      <c r="D342" s="314"/>
      <c r="F342" s="300"/>
      <c r="G342" s="290" t="s">
        <v>4991</v>
      </c>
      <c r="H342" s="290"/>
      <c r="I342" s="269" t="s">
        <v>4992</v>
      </c>
      <c r="J342" s="327">
        <v>14.12</v>
      </c>
      <c r="M342" s="296">
        <v>31447</v>
      </c>
      <c r="N342" s="297">
        <v>31447</v>
      </c>
      <c r="O342" s="315"/>
      <c r="P342" s="314"/>
      <c r="Q342" s="316"/>
      <c r="R342" s="202"/>
      <c r="S342" s="204"/>
      <c r="T342" s="290"/>
      <c r="U342" s="289"/>
      <c r="V342" s="202">
        <f>11447+20000</f>
        <v>31447</v>
      </c>
      <c r="W342" s="204" t="s">
        <v>3681</v>
      </c>
      <c r="X342" s="202"/>
      <c r="Y342" s="205"/>
      <c r="AB342" s="202"/>
      <c r="AH342" s="202">
        <f t="shared" si="45"/>
        <v>31447</v>
      </c>
      <c r="AK342" s="201">
        <f t="shared" si="48"/>
        <v>0</v>
      </c>
      <c r="AL342" s="300"/>
      <c r="AM342" s="301"/>
      <c r="AN342" s="317"/>
      <c r="AO342" s="101">
        <f t="shared" si="46"/>
        <v>31447</v>
      </c>
      <c r="AP342" s="207">
        <v>0.02</v>
      </c>
      <c r="AQ342" s="268">
        <f t="shared" si="47"/>
        <v>0</v>
      </c>
      <c r="AR342" s="202"/>
      <c r="AS342" s="202"/>
      <c r="AT342" s="202"/>
      <c r="AU342" s="202"/>
      <c r="AV342" s="202"/>
      <c r="AW342" s="202"/>
      <c r="AX342" s="202"/>
      <c r="AY342" s="202"/>
      <c r="AZ342" s="202"/>
      <c r="BA342" s="291"/>
      <c r="BB342" s="202"/>
      <c r="BC342" s="291"/>
      <c r="BU342" s="101">
        <v>31447</v>
      </c>
    </row>
    <row r="343" s="101" customFormat="1" customHeight="1" spans="1:89">
      <c r="D343" s="314"/>
      <c r="F343" s="300"/>
      <c r="G343" s="290" t="s">
        <v>4993</v>
      </c>
      <c r="H343" s="290"/>
      <c r="I343" s="269" t="s">
        <v>4994</v>
      </c>
      <c r="J343" s="295">
        <v>11.05</v>
      </c>
      <c r="M343" s="296">
        <v>24611</v>
      </c>
      <c r="N343" s="297">
        <v>24611</v>
      </c>
      <c r="O343" s="315"/>
      <c r="P343" s="314"/>
      <c r="Q343" s="316"/>
      <c r="R343" s="202"/>
      <c r="S343" s="289"/>
      <c r="T343" s="290"/>
      <c r="U343" s="289"/>
      <c r="V343" s="202">
        <v>24611</v>
      </c>
      <c r="W343" s="289">
        <v>45935</v>
      </c>
      <c r="X343" s="202"/>
      <c r="Y343" s="205"/>
      <c r="Z343" s="324"/>
      <c r="AB343" s="202"/>
      <c r="AH343" s="202">
        <f t="shared" si="45"/>
        <v>24611</v>
      </c>
      <c r="AK343" s="201">
        <f t="shared" si="48"/>
        <v>0</v>
      </c>
      <c r="AL343" s="300"/>
      <c r="AM343" s="301"/>
      <c r="AN343" s="317"/>
      <c r="AO343" s="101">
        <f t="shared" si="46"/>
        <v>24611</v>
      </c>
      <c r="AP343" s="207">
        <v>0.02</v>
      </c>
      <c r="AQ343" s="268">
        <f t="shared" si="47"/>
        <v>0</v>
      </c>
      <c r="AR343" s="202"/>
      <c r="AS343" s="202"/>
      <c r="AT343" s="202"/>
      <c r="AU343" s="202"/>
      <c r="AV343" s="202"/>
      <c r="AW343" s="202"/>
      <c r="AX343" s="202"/>
      <c r="AY343" s="202"/>
      <c r="AZ343" s="202"/>
      <c r="BA343" s="291"/>
      <c r="BB343" s="202"/>
      <c r="BC343" s="291"/>
      <c r="BZ343" s="101">
        <v>24611</v>
      </c>
    </row>
    <row r="344" s="101" customFormat="1" customHeight="1" spans="1:89">
      <c r="D344" s="314"/>
      <c r="F344" s="300"/>
      <c r="G344" s="290" t="s">
        <v>4995</v>
      </c>
      <c r="H344" s="290"/>
      <c r="I344" s="269" t="s">
        <v>4996</v>
      </c>
      <c r="J344" s="327">
        <v>11.05</v>
      </c>
      <c r="K344" s="201"/>
      <c r="M344" s="296">
        <v>24611</v>
      </c>
      <c r="N344" s="297">
        <v>24611</v>
      </c>
      <c r="O344" s="315"/>
      <c r="P344" s="314"/>
      <c r="Q344" s="316"/>
      <c r="R344" s="202"/>
      <c r="S344" s="204"/>
      <c r="T344" s="290"/>
      <c r="U344" s="290"/>
      <c r="V344" s="202">
        <v>24611</v>
      </c>
      <c r="W344" s="204" t="s">
        <v>3638</v>
      </c>
      <c r="X344" s="202"/>
      <c r="Y344" s="298"/>
      <c r="AA344" s="298"/>
      <c r="AB344" s="202"/>
      <c r="AC344" s="298"/>
      <c r="AD344" s="298"/>
      <c r="AE344" s="298"/>
      <c r="AF344" s="298"/>
      <c r="AG344" s="298"/>
      <c r="AH344" s="202">
        <f t="shared" si="45"/>
        <v>24611</v>
      </c>
      <c r="AK344" s="201">
        <f t="shared" si="48"/>
        <v>0</v>
      </c>
      <c r="AL344" s="300"/>
      <c r="AM344" s="301"/>
      <c r="AN344" s="317"/>
      <c r="AO344" s="101">
        <f t="shared" si="46"/>
        <v>24611</v>
      </c>
      <c r="AP344" s="207">
        <v>0.02</v>
      </c>
      <c r="AQ344" s="268">
        <f t="shared" si="47"/>
        <v>0</v>
      </c>
      <c r="AR344" s="202"/>
      <c r="AS344" s="202"/>
      <c r="AT344" s="202"/>
      <c r="AU344" s="202"/>
      <c r="AV344" s="202"/>
      <c r="AW344" s="202"/>
      <c r="AX344" s="202"/>
      <c r="AY344" s="202"/>
      <c r="AZ344" s="202"/>
      <c r="BB344" s="202"/>
      <c r="BU344" s="101">
        <v>24611</v>
      </c>
    </row>
    <row r="345" s="101" customFormat="1" ht="52" customHeight="1" spans="1:89">
      <c r="D345" s="314"/>
      <c r="F345" s="301"/>
      <c r="G345" s="290"/>
      <c r="H345" s="290"/>
      <c r="I345" s="269" t="s">
        <v>4997</v>
      </c>
      <c r="J345" s="295">
        <v>14.12</v>
      </c>
      <c r="M345" s="235"/>
      <c r="N345" s="202">
        <v>31447</v>
      </c>
      <c r="O345" s="158"/>
      <c r="P345" s="314"/>
      <c r="Q345" s="316"/>
      <c r="R345" s="202"/>
      <c r="S345" s="289"/>
      <c r="T345" s="290"/>
      <c r="U345" s="289"/>
      <c r="V345" s="202"/>
      <c r="W345" s="283"/>
      <c r="AB345" s="202"/>
      <c r="AH345" s="202">
        <f t="shared" si="45"/>
        <v>0</v>
      </c>
      <c r="AK345" s="201">
        <f t="shared" si="48"/>
        <v>0</v>
      </c>
      <c r="AL345" s="300"/>
      <c r="AM345" s="301"/>
      <c r="AN345" s="303"/>
      <c r="AO345" s="101">
        <f t="shared" si="46"/>
        <v>0</v>
      </c>
      <c r="AP345" s="207">
        <v>0.02</v>
      </c>
      <c r="AQ345" s="268">
        <f t="shared" si="47"/>
        <v>0</v>
      </c>
      <c r="AR345" s="202"/>
      <c r="AS345" s="202"/>
      <c r="AT345" s="202"/>
      <c r="AU345" s="202"/>
      <c r="AV345" s="202"/>
      <c r="AW345" s="202"/>
      <c r="AX345" s="202"/>
      <c r="AY345" s="202"/>
      <c r="AZ345" s="202"/>
      <c r="BA345" s="291"/>
      <c r="BB345" s="202"/>
      <c r="BC345" s="291"/>
    </row>
    <row r="346" s="101" customFormat="1" customHeight="1" spans="1:89">
      <c r="D346" s="314"/>
      <c r="F346" s="300"/>
      <c r="G346" s="290" t="s">
        <v>4998</v>
      </c>
      <c r="H346" s="290"/>
      <c r="I346" s="269" t="s">
        <v>4999</v>
      </c>
      <c r="J346" s="327">
        <v>22.68</v>
      </c>
      <c r="M346" s="296">
        <f>2000+48506</f>
        <v>50506</v>
      </c>
      <c r="N346" s="297">
        <v>50506</v>
      </c>
      <c r="O346" s="315"/>
      <c r="P346" s="314"/>
      <c r="Q346" s="316"/>
      <c r="R346" s="202"/>
      <c r="S346" s="289"/>
      <c r="T346" s="290"/>
      <c r="U346" s="289"/>
      <c r="V346" s="202">
        <v>50506</v>
      </c>
      <c r="W346" s="289" t="s">
        <v>3401</v>
      </c>
      <c r="X346" s="202"/>
      <c r="Y346" s="298"/>
      <c r="AA346" s="298"/>
      <c r="AB346" s="202"/>
      <c r="AH346" s="202">
        <f t="shared" si="45"/>
        <v>50506</v>
      </c>
      <c r="AK346" s="201">
        <f t="shared" si="48"/>
        <v>0</v>
      </c>
      <c r="AL346" s="300"/>
      <c r="AM346" s="301"/>
      <c r="AN346" s="317"/>
      <c r="AO346" s="101">
        <f t="shared" si="46"/>
        <v>50506</v>
      </c>
      <c r="AP346" s="207">
        <v>0.02</v>
      </c>
      <c r="AQ346" s="268">
        <f t="shared" si="47"/>
        <v>0</v>
      </c>
      <c r="AR346" s="202"/>
      <c r="AS346" s="202"/>
      <c r="AT346" s="202"/>
      <c r="AU346" s="202"/>
      <c r="AV346" s="202"/>
      <c r="AW346" s="202"/>
      <c r="AX346" s="202"/>
      <c r="AY346" s="202"/>
      <c r="AZ346" s="202"/>
      <c r="BA346" s="291"/>
      <c r="BB346" s="202"/>
      <c r="BC346" s="291"/>
      <c r="BU346" s="101">
        <v>50506</v>
      </c>
    </row>
    <row r="347" s="128" customFormat="1" customHeight="1" spans="1:89">
      <c r="A347" s="272">
        <v>275</v>
      </c>
      <c r="C347" s="171">
        <v>45204</v>
      </c>
      <c r="D347" s="286" t="s">
        <v>5000</v>
      </c>
      <c r="F347" s="311" t="s">
        <v>5001</v>
      </c>
      <c r="G347" s="284" t="s">
        <v>5002</v>
      </c>
      <c r="H347" s="284"/>
      <c r="I347" s="276" t="s">
        <v>5003</v>
      </c>
      <c r="J347" s="128">
        <v>150.01</v>
      </c>
      <c r="K347" s="128">
        <v>150.01</v>
      </c>
      <c r="L347" s="128">
        <v>8264</v>
      </c>
      <c r="M347" s="307">
        <v>1239683</v>
      </c>
      <c r="N347" s="308">
        <v>8264</v>
      </c>
      <c r="O347" s="168">
        <v>1137323.85</v>
      </c>
      <c r="P347" s="286" t="s">
        <v>5004</v>
      </c>
      <c r="Q347" s="310">
        <v>45908</v>
      </c>
      <c r="R347" s="218"/>
      <c r="T347" s="1018" t="s">
        <v>5005</v>
      </c>
      <c r="U347" s="278" t="s">
        <v>5006</v>
      </c>
      <c r="V347" s="218"/>
      <c r="W347" s="278"/>
      <c r="X347" s="218">
        <f>10000-10000</f>
        <v>0</v>
      </c>
      <c r="Y347" s="278" t="s">
        <v>4738</v>
      </c>
      <c r="Z347" s="218">
        <v>10000</v>
      </c>
      <c r="AA347" s="219" t="s">
        <v>571</v>
      </c>
      <c r="AB347" s="218">
        <v>129683</v>
      </c>
      <c r="AC347" s="219" t="s">
        <v>587</v>
      </c>
      <c r="AD347" s="128">
        <v>300000</v>
      </c>
      <c r="AE347" s="128" t="s">
        <v>2439</v>
      </c>
      <c r="AF347" s="128">
        <v>800000</v>
      </c>
      <c r="AG347" s="128" t="s">
        <v>740</v>
      </c>
      <c r="AH347" s="218">
        <f t="shared" si="45"/>
        <v>1239683</v>
      </c>
      <c r="AK347" s="179">
        <f t="shared" ref="AK347:AK353" si="49">M347-AH347</f>
        <v>0</v>
      </c>
      <c r="AL347" s="311" t="s">
        <v>5007</v>
      </c>
      <c r="AM347" s="311"/>
      <c r="AN347" s="312"/>
      <c r="AO347" s="128">
        <f t="shared" si="46"/>
        <v>1239683</v>
      </c>
      <c r="AP347" s="169">
        <f>0.7%+0.05%+0.12%</f>
        <v>0.0087</v>
      </c>
      <c r="AQ347" s="275">
        <f t="shared" si="47"/>
        <v>200</v>
      </c>
      <c r="AR347" s="218"/>
      <c r="AS347" s="218"/>
      <c r="AT347" s="218"/>
      <c r="AU347" s="218">
        <v>100</v>
      </c>
      <c r="AV347" s="218">
        <v>100</v>
      </c>
      <c r="AW347" s="218"/>
      <c r="AX347" s="218"/>
      <c r="AY347" s="218"/>
      <c r="AZ347" s="218"/>
      <c r="BA347" s="292"/>
      <c r="BB347" s="218"/>
      <c r="BC347" s="292">
        <v>439683</v>
      </c>
      <c r="BE347" s="128">
        <v>800000</v>
      </c>
      <c r="CI347" s="128" t="s">
        <v>376</v>
      </c>
      <c r="CJ347" s="128" t="s">
        <v>387</v>
      </c>
      <c r="CK347" s="128" t="s">
        <v>377</v>
      </c>
    </row>
    <row r="348" s="128" customFormat="1" ht="44" customHeight="1" spans="1:89">
      <c r="A348" s="272">
        <v>276</v>
      </c>
      <c r="C348" s="171">
        <v>45410</v>
      </c>
      <c r="D348" s="287" t="s">
        <v>5008</v>
      </c>
      <c r="F348" s="287" t="s">
        <v>5009</v>
      </c>
      <c r="G348" s="284" t="s">
        <v>5010</v>
      </c>
      <c r="H348" s="1018" t="s">
        <v>5011</v>
      </c>
      <c r="I348" s="273" t="s">
        <v>5012</v>
      </c>
      <c r="J348" s="128">
        <v>140.45</v>
      </c>
      <c r="K348" s="128">
        <v>140.45</v>
      </c>
      <c r="L348" s="128">
        <v>8254</v>
      </c>
      <c r="M348" s="307">
        <v>1159275</v>
      </c>
      <c r="N348" s="308">
        <v>8254</v>
      </c>
      <c r="O348" s="309">
        <v>1063555.05</v>
      </c>
      <c r="P348" s="286" t="s">
        <v>5013</v>
      </c>
      <c r="Q348" s="310">
        <v>45908</v>
      </c>
      <c r="R348" s="218"/>
      <c r="S348" s="219"/>
      <c r="T348" s="284"/>
      <c r="U348" s="278" t="s">
        <v>677</v>
      </c>
      <c r="V348" s="218">
        <v>2000</v>
      </c>
      <c r="W348" s="219" t="s">
        <v>5014</v>
      </c>
      <c r="X348" s="218">
        <v>7275</v>
      </c>
      <c r="Y348" s="219" t="s">
        <v>4316</v>
      </c>
      <c r="Z348" s="218">
        <v>5000</v>
      </c>
      <c r="AA348" s="219" t="s">
        <v>5015</v>
      </c>
      <c r="AB348" s="218">
        <v>265000</v>
      </c>
      <c r="AC348" s="219" t="s">
        <v>4358</v>
      </c>
      <c r="AD348" s="128">
        <v>80000</v>
      </c>
      <c r="AE348" s="171">
        <v>45564</v>
      </c>
      <c r="AF348" s="218">
        <v>800000</v>
      </c>
      <c r="AG348" s="219" t="s">
        <v>708</v>
      </c>
      <c r="AH348" s="218">
        <f t="shared" si="45"/>
        <v>1159275</v>
      </c>
      <c r="AK348" s="179">
        <f t="shared" si="49"/>
        <v>0</v>
      </c>
      <c r="AL348" s="287" t="s">
        <v>5016</v>
      </c>
      <c r="AM348" s="311"/>
      <c r="AN348" s="312"/>
      <c r="AO348" s="128">
        <f t="shared" si="46"/>
        <v>1159275</v>
      </c>
      <c r="AP348" s="173">
        <f>0.7%+0.05%+0.12%</f>
        <v>0.0087</v>
      </c>
      <c r="AQ348" s="275">
        <f t="shared" si="47"/>
        <v>100</v>
      </c>
      <c r="AR348" s="218"/>
      <c r="AS348" s="218"/>
      <c r="AT348" s="218">
        <v>100</v>
      </c>
      <c r="AU348" s="218"/>
      <c r="AV348" s="218"/>
      <c r="AW348" s="218"/>
      <c r="AX348" s="218"/>
      <c r="AY348" s="218"/>
      <c r="AZ348" s="218"/>
      <c r="BB348" s="218"/>
      <c r="BM348" s="128">
        <v>359275</v>
      </c>
      <c r="BN348" s="128">
        <v>800000</v>
      </c>
      <c r="CI348" s="128" t="s">
        <v>376</v>
      </c>
      <c r="CK348" s="128" t="s">
        <v>377</v>
      </c>
    </row>
    <row r="349" s="128" customFormat="1" customHeight="1" spans="1:89">
      <c r="A349" s="272">
        <v>277</v>
      </c>
      <c r="B349" s="128"/>
      <c r="C349" s="171">
        <v>45566</v>
      </c>
      <c r="D349" s="128">
        <v>20240005473</v>
      </c>
      <c r="F349" s="287" t="s">
        <v>5017</v>
      </c>
      <c r="G349" s="284" t="s">
        <v>4995</v>
      </c>
      <c r="H349" s="1018" t="s">
        <v>5018</v>
      </c>
      <c r="I349" s="276" t="s">
        <v>5019</v>
      </c>
      <c r="J349" s="128">
        <v>147.09</v>
      </c>
      <c r="K349" s="128">
        <v>147.09</v>
      </c>
      <c r="L349" s="179">
        <v>5568</v>
      </c>
      <c r="M349" s="274">
        <v>819000</v>
      </c>
      <c r="N349" s="218">
        <v>5568</v>
      </c>
      <c r="O349" s="168">
        <v>751376.15</v>
      </c>
      <c r="P349" s="1016" t="s">
        <v>5020</v>
      </c>
      <c r="Q349" s="211">
        <v>45908</v>
      </c>
      <c r="R349" s="218"/>
      <c r="S349" s="219"/>
      <c r="T349" s="272"/>
      <c r="U349" s="219" t="s">
        <v>383</v>
      </c>
      <c r="V349" s="218">
        <v>20000</v>
      </c>
      <c r="W349" s="219">
        <v>45561</v>
      </c>
      <c r="X349" s="218">
        <v>399000</v>
      </c>
      <c r="Y349" s="211">
        <v>45565</v>
      </c>
      <c r="Z349" s="218">
        <v>400000</v>
      </c>
      <c r="AA349" s="219" t="s">
        <v>977</v>
      </c>
      <c r="AB349" s="218"/>
      <c r="AH349" s="218">
        <f t="shared" si="45"/>
        <v>819000</v>
      </c>
      <c r="AK349" s="179">
        <f t="shared" si="49"/>
        <v>0</v>
      </c>
      <c r="AL349" s="287" t="s">
        <v>5021</v>
      </c>
      <c r="AM349" s="311"/>
      <c r="AN349" s="321"/>
      <c r="AO349" s="128">
        <f t="shared" si="46"/>
        <v>819000</v>
      </c>
      <c r="AP349" s="173">
        <f>0.6%+0.1%</f>
        <v>0.007</v>
      </c>
      <c r="AQ349" s="275">
        <f t="shared" si="47"/>
        <v>0</v>
      </c>
      <c r="AR349" s="218"/>
      <c r="AS349" s="218"/>
      <c r="AT349" s="218"/>
      <c r="AU349" s="218"/>
      <c r="AV349" s="218"/>
      <c r="AW349" s="218"/>
      <c r="AX349" s="218"/>
      <c r="AY349" s="218"/>
      <c r="AZ349" s="218"/>
      <c r="BA349" s="292"/>
      <c r="BB349" s="218"/>
      <c r="BC349" s="292"/>
      <c r="BN349" s="128">
        <v>819000</v>
      </c>
      <c r="CI349" s="128" t="s">
        <v>376</v>
      </c>
      <c r="CK349" s="128" t="s">
        <v>377</v>
      </c>
    </row>
    <row r="350" s="128" customFormat="1" customHeight="1" spans="1:89">
      <c r="A350" s="272">
        <v>278</v>
      </c>
      <c r="B350" s="128"/>
      <c r="C350" s="171">
        <v>45742</v>
      </c>
      <c r="D350" s="286" t="s">
        <v>5022</v>
      </c>
      <c r="F350" s="128" t="s">
        <v>5023</v>
      </c>
      <c r="G350" s="177" t="s">
        <v>5024</v>
      </c>
      <c r="H350" s="1016" t="s">
        <v>5025</v>
      </c>
      <c r="I350" s="273" t="s">
        <v>5026</v>
      </c>
      <c r="J350" s="128">
        <v>137.88</v>
      </c>
      <c r="K350" s="128">
        <v>137.88</v>
      </c>
      <c r="L350" s="128">
        <v>5800</v>
      </c>
      <c r="M350" s="307">
        <v>799704</v>
      </c>
      <c r="N350" s="308">
        <v>5776.15</v>
      </c>
      <c r="O350" s="309">
        <v>733673.39</v>
      </c>
      <c r="P350" s="286" t="s">
        <v>5027</v>
      </c>
      <c r="Q350" s="310">
        <v>45908</v>
      </c>
      <c r="R350" s="218"/>
      <c r="S350" s="219"/>
      <c r="T350" s="272"/>
      <c r="U350" s="177" t="s">
        <v>2278</v>
      </c>
      <c r="V350" s="218">
        <v>20000</v>
      </c>
      <c r="W350" s="219" t="s">
        <v>5028</v>
      </c>
      <c r="X350" s="218">
        <v>140704</v>
      </c>
      <c r="Y350" s="128" t="s">
        <v>904</v>
      </c>
      <c r="Z350" s="218">
        <v>639000</v>
      </c>
      <c r="AA350" s="219" t="s">
        <v>3241</v>
      </c>
      <c r="AB350" s="218"/>
      <c r="AH350" s="218">
        <f t="shared" si="45"/>
        <v>799704</v>
      </c>
      <c r="AK350" s="179">
        <f t="shared" si="49"/>
        <v>0</v>
      </c>
      <c r="AL350" s="287" t="s">
        <v>5029</v>
      </c>
      <c r="AM350" s="311" t="s">
        <v>3408</v>
      </c>
      <c r="AN350" s="312"/>
      <c r="AO350" s="128">
        <f t="shared" si="46"/>
        <v>799704</v>
      </c>
      <c r="AP350" s="169">
        <f>0.4%+0.02%+0.08%+0.03%</f>
        <v>0.0053</v>
      </c>
      <c r="AQ350" s="275">
        <f t="shared" si="47"/>
        <v>0</v>
      </c>
      <c r="AR350" s="218"/>
      <c r="AS350" s="218"/>
      <c r="AT350" s="218"/>
      <c r="AU350" s="218"/>
      <c r="AV350" s="218"/>
      <c r="AW350" s="218"/>
      <c r="AX350" s="218"/>
      <c r="AY350" s="218"/>
      <c r="AZ350" s="218"/>
      <c r="BA350" s="292"/>
      <c r="BB350" s="218"/>
      <c r="BC350" s="292"/>
      <c r="BU350" s="128">
        <v>799704</v>
      </c>
      <c r="CI350" s="128" t="s">
        <v>376</v>
      </c>
      <c r="CK350" s="128" t="s">
        <v>377</v>
      </c>
    </row>
    <row r="351" s="128" customFormat="1" customHeight="1" spans="1:89">
      <c r="A351" s="272">
        <v>279</v>
      </c>
      <c r="B351" s="128"/>
      <c r="C351" s="171">
        <v>45707</v>
      </c>
      <c r="D351" s="286" t="s">
        <v>5030</v>
      </c>
      <c r="F351" s="330" t="s">
        <v>5031</v>
      </c>
      <c r="G351" s="284" t="s">
        <v>5032</v>
      </c>
      <c r="H351" s="284"/>
      <c r="I351" s="276" t="s">
        <v>5033</v>
      </c>
      <c r="J351" s="128">
        <v>147.09</v>
      </c>
      <c r="K351" s="128">
        <v>147.09</v>
      </c>
      <c r="L351" s="128">
        <v>5800</v>
      </c>
      <c r="M351" s="307">
        <v>853122</v>
      </c>
      <c r="N351" s="308">
        <v>5574.82</v>
      </c>
      <c r="O351" s="309">
        <v>782680.73</v>
      </c>
      <c r="P351" s="286" t="s">
        <v>5034</v>
      </c>
      <c r="Q351" s="310">
        <v>45908</v>
      </c>
      <c r="R351" s="218"/>
      <c r="S351" s="278"/>
      <c r="T351" s="284"/>
      <c r="U351" s="278" t="s">
        <v>662</v>
      </c>
      <c r="V351" s="218">
        <v>3122</v>
      </c>
      <c r="W351" s="278" t="s">
        <v>545</v>
      </c>
      <c r="X351" s="218">
        <v>390000</v>
      </c>
      <c r="Y351" s="278" t="s">
        <v>3652</v>
      </c>
      <c r="Z351" s="128">
        <v>50000</v>
      </c>
      <c r="AA351" s="128" t="s">
        <v>5028</v>
      </c>
      <c r="AB351" s="218">
        <v>410000</v>
      </c>
      <c r="AC351" s="278" t="s">
        <v>3469</v>
      </c>
      <c r="AD351" s="128"/>
      <c r="AE351" s="128"/>
      <c r="AF351" s="218"/>
      <c r="AG351" s="278"/>
      <c r="AH351" s="218">
        <f t="shared" si="45"/>
        <v>853122</v>
      </c>
      <c r="AK351" s="179">
        <f t="shared" si="49"/>
        <v>0</v>
      </c>
      <c r="AL351" s="287" t="s">
        <v>5035</v>
      </c>
      <c r="AM351" s="311" t="s">
        <v>5036</v>
      </c>
      <c r="AN351" s="312"/>
      <c r="AO351" s="128">
        <f t="shared" si="46"/>
        <v>853122</v>
      </c>
      <c r="AP351" s="169">
        <f>0.4%+0.12%+0.03%</f>
        <v>0.0055</v>
      </c>
      <c r="AQ351" s="275">
        <f t="shared" si="47"/>
        <v>100</v>
      </c>
      <c r="AR351" s="218"/>
      <c r="AS351" s="218"/>
      <c r="AT351" s="218"/>
      <c r="AU351" s="218"/>
      <c r="AV351" s="218">
        <v>100</v>
      </c>
      <c r="AW351" s="218"/>
      <c r="AX351" s="218"/>
      <c r="AY351" s="218"/>
      <c r="AZ351" s="218"/>
      <c r="BA351" s="292"/>
      <c r="BB351" s="218"/>
      <c r="BC351" s="292"/>
      <c r="BS351" s="128">
        <v>443122</v>
      </c>
      <c r="BT351" s="128">
        <v>410000</v>
      </c>
      <c r="BU351" s="128"/>
      <c r="BV351" s="128"/>
      <c r="CI351" s="128" t="s">
        <v>376</v>
      </c>
      <c r="CK351" s="128" t="s">
        <v>377</v>
      </c>
    </row>
    <row r="352" s="128" customFormat="1" customHeight="1" spans="1:89">
      <c r="A352" s="272">
        <v>280</v>
      </c>
      <c r="C352" s="171">
        <v>45263</v>
      </c>
      <c r="D352" s="128">
        <v>20230010089</v>
      </c>
      <c r="F352" s="287" t="s">
        <v>5037</v>
      </c>
      <c r="G352" s="284" t="s">
        <v>5038</v>
      </c>
      <c r="H352" s="1017" t="s">
        <v>5039</v>
      </c>
      <c r="I352" s="273" t="s">
        <v>5040</v>
      </c>
      <c r="J352" s="128">
        <v>137.88</v>
      </c>
      <c r="K352" s="128">
        <v>137.88</v>
      </c>
      <c r="L352" s="128">
        <v>5802.146</v>
      </c>
      <c r="M352" s="274">
        <v>800000</v>
      </c>
      <c r="N352" s="218">
        <f>5830.81-28.66</f>
        <v>5802.15</v>
      </c>
      <c r="O352" s="168">
        <v>733944.95</v>
      </c>
      <c r="P352" s="287" t="s">
        <v>5041</v>
      </c>
      <c r="Q352" s="211">
        <v>45908</v>
      </c>
      <c r="R352" s="218"/>
      <c r="S352" s="219"/>
      <c r="T352" s="284"/>
      <c r="U352" s="284" t="s">
        <v>410</v>
      </c>
      <c r="V352" s="218"/>
      <c r="W352" s="211"/>
      <c r="X352" s="218">
        <v>20000</v>
      </c>
      <c r="Y352" s="219" t="s">
        <v>2409</v>
      </c>
      <c r="Z352" s="218">
        <f>20000+20000</f>
        <v>40000</v>
      </c>
      <c r="AA352" s="219" t="s">
        <v>2303</v>
      </c>
      <c r="AB352" s="218">
        <v>100000</v>
      </c>
      <c r="AC352" s="171" t="s">
        <v>3287</v>
      </c>
      <c r="AD352" s="218">
        <v>640000</v>
      </c>
      <c r="AE352" s="219" t="s">
        <v>740</v>
      </c>
      <c r="AF352" s="171"/>
      <c r="AG352" s="171"/>
      <c r="AH352" s="218">
        <f t="shared" si="45"/>
        <v>800000</v>
      </c>
      <c r="AK352" s="179">
        <f t="shared" si="49"/>
        <v>0</v>
      </c>
      <c r="AL352" s="287" t="s">
        <v>5042</v>
      </c>
      <c r="AM352" s="311" t="s">
        <v>3402</v>
      </c>
      <c r="AN352" s="321"/>
      <c r="AO352" s="128">
        <f t="shared" si="46"/>
        <v>800000</v>
      </c>
      <c r="AP352" s="169">
        <f>0.4%+0.02%+0.08%</f>
        <v>0.005</v>
      </c>
      <c r="AQ352" s="275">
        <f t="shared" si="47"/>
        <v>100</v>
      </c>
      <c r="AR352" s="218"/>
      <c r="AS352" s="218"/>
      <c r="AT352" s="218"/>
      <c r="AU352" s="218"/>
      <c r="AV352" s="218"/>
      <c r="AW352" s="218">
        <v>100</v>
      </c>
      <c r="AX352" s="218"/>
      <c r="AY352" s="218"/>
      <c r="AZ352" s="218"/>
      <c r="BA352" s="292"/>
      <c r="BB352" s="218"/>
      <c r="BC352" s="292"/>
      <c r="BD352" s="128">
        <v>160000</v>
      </c>
      <c r="BE352" s="128">
        <v>640000</v>
      </c>
      <c r="CI352" s="128" t="s">
        <v>376</v>
      </c>
      <c r="CJ352" s="128" t="s">
        <v>387</v>
      </c>
      <c r="CK352" s="128" t="s">
        <v>377</v>
      </c>
    </row>
    <row r="353" s="128" customFormat="1" customHeight="1" spans="1:89">
      <c r="A353" s="272">
        <v>281</v>
      </c>
      <c r="C353" s="171">
        <v>45566</v>
      </c>
      <c r="D353" s="128">
        <v>20240005456</v>
      </c>
      <c r="F353" s="287" t="s">
        <v>5043</v>
      </c>
      <c r="G353" s="272" t="s">
        <v>5044</v>
      </c>
      <c r="H353" s="1017" t="s">
        <v>5045</v>
      </c>
      <c r="I353" s="276" t="s">
        <v>5046</v>
      </c>
      <c r="J353" s="128">
        <v>147.09</v>
      </c>
      <c r="K353" s="128">
        <v>147.09</v>
      </c>
      <c r="L353" s="128">
        <v>5848.49</v>
      </c>
      <c r="M353" s="274">
        <v>860255</v>
      </c>
      <c r="N353" s="218">
        <v>5848.49</v>
      </c>
      <c r="O353" s="168">
        <v>789224.77</v>
      </c>
      <c r="P353" s="287" t="s">
        <v>5047</v>
      </c>
      <c r="Q353" s="211">
        <v>45908</v>
      </c>
      <c r="R353" s="218"/>
      <c r="S353" s="219"/>
      <c r="T353" s="272"/>
      <c r="U353" s="219" t="s">
        <v>486</v>
      </c>
      <c r="V353" s="218">
        <v>20000</v>
      </c>
      <c r="W353" s="219" t="s">
        <v>597</v>
      </c>
      <c r="X353" s="218">
        <v>75255</v>
      </c>
      <c r="Y353" s="219" t="s">
        <v>3793</v>
      </c>
      <c r="Z353" s="218">
        <v>200000</v>
      </c>
      <c r="AA353" s="219" t="s">
        <v>374</v>
      </c>
      <c r="AB353" s="218">
        <v>300000</v>
      </c>
      <c r="AC353" s="219" t="s">
        <v>5048</v>
      </c>
      <c r="AD353" s="218">
        <v>100000</v>
      </c>
      <c r="AE353" s="219" t="s">
        <v>5049</v>
      </c>
      <c r="AF353" s="171">
        <v>165000</v>
      </c>
      <c r="AG353" s="171" t="s">
        <v>3370</v>
      </c>
      <c r="AH353" s="218">
        <f t="shared" si="45"/>
        <v>860255</v>
      </c>
      <c r="AK353" s="179">
        <f t="shared" si="49"/>
        <v>0</v>
      </c>
      <c r="AL353" s="287" t="s">
        <v>5050</v>
      </c>
      <c r="AM353" s="311"/>
      <c r="AN353" s="321"/>
      <c r="AO353" s="128">
        <f t="shared" si="46"/>
        <v>860255</v>
      </c>
      <c r="AP353" s="169">
        <f>0.4%+0.02%+0.12%</f>
        <v>0.0054</v>
      </c>
      <c r="AQ353" s="275">
        <f t="shared" si="47"/>
        <v>0</v>
      </c>
      <c r="AR353" s="218"/>
      <c r="AS353" s="218"/>
      <c r="AT353" s="218"/>
      <c r="AU353" s="218"/>
      <c r="AV353" s="218"/>
      <c r="AW353" s="218"/>
      <c r="AX353" s="218"/>
      <c r="AY353" s="218"/>
      <c r="AZ353" s="218"/>
      <c r="BA353" s="292"/>
      <c r="BB353" s="218"/>
      <c r="BC353" s="292"/>
      <c r="BT353" s="128">
        <v>860255</v>
      </c>
      <c r="CI353" s="128" t="s">
        <v>376</v>
      </c>
      <c r="CK353" s="128" t="s">
        <v>377</v>
      </c>
    </row>
    <row r="354" s="128" customFormat="1" customHeight="1" spans="1:89">
      <c r="A354" s="272">
        <v>282</v>
      </c>
      <c r="C354" s="171">
        <v>45273</v>
      </c>
      <c r="D354" s="128">
        <v>20230010358</v>
      </c>
      <c r="F354" s="287" t="s">
        <v>5051</v>
      </c>
      <c r="G354" s="272" t="s">
        <v>4984</v>
      </c>
      <c r="H354" s="1017" t="s">
        <v>5052</v>
      </c>
      <c r="I354" s="273" t="s">
        <v>5053</v>
      </c>
      <c r="J354" s="128">
        <v>137.88</v>
      </c>
      <c r="K354" s="128">
        <v>137.88</v>
      </c>
      <c r="L354" s="128">
        <v>5863.42</v>
      </c>
      <c r="M354" s="274">
        <v>808448</v>
      </c>
      <c r="N354" s="218">
        <v>5863.42</v>
      </c>
      <c r="O354" s="168">
        <v>741695.41</v>
      </c>
      <c r="P354" s="287" t="s">
        <v>5054</v>
      </c>
      <c r="Q354" s="211">
        <v>45908</v>
      </c>
      <c r="R354" s="218"/>
      <c r="S354" s="219"/>
      <c r="T354" s="272"/>
      <c r="U354" s="219" t="s">
        <v>486</v>
      </c>
      <c r="V354" s="218">
        <v>20000</v>
      </c>
      <c r="W354" s="171" t="s">
        <v>1618</v>
      </c>
      <c r="X354" s="218">
        <v>115448</v>
      </c>
      <c r="Y354" s="219" t="s">
        <v>5055</v>
      </c>
      <c r="Z354" s="272">
        <v>33000</v>
      </c>
      <c r="AA354" s="211" t="s">
        <v>5056</v>
      </c>
      <c r="AB354" s="218">
        <v>640000</v>
      </c>
      <c r="AC354" s="219" t="s">
        <v>3989</v>
      </c>
      <c r="AD354" s="171"/>
      <c r="AE354" s="171"/>
      <c r="AF354" s="171"/>
      <c r="AG354" s="171"/>
      <c r="AH354" s="218">
        <f t="shared" si="45"/>
        <v>808448</v>
      </c>
      <c r="AK354" s="179">
        <f t="shared" ref="AK354:AK360" si="50">M354-AH354</f>
        <v>0</v>
      </c>
      <c r="AL354" s="287" t="s">
        <v>5057</v>
      </c>
      <c r="AM354" s="311"/>
      <c r="AN354" s="321"/>
      <c r="AO354" s="128">
        <f t="shared" si="46"/>
        <v>808448</v>
      </c>
      <c r="AP354" s="169">
        <f>0.7%+0.02%+0.08%</f>
        <v>0.008</v>
      </c>
      <c r="AQ354" s="275">
        <f t="shared" si="47"/>
        <v>0</v>
      </c>
      <c r="AR354" s="218"/>
      <c r="AS354" s="218"/>
      <c r="AT354" s="218"/>
      <c r="AU354" s="218"/>
      <c r="AV354" s="218"/>
      <c r="AW354" s="218"/>
      <c r="AX354" s="218"/>
      <c r="AY354" s="218"/>
      <c r="AZ354" s="218"/>
      <c r="BA354" s="292"/>
      <c r="BB354" s="218"/>
      <c r="BC354" s="292"/>
      <c r="BD354" s="128">
        <v>168448</v>
      </c>
      <c r="BF354" s="128">
        <v>640000</v>
      </c>
      <c r="CI354" s="128" t="s">
        <v>376</v>
      </c>
      <c r="CJ354" s="128" t="s">
        <v>387</v>
      </c>
      <c r="CK354" s="128" t="s">
        <v>377</v>
      </c>
    </row>
    <row r="355" s="128" customFormat="1" customHeight="1" spans="1:89">
      <c r="A355" s="272">
        <v>283</v>
      </c>
      <c r="C355" s="171">
        <v>45360</v>
      </c>
      <c r="D355" s="128">
        <v>20240001236</v>
      </c>
      <c r="F355" s="287" t="s">
        <v>5058</v>
      </c>
      <c r="G355" s="272" t="s">
        <v>5059</v>
      </c>
      <c r="H355" s="1017" t="s">
        <v>5060</v>
      </c>
      <c r="I355" s="276" t="s">
        <v>5061</v>
      </c>
      <c r="J355" s="128">
        <v>147.09</v>
      </c>
      <c r="K355" s="128">
        <v>147.09</v>
      </c>
      <c r="L355" s="128">
        <v>5922.84</v>
      </c>
      <c r="M355" s="274">
        <v>871191</v>
      </c>
      <c r="N355" s="218">
        <v>5922.84</v>
      </c>
      <c r="O355" s="168">
        <v>799257.8</v>
      </c>
      <c r="P355" s="287" t="s">
        <v>5062</v>
      </c>
      <c r="Q355" s="211">
        <v>45908</v>
      </c>
      <c r="R355" s="218"/>
      <c r="S355" s="219"/>
      <c r="T355" s="272"/>
      <c r="U355" s="219" t="s">
        <v>840</v>
      </c>
      <c r="V355" s="218">
        <v>20000</v>
      </c>
      <c r="W355" s="219" t="s">
        <v>3812</v>
      </c>
      <c r="X355" s="218">
        <f>240000+2191</f>
        <v>242191</v>
      </c>
      <c r="Y355" s="219" t="s">
        <v>4387</v>
      </c>
      <c r="Z355" s="272">
        <v>609000</v>
      </c>
      <c r="AA355" s="211" t="s">
        <v>3766</v>
      </c>
      <c r="AB355" s="218"/>
      <c r="AC355" s="171"/>
      <c r="AD355" s="171"/>
      <c r="AE355" s="171"/>
      <c r="AF355" s="171"/>
      <c r="AG355" s="171"/>
      <c r="AH355" s="218">
        <f t="shared" si="45"/>
        <v>871191</v>
      </c>
      <c r="AK355" s="179">
        <f t="shared" si="50"/>
        <v>0</v>
      </c>
      <c r="AL355" s="287" t="s">
        <v>5063</v>
      </c>
      <c r="AM355" s="311"/>
      <c r="AN355" s="321"/>
      <c r="AO355" s="128">
        <f t="shared" si="46"/>
        <v>871191</v>
      </c>
      <c r="AP355" s="169">
        <f>0.4%+0.12%</f>
        <v>0.0052</v>
      </c>
      <c r="AQ355" s="275">
        <f t="shared" si="47"/>
        <v>0</v>
      </c>
      <c r="AR355" s="218"/>
      <c r="AS355" s="218"/>
      <c r="AT355" s="218"/>
      <c r="AU355" s="218"/>
      <c r="AV355" s="218"/>
      <c r="AW355" s="218"/>
      <c r="AX355" s="218"/>
      <c r="AY355" s="218"/>
      <c r="AZ355" s="218"/>
      <c r="BA355" s="292"/>
      <c r="BB355" s="218"/>
      <c r="BC355" s="292"/>
      <c r="BG355" s="128">
        <v>871191</v>
      </c>
      <c r="CI355" s="128" t="s">
        <v>376</v>
      </c>
      <c r="CJ355" s="128" t="s">
        <v>387</v>
      </c>
      <c r="CK355" s="128" t="s">
        <v>377</v>
      </c>
    </row>
    <row r="356" s="128" customFormat="1" customHeight="1" spans="1:89">
      <c r="A356" s="272">
        <v>284</v>
      </c>
      <c r="C356" s="171">
        <v>45198</v>
      </c>
      <c r="D356" s="128">
        <v>20230008236</v>
      </c>
      <c r="F356" s="287" t="s">
        <v>5064</v>
      </c>
      <c r="G356" s="272" t="s">
        <v>5065</v>
      </c>
      <c r="H356" s="272"/>
      <c r="I356" s="273" t="s">
        <v>5066</v>
      </c>
      <c r="J356" s="128">
        <v>137.88</v>
      </c>
      <c r="K356" s="128">
        <v>137.88</v>
      </c>
      <c r="L356" s="128">
        <v>5937.765</v>
      </c>
      <c r="M356" s="274">
        <v>818699</v>
      </c>
      <c r="N356" s="218">
        <v>5937.76</v>
      </c>
      <c r="O356" s="168">
        <v>751100</v>
      </c>
      <c r="P356" s="287" t="s">
        <v>5067</v>
      </c>
      <c r="Q356" s="211">
        <v>45908</v>
      </c>
      <c r="R356" s="218"/>
      <c r="S356" s="219"/>
      <c r="T356" s="1017" t="s">
        <v>3079</v>
      </c>
      <c r="U356" s="219" t="s">
        <v>496</v>
      </c>
      <c r="V356" s="218">
        <f>10000-10000</f>
        <v>0</v>
      </c>
      <c r="W356" s="219" t="s">
        <v>2887</v>
      </c>
      <c r="X356" s="218">
        <v>28699</v>
      </c>
      <c r="Y356" s="219" t="s">
        <v>571</v>
      </c>
      <c r="Z356" s="218">
        <v>140000</v>
      </c>
      <c r="AA356" s="219" t="s">
        <v>1066</v>
      </c>
      <c r="AB356" s="218">
        <v>650000</v>
      </c>
      <c r="AC356" s="219" t="s">
        <v>945</v>
      </c>
      <c r="AD356" s="171"/>
      <c r="AE356" s="171"/>
      <c r="AF356" s="171"/>
      <c r="AG356" s="171"/>
      <c r="AH356" s="218">
        <f t="shared" si="45"/>
        <v>818699</v>
      </c>
      <c r="AK356" s="179">
        <f t="shared" si="50"/>
        <v>0</v>
      </c>
      <c r="AL356" s="287" t="s">
        <v>5068</v>
      </c>
      <c r="AM356" s="311"/>
      <c r="AN356" s="321"/>
      <c r="AO356" s="128">
        <f t="shared" si="46"/>
        <v>818699</v>
      </c>
      <c r="AP356" s="169">
        <f>0.6%+0.04%+0.12%</f>
        <v>0.0076</v>
      </c>
      <c r="AQ356" s="275">
        <f t="shared" si="47"/>
        <v>300</v>
      </c>
      <c r="AR356" s="275">
        <v>100</v>
      </c>
      <c r="AS356" s="218"/>
      <c r="AT356" s="218"/>
      <c r="AU356" s="218"/>
      <c r="AV356" s="218"/>
      <c r="AW356" s="218"/>
      <c r="AX356" s="218">
        <v>200</v>
      </c>
      <c r="AY356" s="218"/>
      <c r="AZ356" s="218"/>
      <c r="BA356" s="292"/>
      <c r="BB356" s="218">
        <v>168699</v>
      </c>
      <c r="BC356" s="292">
        <v>650000</v>
      </c>
      <c r="CI356" s="128" t="s">
        <v>376</v>
      </c>
      <c r="CJ356" s="128" t="s">
        <v>387</v>
      </c>
      <c r="CK356" s="128" t="s">
        <v>377</v>
      </c>
    </row>
    <row r="357" s="128" customFormat="1" ht="47" customHeight="1" spans="1:89">
      <c r="A357" s="272">
        <v>285</v>
      </c>
      <c r="C357" s="171">
        <v>45280</v>
      </c>
      <c r="D357" s="128">
        <v>20230010500</v>
      </c>
      <c r="F357" s="287" t="s">
        <v>5069</v>
      </c>
      <c r="G357" s="284" t="s">
        <v>5070</v>
      </c>
      <c r="H357" s="1017" t="s">
        <v>5071</v>
      </c>
      <c r="I357" s="276" t="s">
        <v>5072</v>
      </c>
      <c r="J357" s="128">
        <v>147.09</v>
      </c>
      <c r="K357" s="128">
        <v>147.09</v>
      </c>
      <c r="L357" s="128">
        <v>5991.75</v>
      </c>
      <c r="M357" s="274">
        <v>881328</v>
      </c>
      <c r="N357" s="218">
        <v>5991.75</v>
      </c>
      <c r="O357" s="168">
        <v>808557.8</v>
      </c>
      <c r="P357" s="287" t="s">
        <v>5073</v>
      </c>
      <c r="Q357" s="211">
        <v>45908</v>
      </c>
      <c r="R357" s="218"/>
      <c r="S357" s="219"/>
      <c r="T357" s="1018" t="s">
        <v>5074</v>
      </c>
      <c r="U357" s="278" t="s">
        <v>5075</v>
      </c>
      <c r="V357" s="218">
        <f>10000-10000</f>
        <v>0</v>
      </c>
      <c r="W357" s="219" t="s">
        <v>2633</v>
      </c>
      <c r="X357" s="218">
        <v>10000</v>
      </c>
      <c r="Y357" s="219" t="s">
        <v>2103</v>
      </c>
      <c r="Z357" s="272">
        <v>10000</v>
      </c>
      <c r="AA357" s="211" t="s">
        <v>571</v>
      </c>
      <c r="AB357" s="218">
        <v>171328</v>
      </c>
      <c r="AC357" s="219" t="s">
        <v>449</v>
      </c>
      <c r="AD357" s="218">
        <v>690000</v>
      </c>
      <c r="AE357" s="219" t="s">
        <v>2832</v>
      </c>
      <c r="AF357" s="171"/>
      <c r="AG357" s="171"/>
      <c r="AH357" s="218">
        <f t="shared" si="45"/>
        <v>881328</v>
      </c>
      <c r="AK357" s="179">
        <f t="shared" si="50"/>
        <v>0</v>
      </c>
      <c r="AL357" s="287" t="s">
        <v>5076</v>
      </c>
      <c r="AM357" s="311"/>
      <c r="AN357" s="321"/>
      <c r="AO357" s="128">
        <f t="shared" si="46"/>
        <v>881328</v>
      </c>
      <c r="AP357" s="169">
        <f t="shared" ref="AP357:AP359" si="51">0.7%+0.12%</f>
        <v>0.0082</v>
      </c>
      <c r="AQ357" s="275">
        <f t="shared" si="47"/>
        <v>400</v>
      </c>
      <c r="AR357" s="218"/>
      <c r="AS357" s="218"/>
      <c r="AT357" s="218"/>
      <c r="AU357" s="218"/>
      <c r="AV357" s="218"/>
      <c r="AW357" s="218">
        <v>100</v>
      </c>
      <c r="AX357" s="218">
        <f>100+200</f>
        <v>300</v>
      </c>
      <c r="AY357" s="218"/>
      <c r="AZ357" s="218"/>
      <c r="BB357" s="218"/>
      <c r="BD357" s="128">
        <v>191328</v>
      </c>
      <c r="BF357" s="128">
        <v>690000</v>
      </c>
      <c r="CI357" s="128" t="s">
        <v>376</v>
      </c>
      <c r="CJ357" s="128" t="s">
        <v>387</v>
      </c>
      <c r="CK357" s="128" t="s">
        <v>377</v>
      </c>
    </row>
    <row r="358" s="128" customFormat="1" customHeight="1" spans="1:89">
      <c r="A358" s="272">
        <v>286</v>
      </c>
      <c r="C358" s="171">
        <v>45417</v>
      </c>
      <c r="D358" s="128">
        <v>20240002622</v>
      </c>
      <c r="F358" s="287" t="s">
        <v>5077</v>
      </c>
      <c r="G358" s="272" t="s">
        <v>5078</v>
      </c>
      <c r="H358" s="1017" t="s">
        <v>5079</v>
      </c>
      <c r="I358" s="273" t="s">
        <v>5080</v>
      </c>
      <c r="J358" s="128">
        <v>137.88</v>
      </c>
      <c r="K358" s="128">
        <v>137.88</v>
      </c>
      <c r="L358" s="128">
        <v>6000</v>
      </c>
      <c r="M358" s="274">
        <v>827280</v>
      </c>
      <c r="N358" s="218">
        <v>6000</v>
      </c>
      <c r="O358" s="168">
        <v>758972.48</v>
      </c>
      <c r="P358" s="287" t="s">
        <v>5081</v>
      </c>
      <c r="Q358" s="211">
        <v>45908</v>
      </c>
      <c r="R358" s="218"/>
      <c r="S358" s="219"/>
      <c r="T358" s="272"/>
      <c r="U358" s="219" t="s">
        <v>383</v>
      </c>
      <c r="V358" s="218">
        <v>10000</v>
      </c>
      <c r="W358" s="219" t="s">
        <v>571</v>
      </c>
      <c r="X358" s="218">
        <v>157280</v>
      </c>
      <c r="Y358" s="219" t="s">
        <v>714</v>
      </c>
      <c r="Z358" s="218">
        <v>660000</v>
      </c>
      <c r="AA358" s="219" t="s">
        <v>4063</v>
      </c>
      <c r="AB358" s="218"/>
      <c r="AC358" s="171"/>
      <c r="AD358" s="171"/>
      <c r="AE358" s="171"/>
      <c r="AF358" s="171"/>
      <c r="AG358" s="171"/>
      <c r="AH358" s="218">
        <f t="shared" si="45"/>
        <v>827280</v>
      </c>
      <c r="AK358" s="179">
        <f t="shared" si="50"/>
        <v>0</v>
      </c>
      <c r="AL358" s="287" t="s">
        <v>5082</v>
      </c>
      <c r="AM358" s="311"/>
      <c r="AN358" s="321"/>
      <c r="AO358" s="128">
        <f t="shared" si="46"/>
        <v>827280</v>
      </c>
      <c r="AP358" s="169">
        <f t="shared" si="51"/>
        <v>0.0082</v>
      </c>
      <c r="AQ358" s="275">
        <f t="shared" si="47"/>
        <v>100</v>
      </c>
      <c r="AR358" s="275">
        <v>100</v>
      </c>
      <c r="AS358" s="218"/>
      <c r="AT358" s="218"/>
      <c r="AU358" s="218"/>
      <c r="AV358" s="218"/>
      <c r="AW358" s="218"/>
      <c r="AX358" s="218"/>
      <c r="AY358" s="218"/>
      <c r="AZ358" s="218"/>
      <c r="BA358" s="292"/>
      <c r="BB358" s="218"/>
      <c r="BC358" s="292"/>
      <c r="BI358" s="128">
        <v>167280</v>
      </c>
      <c r="BL358" s="128">
        <v>660000</v>
      </c>
      <c r="CI358" s="128" t="s">
        <v>376</v>
      </c>
      <c r="CJ358" s="128" t="s">
        <v>387</v>
      </c>
      <c r="CK358" s="128" t="s">
        <v>377</v>
      </c>
    </row>
    <row r="359" s="128" customFormat="1" customHeight="1" spans="1:89">
      <c r="A359" s="272">
        <v>287</v>
      </c>
      <c r="C359" s="171">
        <v>45204</v>
      </c>
      <c r="D359" s="128">
        <v>20230008703</v>
      </c>
      <c r="F359" s="287" t="s">
        <v>5083</v>
      </c>
      <c r="G359" s="272" t="s">
        <v>4974</v>
      </c>
      <c r="H359" s="1017" t="s">
        <v>5084</v>
      </c>
      <c r="I359" s="273" t="s">
        <v>5085</v>
      </c>
      <c r="J359" s="128">
        <v>147.09</v>
      </c>
      <c r="K359" s="128">
        <v>147.09</v>
      </c>
      <c r="L359" s="128">
        <v>6040.67</v>
      </c>
      <c r="M359" s="274">
        <v>888523</v>
      </c>
      <c r="N359" s="218">
        <v>6040.67</v>
      </c>
      <c r="O359" s="168">
        <v>815158.72</v>
      </c>
      <c r="P359" s="287" t="s">
        <v>5086</v>
      </c>
      <c r="Q359" s="211">
        <v>45908</v>
      </c>
      <c r="R359" s="218"/>
      <c r="S359" s="219"/>
      <c r="T359" s="272"/>
      <c r="U359" s="219" t="s">
        <v>383</v>
      </c>
      <c r="V359" s="218">
        <v>20000</v>
      </c>
      <c r="W359" s="219" t="s">
        <v>571</v>
      </c>
      <c r="X359" s="218">
        <v>736023</v>
      </c>
      <c r="Y359" s="211" t="s">
        <v>587</v>
      </c>
      <c r="Z359" s="272">
        <v>132500</v>
      </c>
      <c r="AA359" s="211" t="s">
        <v>795</v>
      </c>
      <c r="AB359" s="218"/>
      <c r="AC359" s="171"/>
      <c r="AD359" s="171"/>
      <c r="AE359" s="171"/>
      <c r="AF359" s="171"/>
      <c r="AG359" s="171"/>
      <c r="AH359" s="218">
        <f t="shared" si="45"/>
        <v>888523</v>
      </c>
      <c r="AK359" s="179">
        <f t="shared" si="50"/>
        <v>0</v>
      </c>
      <c r="AL359" s="287" t="s">
        <v>5087</v>
      </c>
      <c r="AM359" s="311"/>
      <c r="AN359" s="321"/>
      <c r="AO359" s="128">
        <f t="shared" si="46"/>
        <v>888523</v>
      </c>
      <c r="AP359" s="169">
        <f t="shared" si="51"/>
        <v>0.0082</v>
      </c>
      <c r="AQ359" s="275">
        <f t="shared" si="47"/>
        <v>200</v>
      </c>
      <c r="AR359" s="218"/>
      <c r="AS359" s="218"/>
      <c r="AT359" s="218"/>
      <c r="AU359" s="218"/>
      <c r="AV359" s="218"/>
      <c r="AW359" s="218"/>
      <c r="AX359" s="218">
        <v>200</v>
      </c>
      <c r="AY359" s="218"/>
      <c r="AZ359" s="218"/>
      <c r="BA359" s="292"/>
      <c r="BB359" s="218">
        <v>888523</v>
      </c>
      <c r="BC359" s="292"/>
      <c r="CI359" s="128" t="s">
        <v>376</v>
      </c>
      <c r="CJ359" s="128" t="s">
        <v>387</v>
      </c>
      <c r="CK359" s="128" t="s">
        <v>377</v>
      </c>
    </row>
    <row r="360" s="128" customFormat="1" customHeight="1" spans="1:89">
      <c r="A360" s="272">
        <v>288</v>
      </c>
      <c r="C360" s="171">
        <v>45255</v>
      </c>
      <c r="D360" s="128">
        <v>20230009916</v>
      </c>
      <c r="F360" s="287" t="s">
        <v>5088</v>
      </c>
      <c r="G360" s="272" t="s">
        <v>5089</v>
      </c>
      <c r="H360" s="1017" t="s">
        <v>5090</v>
      </c>
      <c r="I360" s="276" t="s">
        <v>5091</v>
      </c>
      <c r="J360" s="128">
        <v>137.88</v>
      </c>
      <c r="K360" s="128">
        <v>137.88</v>
      </c>
      <c r="L360" s="128">
        <v>6055.59</v>
      </c>
      <c r="M360" s="274">
        <v>834945</v>
      </c>
      <c r="N360" s="218">
        <v>6055.59</v>
      </c>
      <c r="O360" s="168">
        <v>766004.59</v>
      </c>
      <c r="P360" s="287" t="s">
        <v>5092</v>
      </c>
      <c r="Q360" s="211">
        <v>45908</v>
      </c>
      <c r="R360" s="218"/>
      <c r="S360" s="219"/>
      <c r="T360" s="1017" t="s">
        <v>5093</v>
      </c>
      <c r="U360" s="219" t="s">
        <v>486</v>
      </c>
      <c r="V360" s="218">
        <v>10000</v>
      </c>
      <c r="W360" s="219" t="s">
        <v>1574</v>
      </c>
      <c r="X360" s="218">
        <v>10000</v>
      </c>
      <c r="Y360" s="219" t="s">
        <v>4330</v>
      </c>
      <c r="Z360" s="272">
        <v>154945</v>
      </c>
      <c r="AA360" s="211" t="s">
        <v>589</v>
      </c>
      <c r="AB360" s="218">
        <v>660000</v>
      </c>
      <c r="AC360" s="219" t="s">
        <v>5094</v>
      </c>
      <c r="AD360" s="171"/>
      <c r="AE360" s="171"/>
      <c r="AF360" s="171"/>
      <c r="AG360" s="171"/>
      <c r="AH360" s="218">
        <f t="shared" si="45"/>
        <v>834945</v>
      </c>
      <c r="AK360" s="179">
        <f t="shared" si="50"/>
        <v>0</v>
      </c>
      <c r="AL360" s="287"/>
      <c r="AM360" s="311"/>
      <c r="AN360" s="321"/>
      <c r="AO360" s="128">
        <f t="shared" si="46"/>
        <v>834945</v>
      </c>
      <c r="AP360" s="169">
        <f>0.7%+0.02%+0.08%</f>
        <v>0.008</v>
      </c>
      <c r="AQ360" s="275">
        <f t="shared" si="47"/>
        <v>100</v>
      </c>
      <c r="AR360" s="275">
        <v>100</v>
      </c>
      <c r="AS360" s="218"/>
      <c r="AT360" s="218"/>
      <c r="AU360" s="218"/>
      <c r="AV360" s="218"/>
      <c r="AW360" s="218"/>
      <c r="AX360" s="218"/>
      <c r="AY360" s="218"/>
      <c r="AZ360" s="218"/>
      <c r="BB360" s="218"/>
      <c r="BC360" s="128">
        <v>174945</v>
      </c>
      <c r="BF360" s="128">
        <v>660000</v>
      </c>
      <c r="CI360" s="128" t="s">
        <v>376</v>
      </c>
      <c r="CJ360" s="128" t="s">
        <v>387</v>
      </c>
      <c r="CK360" s="128" t="s">
        <v>377</v>
      </c>
    </row>
    <row r="361" s="128" customFormat="1" customHeight="1" spans="1:89">
      <c r="A361" s="272">
        <v>289</v>
      </c>
      <c r="C361" s="171">
        <v>45199</v>
      </c>
      <c r="D361" s="128">
        <v>20230008368</v>
      </c>
      <c r="F361" s="287" t="s">
        <v>5095</v>
      </c>
      <c r="G361" s="272" t="s">
        <v>5096</v>
      </c>
      <c r="H361" s="1017" t="s">
        <v>5025</v>
      </c>
      <c r="I361" s="276" t="s">
        <v>5097</v>
      </c>
      <c r="J361" s="128">
        <v>147.09</v>
      </c>
      <c r="K361" s="128">
        <v>147.09</v>
      </c>
      <c r="L361" s="128">
        <v>6067.84</v>
      </c>
      <c r="M361" s="274">
        <v>892519</v>
      </c>
      <c r="N361" s="218">
        <v>6067.84</v>
      </c>
      <c r="O361" s="168">
        <v>818824.77</v>
      </c>
      <c r="P361" s="287" t="s">
        <v>5098</v>
      </c>
      <c r="Q361" s="211">
        <v>45908</v>
      </c>
      <c r="R361" s="218"/>
      <c r="S361" s="219"/>
      <c r="T361" s="1017" t="s">
        <v>1931</v>
      </c>
      <c r="U361" s="219" t="s">
        <v>410</v>
      </c>
      <c r="V361" s="218">
        <f>10000-10000</f>
        <v>0</v>
      </c>
      <c r="W361" s="219" t="s">
        <v>1742</v>
      </c>
      <c r="X361" s="218">
        <v>10000</v>
      </c>
      <c r="Y361" s="219" t="s">
        <v>571</v>
      </c>
      <c r="Z361" s="218">
        <v>60519</v>
      </c>
      <c r="AA361" s="219" t="s">
        <v>430</v>
      </c>
      <c r="AB361" s="218">
        <v>75900</v>
      </c>
      <c r="AC361" s="171" t="s">
        <v>796</v>
      </c>
      <c r="AD361" s="171">
        <f>36100+11000</f>
        <v>47100</v>
      </c>
      <c r="AE361" s="171" t="s">
        <v>1743</v>
      </c>
      <c r="AF361" s="218">
        <v>699000</v>
      </c>
      <c r="AG361" s="219" t="s">
        <v>5099</v>
      </c>
      <c r="AH361" s="218">
        <f t="shared" si="45"/>
        <v>892519</v>
      </c>
      <c r="AK361" s="179">
        <f t="shared" ref="AK361:AK368" si="52">M361-AH361</f>
        <v>0</v>
      </c>
      <c r="AL361" s="287" t="s">
        <v>5100</v>
      </c>
      <c r="AM361" s="311"/>
      <c r="AN361" s="321"/>
      <c r="AO361" s="128">
        <f t="shared" si="46"/>
        <v>892519</v>
      </c>
      <c r="AP361" s="169">
        <f>0.6%+0.04%+0.12%</f>
        <v>0.0076</v>
      </c>
      <c r="AQ361" s="275">
        <f t="shared" si="47"/>
        <v>300</v>
      </c>
      <c r="AR361" s="218"/>
      <c r="AS361" s="218"/>
      <c r="AT361" s="218"/>
      <c r="AU361" s="218"/>
      <c r="AV361" s="218"/>
      <c r="AW361" s="218">
        <v>100</v>
      </c>
      <c r="AX361" s="218">
        <v>200</v>
      </c>
      <c r="AY361" s="218"/>
      <c r="AZ361" s="218"/>
      <c r="BA361" s="292"/>
      <c r="BB361" s="218">
        <v>193519</v>
      </c>
      <c r="BC361" s="292">
        <v>699000</v>
      </c>
      <c r="CI361" s="128" t="s">
        <v>376</v>
      </c>
      <c r="CJ361" s="128" t="s">
        <v>387</v>
      </c>
      <c r="CK361" s="128" t="s">
        <v>377</v>
      </c>
    </row>
    <row r="362" s="128" customFormat="1" ht="45" customHeight="1" spans="1:89">
      <c r="A362" s="272">
        <v>290</v>
      </c>
      <c r="C362" s="171">
        <v>45304</v>
      </c>
      <c r="D362" s="128">
        <v>20240000310</v>
      </c>
      <c r="F362" s="287" t="s">
        <v>5101</v>
      </c>
      <c r="G362" s="284" t="s">
        <v>5102</v>
      </c>
      <c r="H362" s="272"/>
      <c r="I362" s="273" t="s">
        <v>5103</v>
      </c>
      <c r="J362" s="128">
        <v>137.88</v>
      </c>
      <c r="K362" s="128">
        <v>137.88</v>
      </c>
      <c r="L362" s="128">
        <v>6082.76</v>
      </c>
      <c r="M362" s="274">
        <v>838692</v>
      </c>
      <c r="N362" s="218">
        <v>6082.76</v>
      </c>
      <c r="O362" s="168">
        <v>769442.2</v>
      </c>
      <c r="P362" s="287" t="s">
        <v>5104</v>
      </c>
      <c r="Q362" s="211">
        <v>45908</v>
      </c>
      <c r="R362" s="218"/>
      <c r="S362" s="219"/>
      <c r="T362" s="284" t="s">
        <v>5105</v>
      </c>
      <c r="U362" s="278" t="s">
        <v>5106</v>
      </c>
      <c r="V362" s="218">
        <f>10000-10000</f>
        <v>0</v>
      </c>
      <c r="W362" s="219"/>
      <c r="X362" s="218">
        <v>20000</v>
      </c>
      <c r="Y362" s="219" t="s">
        <v>438</v>
      </c>
      <c r="Z362" s="218">
        <v>20000</v>
      </c>
      <c r="AA362" s="219" t="s">
        <v>2303</v>
      </c>
      <c r="AB362" s="218">
        <v>128692</v>
      </c>
      <c r="AC362" s="219" t="s">
        <v>3846</v>
      </c>
      <c r="AD362" s="218">
        <v>670000</v>
      </c>
      <c r="AE362" s="219" t="s">
        <v>3989</v>
      </c>
      <c r="AF362" s="171"/>
      <c r="AG362" s="171"/>
      <c r="AH362" s="218">
        <f t="shared" si="45"/>
        <v>838692</v>
      </c>
      <c r="AK362" s="179">
        <f t="shared" si="52"/>
        <v>0</v>
      </c>
      <c r="AL362" s="287" t="s">
        <v>5107</v>
      </c>
      <c r="AM362" s="311"/>
      <c r="AN362" s="321"/>
      <c r="AO362" s="128">
        <f t="shared" si="46"/>
        <v>838692</v>
      </c>
      <c r="AP362" s="169">
        <f>0.5%+0.02%+0.08%</f>
        <v>0.006</v>
      </c>
      <c r="AQ362" s="275">
        <f t="shared" si="47"/>
        <v>200</v>
      </c>
      <c r="AR362" s="218"/>
      <c r="AS362" s="218"/>
      <c r="AT362" s="218"/>
      <c r="AU362" s="218"/>
      <c r="AV362" s="218">
        <v>100</v>
      </c>
      <c r="AW362" s="218"/>
      <c r="AX362" s="218">
        <v>100</v>
      </c>
      <c r="AY362" s="218"/>
      <c r="AZ362" s="218"/>
      <c r="BA362" s="292"/>
      <c r="BB362" s="218"/>
      <c r="BC362" s="292"/>
      <c r="BE362" s="128">
        <v>168692</v>
      </c>
      <c r="BF362" s="128">
        <v>670000</v>
      </c>
      <c r="CI362" s="128" t="s">
        <v>376</v>
      </c>
      <c r="CJ362" s="128" t="s">
        <v>387</v>
      </c>
      <c r="CK362" s="128" t="s">
        <v>377</v>
      </c>
    </row>
    <row r="363" s="128" customFormat="1" ht="50" customHeight="1" spans="1:89">
      <c r="A363" s="272">
        <v>291</v>
      </c>
      <c r="C363" s="171">
        <v>45204</v>
      </c>
      <c r="D363" s="128">
        <v>20230008636</v>
      </c>
      <c r="F363" s="287" t="s">
        <v>5108</v>
      </c>
      <c r="G363" s="284" t="s">
        <v>5109</v>
      </c>
      <c r="H363" s="1017" t="s">
        <v>5110</v>
      </c>
      <c r="I363" s="276" t="s">
        <v>5111</v>
      </c>
      <c r="J363" s="128">
        <v>147.09</v>
      </c>
      <c r="K363" s="128">
        <v>147.09</v>
      </c>
      <c r="L363" s="128">
        <v>6096.75</v>
      </c>
      <c r="M363" s="274">
        <v>896772</v>
      </c>
      <c r="N363" s="218">
        <v>6096.75</v>
      </c>
      <c r="O363" s="168">
        <v>822726.61</v>
      </c>
      <c r="P363" s="287" t="s">
        <v>5112</v>
      </c>
      <c r="Q363" s="211">
        <v>45908</v>
      </c>
      <c r="R363" s="218"/>
      <c r="S363" s="219"/>
      <c r="T363" s="1017" t="s">
        <v>2309</v>
      </c>
      <c r="U363" s="278" t="s">
        <v>5075</v>
      </c>
      <c r="V363" s="218">
        <f>10000-10000</f>
        <v>0</v>
      </c>
      <c r="W363" s="219" t="s">
        <v>4903</v>
      </c>
      <c r="X363" s="218">
        <v>10000</v>
      </c>
      <c r="Y363" s="219" t="s">
        <v>571</v>
      </c>
      <c r="Z363" s="218">
        <v>156772</v>
      </c>
      <c r="AA363" s="219" t="s">
        <v>587</v>
      </c>
      <c r="AB363" s="218">
        <v>20000</v>
      </c>
      <c r="AC363" s="219" t="s">
        <v>552</v>
      </c>
      <c r="AD363" s="272">
        <v>8000</v>
      </c>
      <c r="AE363" s="171" t="s">
        <v>4731</v>
      </c>
      <c r="AF363" s="218">
        <v>702000</v>
      </c>
      <c r="AG363" s="219" t="s">
        <v>4860</v>
      </c>
      <c r="AH363" s="218">
        <f t="shared" si="45"/>
        <v>896772</v>
      </c>
      <c r="AK363" s="179">
        <f t="shared" si="52"/>
        <v>0</v>
      </c>
      <c r="AL363" s="287" t="s">
        <v>5113</v>
      </c>
      <c r="AM363" s="311"/>
      <c r="AN363" s="321"/>
      <c r="AO363" s="128">
        <f t="shared" si="46"/>
        <v>896772</v>
      </c>
      <c r="AP363" s="169">
        <f>0.6%+0.04%+0.12%</f>
        <v>0.0076</v>
      </c>
      <c r="AQ363" s="275">
        <f t="shared" si="47"/>
        <v>300</v>
      </c>
      <c r="AR363" s="218"/>
      <c r="AS363" s="218"/>
      <c r="AT363" s="218"/>
      <c r="AU363" s="218"/>
      <c r="AV363" s="218"/>
      <c r="AW363" s="218">
        <v>100</v>
      </c>
      <c r="AX363" s="218">
        <v>200</v>
      </c>
      <c r="AY363" s="218"/>
      <c r="AZ363" s="218"/>
      <c r="BA363" s="292"/>
      <c r="BB363" s="218"/>
      <c r="BC363" s="292">
        <v>194772</v>
      </c>
      <c r="BD363" s="128">
        <v>702000</v>
      </c>
      <c r="CI363" s="128" t="s">
        <v>376</v>
      </c>
      <c r="CJ363" s="128" t="s">
        <v>387</v>
      </c>
      <c r="CK363" s="128" t="s">
        <v>377</v>
      </c>
    </row>
    <row r="364" s="128" customFormat="1" customHeight="1" spans="1:89">
      <c r="A364" s="272">
        <v>292</v>
      </c>
      <c r="C364" s="211">
        <v>45292</v>
      </c>
      <c r="D364" s="128">
        <v>20240000114</v>
      </c>
      <c r="F364" s="287" t="s">
        <v>5114</v>
      </c>
      <c r="G364" s="284" t="s">
        <v>5115</v>
      </c>
      <c r="H364" s="1017" t="s">
        <v>5116</v>
      </c>
      <c r="I364" s="276" t="s">
        <v>5117</v>
      </c>
      <c r="J364" s="128">
        <v>137.88</v>
      </c>
      <c r="K364" s="128">
        <v>137.88</v>
      </c>
      <c r="L364" s="128">
        <v>6114.01</v>
      </c>
      <c r="M364" s="274">
        <v>843000</v>
      </c>
      <c r="N364" s="218">
        <v>6111.68</v>
      </c>
      <c r="O364" s="168">
        <v>773394.5</v>
      </c>
      <c r="P364" s="287" t="s">
        <v>5118</v>
      </c>
      <c r="Q364" s="211">
        <v>45916</v>
      </c>
      <c r="R364" s="218"/>
      <c r="S364" s="219"/>
      <c r="T364" s="1017" t="s">
        <v>2880</v>
      </c>
      <c r="U364" s="219" t="s">
        <v>486</v>
      </c>
      <c r="V364" s="218">
        <f>10000-10000</f>
        <v>0</v>
      </c>
      <c r="W364" s="219" t="s">
        <v>5119</v>
      </c>
      <c r="X364" s="218">
        <v>20000</v>
      </c>
      <c r="Y364" s="219" t="s">
        <v>682</v>
      </c>
      <c r="Z364" s="272">
        <v>103000</v>
      </c>
      <c r="AA364" s="211" t="s">
        <v>3442</v>
      </c>
      <c r="AB364" s="218">
        <v>50000</v>
      </c>
      <c r="AC364" s="171" t="s">
        <v>5120</v>
      </c>
      <c r="AD364" s="218">
        <v>670000</v>
      </c>
      <c r="AE364" s="219" t="s">
        <v>3869</v>
      </c>
      <c r="AF364" s="171"/>
      <c r="AG364" s="171"/>
      <c r="AH364" s="218">
        <f t="shared" si="45"/>
        <v>843000</v>
      </c>
      <c r="AK364" s="179">
        <f t="shared" si="52"/>
        <v>0</v>
      </c>
      <c r="AL364" s="287" t="s">
        <v>5121</v>
      </c>
      <c r="AM364" s="311"/>
      <c r="AN364" s="321"/>
      <c r="AO364" s="128">
        <f t="shared" si="46"/>
        <v>843000</v>
      </c>
      <c r="AP364" s="173">
        <f>0.4%+0.03%+0.08%</f>
        <v>0.0051</v>
      </c>
      <c r="AQ364" s="275">
        <f t="shared" si="47"/>
        <v>100</v>
      </c>
      <c r="AR364" s="275">
        <v>100</v>
      </c>
      <c r="AS364" s="218"/>
      <c r="AT364" s="218"/>
      <c r="AU364" s="218"/>
      <c r="AV364" s="218"/>
      <c r="AW364" s="218"/>
      <c r="AX364" s="218"/>
      <c r="AY364" s="218"/>
      <c r="AZ364" s="218"/>
      <c r="BA364" s="292"/>
      <c r="BB364" s="218"/>
      <c r="BC364" s="292"/>
      <c r="BE364" s="128">
        <v>173000</v>
      </c>
      <c r="BG364" s="128">
        <v>670000</v>
      </c>
      <c r="CI364" s="128" t="s">
        <v>376</v>
      </c>
      <c r="CJ364" s="128" t="s">
        <v>387</v>
      </c>
      <c r="CK364" s="128" t="s">
        <v>377</v>
      </c>
    </row>
    <row r="365" s="128" customFormat="1" customHeight="1" spans="1:89">
      <c r="A365" s="272">
        <v>293</v>
      </c>
      <c r="C365" s="171">
        <v>45463</v>
      </c>
      <c r="D365" s="128">
        <v>20240003533</v>
      </c>
      <c r="F365" s="287" t="s">
        <v>5122</v>
      </c>
      <c r="G365" s="272" t="s">
        <v>5123</v>
      </c>
      <c r="H365" s="1017" t="s">
        <v>5124</v>
      </c>
      <c r="I365" s="276" t="s">
        <v>5125</v>
      </c>
      <c r="J365" s="128">
        <v>147.09</v>
      </c>
      <c r="K365" s="128">
        <v>147.09</v>
      </c>
      <c r="L365" s="128">
        <f>M365/K365</f>
        <v>6118.70283499898</v>
      </c>
      <c r="M365" s="274">
        <v>900000</v>
      </c>
      <c r="N365" s="218">
        <v>6118.49</v>
      </c>
      <c r="O365" s="168">
        <v>825688.07</v>
      </c>
      <c r="P365" s="287" t="s">
        <v>5126</v>
      </c>
      <c r="Q365" s="211">
        <v>45873</v>
      </c>
      <c r="R365" s="218"/>
      <c r="T365" s="1016" t="s">
        <v>5110</v>
      </c>
      <c r="U365" s="128" t="s">
        <v>410</v>
      </c>
      <c r="V365" s="128">
        <v>2000</v>
      </c>
      <c r="W365" s="128" t="s">
        <v>5127</v>
      </c>
      <c r="X365" s="218">
        <v>18000</v>
      </c>
      <c r="Y365" s="211" t="s">
        <v>4316</v>
      </c>
      <c r="Z365" s="128">
        <v>160000</v>
      </c>
      <c r="AA365" s="128" t="s">
        <v>3919</v>
      </c>
      <c r="AB365" s="218">
        <v>45000</v>
      </c>
      <c r="AC365" s="171" t="s">
        <v>3919</v>
      </c>
      <c r="AD365" s="214">
        <v>675000</v>
      </c>
      <c r="AE365" s="171" t="s">
        <v>5128</v>
      </c>
      <c r="AF365" s="171"/>
      <c r="AG365" s="171"/>
      <c r="AH365" s="218">
        <f t="shared" si="45"/>
        <v>900000</v>
      </c>
      <c r="AK365" s="179">
        <f t="shared" si="52"/>
        <v>0</v>
      </c>
      <c r="AL365" s="287" t="s">
        <v>5129</v>
      </c>
      <c r="AM365" s="311"/>
      <c r="AN365" s="321"/>
      <c r="AO365" s="128">
        <f t="shared" si="46"/>
        <v>900000</v>
      </c>
      <c r="AP365" s="169">
        <f>0.7%+0.12%</f>
        <v>0.0082</v>
      </c>
      <c r="AQ365" s="275">
        <f t="shared" si="47"/>
        <v>0</v>
      </c>
      <c r="AR365" s="218"/>
      <c r="AS365" s="218"/>
      <c r="AT365" s="218"/>
      <c r="AU365" s="218"/>
      <c r="AV365" s="218"/>
      <c r="AW365" s="218"/>
      <c r="AX365" s="218"/>
      <c r="AY365" s="218"/>
      <c r="AZ365" s="218"/>
      <c r="BA365" s="292"/>
      <c r="BB365" s="218"/>
      <c r="BC365" s="292"/>
      <c r="BJ365" s="128">
        <v>900000</v>
      </c>
      <c r="CI365" s="128" t="s">
        <v>376</v>
      </c>
      <c r="CJ365" s="128" t="s">
        <v>387</v>
      </c>
      <c r="CK365" s="128" t="s">
        <v>377</v>
      </c>
    </row>
    <row r="366" s="128" customFormat="1" ht="46" customHeight="1" spans="1:89">
      <c r="A366" s="272">
        <v>294</v>
      </c>
      <c r="C366" s="171">
        <v>45204</v>
      </c>
      <c r="D366" s="128">
        <v>20230008640</v>
      </c>
      <c r="F366" s="287" t="s">
        <v>5130</v>
      </c>
      <c r="G366" s="284" t="s">
        <v>5131</v>
      </c>
      <c r="H366" s="1017" t="s">
        <v>5132</v>
      </c>
      <c r="I366" s="273" t="s">
        <v>5133</v>
      </c>
      <c r="J366" s="128">
        <v>137.88</v>
      </c>
      <c r="K366" s="128">
        <v>137.88</v>
      </c>
      <c r="L366" s="128">
        <v>6133.42</v>
      </c>
      <c r="M366" s="274">
        <v>845676</v>
      </c>
      <c r="N366" s="218">
        <v>6133.42</v>
      </c>
      <c r="O366" s="168">
        <v>775849.54</v>
      </c>
      <c r="P366" s="287" t="s">
        <v>5134</v>
      </c>
      <c r="Q366" s="211">
        <v>45908</v>
      </c>
      <c r="R366" s="218"/>
      <c r="S366" s="219"/>
      <c r="T366" s="1017" t="s">
        <v>5135</v>
      </c>
      <c r="U366" s="278" t="s">
        <v>5136</v>
      </c>
      <c r="V366" s="218">
        <f>10000-10000</f>
        <v>0</v>
      </c>
      <c r="W366" s="219" t="s">
        <v>2165</v>
      </c>
      <c r="X366" s="218">
        <v>10000</v>
      </c>
      <c r="Y366" s="219" t="s">
        <v>571</v>
      </c>
      <c r="Z366" s="218">
        <v>65000</v>
      </c>
      <c r="AA366" s="219" t="s">
        <v>2916</v>
      </c>
      <c r="AB366" s="218">
        <f>120000+676</f>
        <v>120676</v>
      </c>
      <c r="AC366" s="171" t="s">
        <v>1981</v>
      </c>
      <c r="AD366" s="214">
        <v>10000</v>
      </c>
      <c r="AE366" s="171" t="s">
        <v>4576</v>
      </c>
      <c r="AF366" s="218">
        <f>190000+450000</f>
        <v>640000</v>
      </c>
      <c r="AG366" s="278" t="s">
        <v>5137</v>
      </c>
      <c r="AH366" s="218">
        <f t="shared" si="45"/>
        <v>845676</v>
      </c>
      <c r="AK366" s="179">
        <f t="shared" si="52"/>
        <v>0</v>
      </c>
      <c r="AL366" s="287" t="s">
        <v>5138</v>
      </c>
      <c r="AM366" s="311"/>
      <c r="AN366" s="321"/>
      <c r="AO366" s="128">
        <f t="shared" si="46"/>
        <v>845676</v>
      </c>
      <c r="AP366" s="169">
        <f>0.7%+0.02%+0.12%</f>
        <v>0.0084</v>
      </c>
      <c r="AQ366" s="275">
        <f t="shared" si="47"/>
        <v>300</v>
      </c>
      <c r="AR366" s="218"/>
      <c r="AS366" s="218"/>
      <c r="AT366" s="218"/>
      <c r="AU366" s="218">
        <v>100</v>
      </c>
      <c r="AV366" s="218"/>
      <c r="AW366" s="218"/>
      <c r="AX366" s="218">
        <v>200</v>
      </c>
      <c r="AY366" s="218"/>
      <c r="AZ366" s="218"/>
      <c r="BA366" s="292"/>
      <c r="BB366" s="218"/>
      <c r="BC366" s="292">
        <v>395676</v>
      </c>
      <c r="BD366" s="128">
        <v>450000</v>
      </c>
      <c r="CI366" s="128" t="s">
        <v>376</v>
      </c>
      <c r="CJ366" s="128" t="s">
        <v>387</v>
      </c>
      <c r="CK366" s="128" t="s">
        <v>377</v>
      </c>
    </row>
    <row r="367" s="128" customFormat="1" ht="49" customHeight="1" spans="1:89">
      <c r="A367" s="272">
        <v>295</v>
      </c>
      <c r="C367" s="171">
        <v>45398</v>
      </c>
      <c r="D367" s="128">
        <v>20240002103</v>
      </c>
      <c r="F367" s="287" t="s">
        <v>5139</v>
      </c>
      <c r="G367" s="284" t="s">
        <v>5140</v>
      </c>
      <c r="H367" s="272"/>
      <c r="I367" s="276" t="s">
        <v>5141</v>
      </c>
      <c r="J367" s="128">
        <v>147.09</v>
      </c>
      <c r="K367" s="128">
        <v>147.09</v>
      </c>
      <c r="L367" s="128">
        <v>7160</v>
      </c>
      <c r="M367" s="274">
        <v>1053164</v>
      </c>
      <c r="N367" s="218">
        <v>7159</v>
      </c>
      <c r="O367" s="168">
        <v>966205.5</v>
      </c>
      <c r="P367" s="287" t="s">
        <v>5142</v>
      </c>
      <c r="Q367" s="211">
        <v>45908</v>
      </c>
      <c r="R367" s="218"/>
      <c r="S367" s="219"/>
      <c r="T367" s="284"/>
      <c r="U367" s="278" t="s">
        <v>677</v>
      </c>
      <c r="V367" s="218">
        <v>20000</v>
      </c>
      <c r="W367" s="219" t="s">
        <v>3989</v>
      </c>
      <c r="X367" s="218">
        <v>300000</v>
      </c>
      <c r="Y367" s="318" t="s">
        <v>5143</v>
      </c>
      <c r="Z367" s="218">
        <v>733164</v>
      </c>
      <c r="AA367" s="219" t="s">
        <v>5127</v>
      </c>
      <c r="AB367" s="218"/>
      <c r="AC367" s="318"/>
      <c r="AD367" s="218"/>
      <c r="AE367" s="219"/>
      <c r="AF367" s="171"/>
      <c r="AG367" s="171"/>
      <c r="AH367" s="218">
        <f t="shared" si="45"/>
        <v>1053164</v>
      </c>
      <c r="AK367" s="179">
        <f t="shared" si="52"/>
        <v>0</v>
      </c>
      <c r="AL367" s="287" t="s">
        <v>5144</v>
      </c>
      <c r="AM367" s="311"/>
      <c r="AN367" s="321"/>
      <c r="AO367" s="128">
        <f t="shared" si="46"/>
        <v>1053164</v>
      </c>
      <c r="AP367" s="173">
        <f>0.7%+0.05%+0.14%</f>
        <v>0.0089</v>
      </c>
      <c r="AQ367" s="275">
        <f t="shared" si="47"/>
        <v>200</v>
      </c>
      <c r="AR367" s="275">
        <v>100</v>
      </c>
      <c r="AS367" s="218"/>
      <c r="AT367" s="218"/>
      <c r="AU367" s="218"/>
      <c r="AV367" s="218">
        <v>100</v>
      </c>
      <c r="AW367" s="218"/>
      <c r="AX367" s="218"/>
      <c r="AY367" s="218"/>
      <c r="AZ367" s="218"/>
      <c r="BA367" s="292"/>
      <c r="BB367" s="218"/>
      <c r="BC367" s="292"/>
      <c r="BH367" s="128">
        <v>1053164</v>
      </c>
      <c r="CI367" s="128" t="s">
        <v>376</v>
      </c>
      <c r="CJ367" s="128" t="s">
        <v>387</v>
      </c>
      <c r="CK367" s="128" t="s">
        <v>377</v>
      </c>
    </row>
    <row r="368" s="128" customFormat="1" customHeight="1" spans="1:89">
      <c r="A368" s="272">
        <v>296</v>
      </c>
      <c r="B368" s="128"/>
      <c r="C368" s="171">
        <v>45675</v>
      </c>
      <c r="D368" s="128">
        <v>20250000335</v>
      </c>
      <c r="F368" s="287" t="s">
        <v>5145</v>
      </c>
      <c r="G368" s="284" t="s">
        <v>5146</v>
      </c>
      <c r="H368" s="272"/>
      <c r="I368" s="273" t="s">
        <v>5147</v>
      </c>
      <c r="J368" s="128">
        <v>137.88</v>
      </c>
      <c r="K368" s="128">
        <v>137.88</v>
      </c>
      <c r="L368" s="128">
        <v>7034.21</v>
      </c>
      <c r="M368" s="274">
        <v>969877</v>
      </c>
      <c r="N368" s="218">
        <v>7107.63</v>
      </c>
      <c r="O368" s="168">
        <v>889795.41</v>
      </c>
      <c r="P368" s="287" t="s">
        <v>5148</v>
      </c>
      <c r="Q368" s="211">
        <v>45908</v>
      </c>
      <c r="R368" s="218"/>
      <c r="S368" s="219"/>
      <c r="T368" s="272"/>
      <c r="U368" s="219" t="s">
        <v>486</v>
      </c>
      <c r="V368" s="218">
        <f>49877+20000</f>
        <v>69877</v>
      </c>
      <c r="W368" s="219" t="s">
        <v>5149</v>
      </c>
      <c r="X368" s="218">
        <v>150000</v>
      </c>
      <c r="Y368" s="219" t="s">
        <v>489</v>
      </c>
      <c r="Z368" s="218">
        <v>750000</v>
      </c>
      <c r="AA368" s="219" t="s">
        <v>2793</v>
      </c>
      <c r="AB368" s="218"/>
      <c r="AC368" s="171"/>
      <c r="AD368" s="171"/>
      <c r="AE368" s="171"/>
      <c r="AF368" s="171"/>
      <c r="AG368" s="171"/>
      <c r="AH368" s="218">
        <f t="shared" si="45"/>
        <v>969877</v>
      </c>
      <c r="AK368" s="179">
        <f t="shared" si="52"/>
        <v>0</v>
      </c>
      <c r="AL368" s="287" t="s">
        <v>5150</v>
      </c>
      <c r="AM368" s="311" t="s">
        <v>3402</v>
      </c>
      <c r="AN368" s="321"/>
      <c r="AO368" s="128">
        <f t="shared" si="46"/>
        <v>969877</v>
      </c>
      <c r="AP368" s="173">
        <f>0.7%+0.04%+0.1%+0.03%</f>
        <v>0.0087</v>
      </c>
      <c r="AQ368" s="275">
        <f t="shared" si="47"/>
        <v>0</v>
      </c>
      <c r="AR368" s="218"/>
      <c r="AS368" s="218"/>
      <c r="AT368" s="218"/>
      <c r="AU368" s="218"/>
      <c r="AV368" s="218"/>
      <c r="AW368" s="218"/>
      <c r="AX368" s="218"/>
      <c r="AY368" s="218"/>
      <c r="AZ368" s="218"/>
      <c r="BB368" s="218"/>
      <c r="BR368" s="128">
        <v>219877</v>
      </c>
      <c r="BS368" s="128">
        <v>750000</v>
      </c>
      <c r="CI368" s="128" t="s">
        <v>376</v>
      </c>
      <c r="CK368" s="128" t="s">
        <v>377</v>
      </c>
    </row>
    <row r="369" s="128" customFormat="1" customHeight="1" spans="1:89">
      <c r="A369" s="272">
        <v>297</v>
      </c>
      <c r="C369" s="171">
        <v>45201</v>
      </c>
      <c r="D369" s="128">
        <v>20230008511</v>
      </c>
      <c r="F369" s="287" t="s">
        <v>5151</v>
      </c>
      <c r="G369" s="272" t="s">
        <v>5152</v>
      </c>
      <c r="H369" s="1017" t="s">
        <v>5153</v>
      </c>
      <c r="I369" s="276" t="s">
        <v>5154</v>
      </c>
      <c r="J369" s="128">
        <v>140.45</v>
      </c>
      <c r="K369" s="128">
        <v>140.45</v>
      </c>
      <c r="L369" s="128">
        <v>8246</v>
      </c>
      <c r="M369" s="274">
        <v>1158151</v>
      </c>
      <c r="N369" s="218">
        <v>8246</v>
      </c>
      <c r="O369" s="168">
        <v>1062523.85</v>
      </c>
      <c r="P369" s="287" t="s">
        <v>5155</v>
      </c>
      <c r="Q369" s="211">
        <v>45910</v>
      </c>
      <c r="R369" s="218"/>
      <c r="S369" s="219"/>
      <c r="T369" s="1017" t="s">
        <v>2066</v>
      </c>
      <c r="U369" s="219" t="s">
        <v>677</v>
      </c>
      <c r="V369" s="218">
        <v>10000</v>
      </c>
      <c r="W369" s="219" t="s">
        <v>1627</v>
      </c>
      <c r="X369" s="218">
        <v>10000</v>
      </c>
      <c r="Y369" s="219" t="s">
        <v>571</v>
      </c>
      <c r="Z369" s="218">
        <f>30000+57151</f>
        <v>87151</v>
      </c>
      <c r="AA369" s="219" t="s">
        <v>430</v>
      </c>
      <c r="AB369" s="218">
        <v>100000</v>
      </c>
      <c r="AC369" s="219" t="s">
        <v>421</v>
      </c>
      <c r="AD369" s="218">
        <v>25000</v>
      </c>
      <c r="AE369" s="219" t="s">
        <v>471</v>
      </c>
      <c r="AF369" s="272">
        <v>926000</v>
      </c>
      <c r="AG369" s="171" t="s">
        <v>5055</v>
      </c>
      <c r="AH369" s="218">
        <f t="shared" si="45"/>
        <v>1158151</v>
      </c>
      <c r="AK369" s="179">
        <f t="shared" ref="AK369:AK376" si="53">M369-AH369</f>
        <v>0</v>
      </c>
      <c r="AL369" s="287" t="s">
        <v>5156</v>
      </c>
      <c r="AM369" s="311"/>
      <c r="AN369" s="321"/>
      <c r="AO369" s="128">
        <f t="shared" si="46"/>
        <v>1158151</v>
      </c>
      <c r="AP369" s="169">
        <f>0.7%+0.04%+0.12%</f>
        <v>0.0086</v>
      </c>
      <c r="AQ369" s="275">
        <f t="shared" si="47"/>
        <v>300</v>
      </c>
      <c r="AR369" s="218"/>
      <c r="AS369" s="218"/>
      <c r="AT369" s="218">
        <v>100</v>
      </c>
      <c r="AU369" s="218"/>
      <c r="AV369" s="218"/>
      <c r="AW369" s="218"/>
      <c r="AX369" s="218">
        <v>200</v>
      </c>
      <c r="AY369" s="218"/>
      <c r="AZ369" s="218"/>
      <c r="BB369" s="218"/>
      <c r="BD369" s="128">
        <v>1158151</v>
      </c>
      <c r="CI369" s="128" t="s">
        <v>376</v>
      </c>
      <c r="CJ369" s="128" t="s">
        <v>387</v>
      </c>
      <c r="CK369" s="128" t="s">
        <v>377</v>
      </c>
    </row>
    <row r="370" s="128" customFormat="1" ht="46" customHeight="1" spans="1:89">
      <c r="A370" s="272">
        <v>298</v>
      </c>
      <c r="C370" s="171">
        <v>45417</v>
      </c>
      <c r="D370" s="128">
        <v>20240002580</v>
      </c>
      <c r="F370" s="287" t="s">
        <v>5157</v>
      </c>
      <c r="G370" s="284" t="s">
        <v>5158</v>
      </c>
      <c r="H370" s="1017" t="s">
        <v>5159</v>
      </c>
      <c r="I370" s="273" t="s">
        <v>5160</v>
      </c>
      <c r="J370" s="128">
        <v>141.05</v>
      </c>
      <c r="K370" s="128">
        <v>141.05</v>
      </c>
      <c r="L370" s="128">
        <v>8231.1</v>
      </c>
      <c r="M370" s="274">
        <v>1161000</v>
      </c>
      <c r="N370" s="218">
        <v>8227</v>
      </c>
      <c r="O370" s="168">
        <v>1065137.61</v>
      </c>
      <c r="P370" s="287" t="s">
        <v>5161</v>
      </c>
      <c r="Q370" s="211">
        <v>45911</v>
      </c>
      <c r="R370" s="218"/>
      <c r="S370" s="219"/>
      <c r="T370" s="284"/>
      <c r="U370" s="278" t="s">
        <v>393</v>
      </c>
      <c r="V370" s="218">
        <v>20000</v>
      </c>
      <c r="W370" s="219" t="s">
        <v>1082</v>
      </c>
      <c r="X370" s="218">
        <f>422000+719000</f>
        <v>1141000</v>
      </c>
      <c r="Y370" s="219" t="s">
        <v>1083</v>
      </c>
      <c r="Z370" s="218"/>
      <c r="AA370" s="219"/>
      <c r="AB370" s="218"/>
      <c r="AC370" s="171"/>
      <c r="AD370" s="171"/>
      <c r="AE370" s="171"/>
      <c r="AF370" s="171"/>
      <c r="AG370" s="171"/>
      <c r="AH370" s="218">
        <f t="shared" si="45"/>
        <v>1161000</v>
      </c>
      <c r="AK370" s="179">
        <f t="shared" si="53"/>
        <v>0</v>
      </c>
      <c r="AL370" s="287" t="s">
        <v>5162</v>
      </c>
      <c r="AM370" s="311"/>
      <c r="AN370" s="321"/>
      <c r="AO370" s="128">
        <f t="shared" si="46"/>
        <v>1161000</v>
      </c>
      <c r="AP370" s="173">
        <f>0.7%+0.03%+0.08%</f>
        <v>0.0081</v>
      </c>
      <c r="AQ370" s="275">
        <f t="shared" si="47"/>
        <v>400</v>
      </c>
      <c r="AR370" s="218"/>
      <c r="AS370" s="218"/>
      <c r="AT370" s="218"/>
      <c r="AU370" s="218">
        <v>100</v>
      </c>
      <c r="AV370" s="218"/>
      <c r="AW370" s="218">
        <v>100</v>
      </c>
      <c r="AX370" s="218">
        <v>200</v>
      </c>
      <c r="AY370" s="218"/>
      <c r="AZ370" s="218"/>
      <c r="BB370" s="218"/>
      <c r="BI370" s="128">
        <v>1161000</v>
      </c>
      <c r="CI370" s="128" t="s">
        <v>376</v>
      </c>
      <c r="CJ370" s="128" t="s">
        <v>387</v>
      </c>
      <c r="CK370" s="128" t="s">
        <v>377</v>
      </c>
    </row>
    <row r="371" s="128" customFormat="1" customHeight="1" spans="1:89">
      <c r="A371" s="272">
        <v>299</v>
      </c>
      <c r="B371" s="128"/>
      <c r="C371" s="171">
        <v>45570</v>
      </c>
      <c r="D371" s="128">
        <v>20240005865</v>
      </c>
      <c r="F371" s="287" t="s">
        <v>5163</v>
      </c>
      <c r="G371" s="272" t="s">
        <v>5164</v>
      </c>
      <c r="H371" s="272"/>
      <c r="I371" s="276" t="s">
        <v>5165</v>
      </c>
      <c r="J371" s="128">
        <v>137.88</v>
      </c>
      <c r="K371" s="128">
        <v>137.88</v>
      </c>
      <c r="L371" s="128">
        <v>5475.776</v>
      </c>
      <c r="M371" s="274">
        <v>755000</v>
      </c>
      <c r="N371" s="218">
        <v>5475.776</v>
      </c>
      <c r="O371" s="168">
        <v>692660.55</v>
      </c>
      <c r="P371" s="287" t="s">
        <v>5166</v>
      </c>
      <c r="Q371" s="211">
        <v>45910</v>
      </c>
      <c r="R371" s="218"/>
      <c r="S371" s="219"/>
      <c r="T371" s="272"/>
      <c r="U371" s="219" t="s">
        <v>410</v>
      </c>
      <c r="V371" s="218">
        <v>41000</v>
      </c>
      <c r="W371" s="219" t="s">
        <v>516</v>
      </c>
      <c r="X371" s="218">
        <f>60000+50000</f>
        <v>110000</v>
      </c>
      <c r="Y371" s="219" t="s">
        <v>501</v>
      </c>
      <c r="Z371" s="272">
        <v>604000</v>
      </c>
      <c r="AA371" s="211" t="s">
        <v>509</v>
      </c>
      <c r="AB371" s="218"/>
      <c r="AC371" s="171"/>
      <c r="AD371" s="171"/>
      <c r="AE371" s="171"/>
      <c r="AF371" s="171"/>
      <c r="AG371" s="171"/>
      <c r="AH371" s="218">
        <f t="shared" si="45"/>
        <v>755000</v>
      </c>
      <c r="AK371" s="179">
        <f t="shared" si="53"/>
        <v>0</v>
      </c>
      <c r="AL371" s="287" t="s">
        <v>5167</v>
      </c>
      <c r="AM371" s="311" t="s">
        <v>3579</v>
      </c>
      <c r="AN371" s="321"/>
      <c r="AO371" s="128">
        <f t="shared" si="46"/>
        <v>755000</v>
      </c>
      <c r="AP371" s="169">
        <f>0.7%+0.08%+0.03%</f>
        <v>0.0081</v>
      </c>
      <c r="AQ371" s="275">
        <f t="shared" si="47"/>
        <v>0</v>
      </c>
      <c r="AR371" s="218"/>
      <c r="AS371" s="218"/>
      <c r="AT371" s="218"/>
      <c r="AU371" s="218"/>
      <c r="AV371" s="218"/>
      <c r="AW371" s="218"/>
      <c r="AX371" s="218"/>
      <c r="AY371" s="218"/>
      <c r="AZ371" s="218"/>
      <c r="BB371" s="218"/>
      <c r="BO371" s="128">
        <v>755000</v>
      </c>
      <c r="CI371" s="128" t="s">
        <v>376</v>
      </c>
      <c r="CK371" s="128" t="s">
        <v>377</v>
      </c>
    </row>
    <row r="372" s="128" customFormat="1" customHeight="1" spans="1:89">
      <c r="A372" s="272">
        <v>300</v>
      </c>
      <c r="B372" s="128"/>
      <c r="C372" s="171">
        <v>45726</v>
      </c>
      <c r="D372" s="128">
        <v>20250001177</v>
      </c>
      <c r="F372" s="287" t="s">
        <v>5168</v>
      </c>
      <c r="G372" s="272" t="s">
        <v>5169</v>
      </c>
      <c r="H372" s="272"/>
      <c r="I372" s="273" t="s">
        <v>5170</v>
      </c>
      <c r="J372" s="128">
        <v>138.37</v>
      </c>
      <c r="K372" s="128">
        <v>138.37</v>
      </c>
      <c r="L372" s="128">
        <v>5500</v>
      </c>
      <c r="M372" s="274">
        <v>761035</v>
      </c>
      <c r="N372" s="218">
        <v>5500</v>
      </c>
      <c r="O372" s="168">
        <v>698197.25</v>
      </c>
      <c r="P372" s="287" t="s">
        <v>5171</v>
      </c>
      <c r="Q372" s="211">
        <v>45910</v>
      </c>
      <c r="R372" s="218"/>
      <c r="S372" s="219"/>
      <c r="T372" s="272"/>
      <c r="U372" s="219" t="s">
        <v>373</v>
      </c>
      <c r="V372" s="218">
        <v>20000</v>
      </c>
      <c r="W372" s="219" t="s">
        <v>898</v>
      </c>
      <c r="X372" s="218">
        <v>211035</v>
      </c>
      <c r="Y372" s="219" t="s">
        <v>3407</v>
      </c>
      <c r="Z372" s="218">
        <v>530000</v>
      </c>
      <c r="AA372" s="219" t="s">
        <v>1146</v>
      </c>
      <c r="AB372" s="218"/>
      <c r="AC372" s="171"/>
      <c r="AD372" s="171"/>
      <c r="AE372" s="171"/>
      <c r="AF372" s="171"/>
      <c r="AG372" s="171"/>
      <c r="AH372" s="218">
        <f t="shared" si="45"/>
        <v>761035</v>
      </c>
      <c r="AK372" s="179">
        <f t="shared" si="53"/>
        <v>0</v>
      </c>
      <c r="AL372" s="287" t="s">
        <v>5172</v>
      </c>
      <c r="AM372" s="311" t="s">
        <v>3450</v>
      </c>
      <c r="AN372" s="321"/>
      <c r="AO372" s="128">
        <f t="shared" si="46"/>
        <v>761035</v>
      </c>
      <c r="AP372" s="169">
        <f>0.7%+0.05%+0.1%+0.03%</f>
        <v>0.0088</v>
      </c>
      <c r="AQ372" s="275">
        <f t="shared" si="47"/>
        <v>0</v>
      </c>
      <c r="AR372" s="218"/>
      <c r="AS372" s="218"/>
      <c r="AT372" s="218"/>
      <c r="AU372" s="218"/>
      <c r="AV372" s="218"/>
      <c r="AW372" s="218"/>
      <c r="AX372" s="218"/>
      <c r="AY372" s="218"/>
      <c r="AZ372" s="218"/>
      <c r="BB372" s="218"/>
      <c r="BS372" s="128">
        <v>231035</v>
      </c>
      <c r="BT372" s="128">
        <v>530000</v>
      </c>
      <c r="CI372" s="128" t="s">
        <v>376</v>
      </c>
      <c r="CK372" s="128" t="s">
        <v>377</v>
      </c>
    </row>
    <row r="373" s="128" customFormat="1" customHeight="1" spans="1:89">
      <c r="A373" s="272">
        <v>301</v>
      </c>
      <c r="C373" s="171">
        <v>45295</v>
      </c>
      <c r="D373" s="128">
        <v>20240000085</v>
      </c>
      <c r="F373" s="1017" t="s">
        <v>5173</v>
      </c>
      <c r="G373" s="272" t="s">
        <v>5174</v>
      </c>
      <c r="H373" s="1017" t="s">
        <v>5175</v>
      </c>
      <c r="I373" s="276" t="s">
        <v>5176</v>
      </c>
      <c r="J373" s="128">
        <v>137.88</v>
      </c>
      <c r="K373" s="128">
        <v>137.88</v>
      </c>
      <c r="L373" s="128">
        <v>5840</v>
      </c>
      <c r="M373" s="274">
        <v>805219</v>
      </c>
      <c r="N373" s="218">
        <v>5824.29</v>
      </c>
      <c r="O373" s="168">
        <v>738733.03</v>
      </c>
      <c r="P373" s="287" t="s">
        <v>5177</v>
      </c>
      <c r="Q373" s="211">
        <v>45910</v>
      </c>
      <c r="R373" s="218"/>
      <c r="S373" s="219"/>
      <c r="T373" s="272"/>
      <c r="U373" s="219" t="s">
        <v>2278</v>
      </c>
      <c r="V373" s="218">
        <v>20000</v>
      </c>
      <c r="W373" s="219" t="s">
        <v>725</v>
      </c>
      <c r="X373" s="218">
        <v>5219</v>
      </c>
      <c r="Y373" s="211" t="s">
        <v>608</v>
      </c>
      <c r="Z373" s="218">
        <v>65000</v>
      </c>
      <c r="AA373" s="219" t="s">
        <v>727</v>
      </c>
      <c r="AB373" s="218">
        <v>75000</v>
      </c>
      <c r="AC373" s="171" t="s">
        <v>727</v>
      </c>
      <c r="AD373" s="218">
        <v>640000</v>
      </c>
      <c r="AE373" s="219" t="s">
        <v>3926</v>
      </c>
      <c r="AF373" s="171"/>
      <c r="AG373" s="171"/>
      <c r="AH373" s="218">
        <f t="shared" si="45"/>
        <v>805219</v>
      </c>
      <c r="AK373" s="179">
        <f t="shared" si="53"/>
        <v>0</v>
      </c>
      <c r="AL373" s="287" t="s">
        <v>5178</v>
      </c>
      <c r="AM373" s="311"/>
      <c r="AN373" s="321"/>
      <c r="AO373" s="128">
        <f t="shared" si="46"/>
        <v>805219</v>
      </c>
      <c r="AP373" s="173">
        <f>0.4%+0.02%+0.08%</f>
        <v>0.005</v>
      </c>
      <c r="AQ373" s="275">
        <f t="shared" si="47"/>
        <v>0</v>
      </c>
      <c r="AR373" s="218"/>
      <c r="AS373" s="218"/>
      <c r="AT373" s="218"/>
      <c r="AU373" s="218"/>
      <c r="AV373" s="218"/>
      <c r="AW373" s="218"/>
      <c r="AX373" s="218"/>
      <c r="AY373" s="218"/>
      <c r="AZ373" s="218"/>
      <c r="BB373" s="218"/>
      <c r="BE373" s="128">
        <v>165219</v>
      </c>
      <c r="BG373" s="128">
        <v>640000</v>
      </c>
      <c r="CI373" s="128" t="s">
        <v>376</v>
      </c>
      <c r="CJ373" s="128" t="s">
        <v>387</v>
      </c>
      <c r="CK373" s="128" t="s">
        <v>377</v>
      </c>
    </row>
    <row r="374" s="128" customFormat="1" customHeight="1" spans="1:89">
      <c r="A374" s="272">
        <v>302</v>
      </c>
      <c r="C374" s="171">
        <v>45509</v>
      </c>
      <c r="D374" s="128">
        <v>20240004487</v>
      </c>
      <c r="F374" s="287" t="s">
        <v>5179</v>
      </c>
      <c r="G374" s="272" t="s">
        <v>5180</v>
      </c>
      <c r="H374" s="1017" t="s">
        <v>5181</v>
      </c>
      <c r="I374" s="276" t="s">
        <v>5182</v>
      </c>
      <c r="J374" s="128">
        <v>138.37</v>
      </c>
      <c r="K374" s="128">
        <v>138.37</v>
      </c>
      <c r="L374" s="128">
        <v>5510</v>
      </c>
      <c r="M374" s="274">
        <v>762419</v>
      </c>
      <c r="N374" s="218">
        <v>5510</v>
      </c>
      <c r="O374" s="168">
        <v>699466.97</v>
      </c>
      <c r="P374" s="287" t="s">
        <v>5183</v>
      </c>
      <c r="Q374" s="211">
        <v>45910</v>
      </c>
      <c r="R374" s="218"/>
      <c r="S374" s="219"/>
      <c r="T374" s="272"/>
      <c r="U374" s="219" t="s">
        <v>410</v>
      </c>
      <c r="V374" s="218">
        <v>10000</v>
      </c>
      <c r="W374" s="219" t="s">
        <v>5184</v>
      </c>
      <c r="X374" s="218">
        <v>50000</v>
      </c>
      <c r="Y374" s="219" t="s">
        <v>5185</v>
      </c>
      <c r="Z374" s="272">
        <v>102419</v>
      </c>
      <c r="AA374" s="211" t="s">
        <v>4814</v>
      </c>
      <c r="AB374" s="218">
        <v>600000</v>
      </c>
      <c r="AC374" s="219" t="s">
        <v>4483</v>
      </c>
      <c r="AD374" s="171"/>
      <c r="AE374" s="171"/>
      <c r="AF374" s="171"/>
      <c r="AG374" s="171"/>
      <c r="AH374" s="218">
        <f t="shared" si="45"/>
        <v>762419</v>
      </c>
      <c r="AK374" s="179">
        <f t="shared" si="53"/>
        <v>0</v>
      </c>
      <c r="AL374" s="287" t="s">
        <v>5186</v>
      </c>
      <c r="AM374" s="311" t="s">
        <v>3956</v>
      </c>
      <c r="AN374" s="321"/>
      <c r="AO374" s="128">
        <f t="shared" si="46"/>
        <v>762419</v>
      </c>
      <c r="AP374" s="173">
        <f>0.7%+0.08%</f>
        <v>0.0078</v>
      </c>
      <c r="AQ374" s="275">
        <f t="shared" si="47"/>
        <v>0</v>
      </c>
      <c r="AR374" s="218"/>
      <c r="AS374" s="218"/>
      <c r="AT374" s="218"/>
      <c r="AU374" s="218"/>
      <c r="AV374" s="218"/>
      <c r="AW374" s="218"/>
      <c r="AX374" s="218"/>
      <c r="AY374" s="218"/>
      <c r="AZ374" s="218"/>
      <c r="BB374" s="218"/>
      <c r="BL374" s="128">
        <v>162419</v>
      </c>
      <c r="BO374" s="128">
        <v>600000</v>
      </c>
      <c r="CI374" s="128" t="s">
        <v>376</v>
      </c>
      <c r="CK374" s="128" t="s">
        <v>377</v>
      </c>
    </row>
    <row r="375" s="128" customFormat="1" customHeight="1" spans="1:89">
      <c r="A375" s="272">
        <v>303</v>
      </c>
      <c r="C375" s="171">
        <v>45296</v>
      </c>
      <c r="D375" s="128">
        <v>20240000115</v>
      </c>
      <c r="F375" s="287" t="s">
        <v>5187</v>
      </c>
      <c r="G375" s="272" t="s">
        <v>4980</v>
      </c>
      <c r="H375" s="1017" t="s">
        <v>5188</v>
      </c>
      <c r="I375" s="276" t="s">
        <v>5189</v>
      </c>
      <c r="J375" s="128">
        <v>137.88</v>
      </c>
      <c r="K375" s="128">
        <v>137.88</v>
      </c>
      <c r="L375" s="128">
        <v>5874.675</v>
      </c>
      <c r="M375" s="274">
        <v>810000</v>
      </c>
      <c r="N375" s="218">
        <v>5856.89</v>
      </c>
      <c r="O375" s="168">
        <v>743119.27</v>
      </c>
      <c r="P375" s="287" t="s">
        <v>5190</v>
      </c>
      <c r="Q375" s="211">
        <v>45908</v>
      </c>
      <c r="R375" s="218"/>
      <c r="S375" s="219"/>
      <c r="T375" s="272"/>
      <c r="U375" s="219" t="s">
        <v>383</v>
      </c>
      <c r="V375" s="218">
        <v>20000</v>
      </c>
      <c r="W375" s="219" t="s">
        <v>682</v>
      </c>
      <c r="X375" s="218">
        <v>280000</v>
      </c>
      <c r="Y375" s="211" t="s">
        <v>3442</v>
      </c>
      <c r="Z375" s="272">
        <v>460000</v>
      </c>
      <c r="AA375" s="211" t="s">
        <v>1657</v>
      </c>
      <c r="AB375" s="218">
        <v>50000</v>
      </c>
      <c r="AC375" s="171" t="s">
        <v>3876</v>
      </c>
      <c r="AD375" s="171"/>
      <c r="AE375" s="171"/>
      <c r="AF375" s="171"/>
      <c r="AG375" s="171"/>
      <c r="AH375" s="218">
        <f t="shared" si="45"/>
        <v>810000</v>
      </c>
      <c r="AK375" s="179">
        <f t="shared" si="53"/>
        <v>0</v>
      </c>
      <c r="AL375" s="287" t="s">
        <v>5191</v>
      </c>
      <c r="AM375" s="311"/>
      <c r="AN375" s="321"/>
      <c r="AO375" s="128">
        <f t="shared" si="46"/>
        <v>810000</v>
      </c>
      <c r="AP375" s="173">
        <f>0.7%+0.08%</f>
        <v>0.0078</v>
      </c>
      <c r="AQ375" s="275">
        <f t="shared" si="47"/>
        <v>0</v>
      </c>
      <c r="AR375" s="218"/>
      <c r="AS375" s="218"/>
      <c r="AT375" s="218"/>
      <c r="AU375" s="218"/>
      <c r="AV375" s="218"/>
      <c r="AW375" s="218"/>
      <c r="AX375" s="218"/>
      <c r="AY375" s="218"/>
      <c r="AZ375" s="218"/>
      <c r="BB375" s="218"/>
      <c r="BE375" s="128">
        <v>810000</v>
      </c>
      <c r="CI375" s="128" t="s">
        <v>376</v>
      </c>
      <c r="CJ375" s="128" t="s">
        <v>387</v>
      </c>
      <c r="CK375" s="128" t="s">
        <v>377</v>
      </c>
    </row>
    <row r="376" s="128" customFormat="1" customHeight="1" spans="1:89">
      <c r="A376" s="272">
        <v>304</v>
      </c>
      <c r="B376" s="128"/>
      <c r="C376" s="171">
        <v>45569</v>
      </c>
      <c r="D376" s="128">
        <v>20240005814</v>
      </c>
      <c r="F376" s="287" t="s">
        <v>5192</v>
      </c>
      <c r="G376" s="272" t="s">
        <v>5193</v>
      </c>
      <c r="H376" s="1017" t="s">
        <v>5194</v>
      </c>
      <c r="I376" s="276" t="s">
        <v>5195</v>
      </c>
      <c r="J376" s="128">
        <v>138.37</v>
      </c>
      <c r="K376" s="128">
        <v>138.37</v>
      </c>
      <c r="L376" s="128">
        <v>5540</v>
      </c>
      <c r="M376" s="274">
        <v>766570</v>
      </c>
      <c r="N376" s="218">
        <v>5540</v>
      </c>
      <c r="O376" s="168">
        <v>703275.23</v>
      </c>
      <c r="P376" s="287" t="s">
        <v>5196</v>
      </c>
      <c r="Q376" s="211">
        <v>45910</v>
      </c>
      <c r="R376" s="218"/>
      <c r="S376" s="219"/>
      <c r="T376" s="272"/>
      <c r="U376" s="219" t="s">
        <v>662</v>
      </c>
      <c r="V376" s="218">
        <v>10000</v>
      </c>
      <c r="W376" s="219">
        <v>45544</v>
      </c>
      <c r="X376" s="218">
        <v>45570</v>
      </c>
      <c r="Y376" s="211">
        <v>45550</v>
      </c>
      <c r="Z376" s="218">
        <v>98000</v>
      </c>
      <c r="AA376" s="219" t="s">
        <v>497</v>
      </c>
      <c r="AB376" s="218">
        <v>613000</v>
      </c>
      <c r="AC376" s="219" t="s">
        <v>2757</v>
      </c>
      <c r="AD376" s="171"/>
      <c r="AE376" s="171"/>
      <c r="AF376" s="171"/>
      <c r="AG376" s="171"/>
      <c r="AH376" s="218">
        <f t="shared" si="45"/>
        <v>766570</v>
      </c>
      <c r="AK376" s="179">
        <f t="shared" si="53"/>
        <v>0</v>
      </c>
      <c r="AL376" s="287" t="s">
        <v>5197</v>
      </c>
      <c r="AM376" s="311" t="s">
        <v>3579</v>
      </c>
      <c r="AN376" s="321"/>
      <c r="AO376" s="128">
        <f t="shared" si="46"/>
        <v>766570</v>
      </c>
      <c r="AP376" s="169">
        <f>0.6%+0.1%</f>
        <v>0.007</v>
      </c>
      <c r="AQ376" s="275">
        <f t="shared" si="47"/>
        <v>0</v>
      </c>
      <c r="AR376" s="218"/>
      <c r="AS376" s="218"/>
      <c r="AT376" s="218"/>
      <c r="AU376" s="218"/>
      <c r="AV376" s="218"/>
      <c r="AW376" s="218"/>
      <c r="AX376" s="218"/>
      <c r="AY376" s="218"/>
      <c r="AZ376" s="218"/>
      <c r="BB376" s="218"/>
      <c r="BN376" s="128">
        <v>153570</v>
      </c>
      <c r="BO376" s="128">
        <v>613000</v>
      </c>
      <c r="BP376" s="128"/>
      <c r="BQ376" s="128"/>
      <c r="BR376" s="128"/>
      <c r="BS376" s="128"/>
      <c r="BT376" s="128"/>
      <c r="BU376" s="128"/>
      <c r="BV376" s="128"/>
      <c r="CI376" s="128" t="s">
        <v>376</v>
      </c>
      <c r="CK376" s="128" t="s">
        <v>377</v>
      </c>
    </row>
    <row r="377" s="128" customFormat="1" customHeight="1" spans="1:89">
      <c r="A377" s="272">
        <v>305</v>
      </c>
      <c r="C377" s="171">
        <v>45198</v>
      </c>
      <c r="D377" s="128">
        <v>20230008287</v>
      </c>
      <c r="F377" s="287" t="s">
        <v>5198</v>
      </c>
      <c r="G377" s="272" t="s">
        <v>5199</v>
      </c>
      <c r="H377" s="1017" t="s">
        <v>5200</v>
      </c>
      <c r="I377" s="276" t="s">
        <v>5201</v>
      </c>
      <c r="J377" s="128">
        <v>137.88</v>
      </c>
      <c r="K377" s="128">
        <v>137.88</v>
      </c>
      <c r="L377" s="128">
        <v>5931.24</v>
      </c>
      <c r="M377" s="274">
        <v>817800</v>
      </c>
      <c r="N377" s="218">
        <v>5931.24</v>
      </c>
      <c r="O377" s="168">
        <v>750275.23</v>
      </c>
      <c r="P377" s="287" t="s">
        <v>5202</v>
      </c>
      <c r="Q377" s="211">
        <v>45908</v>
      </c>
      <c r="R377" s="218"/>
      <c r="S377" s="219"/>
      <c r="T377" s="1017" t="s">
        <v>1883</v>
      </c>
      <c r="U377" s="219" t="s">
        <v>677</v>
      </c>
      <c r="V377" s="218">
        <v>10000</v>
      </c>
      <c r="W377" s="219" t="s">
        <v>2344</v>
      </c>
      <c r="X377" s="218">
        <v>10000</v>
      </c>
      <c r="Y377" s="219" t="s">
        <v>3248</v>
      </c>
      <c r="Z377" s="272">
        <v>143800</v>
      </c>
      <c r="AA377" s="211" t="s">
        <v>571</v>
      </c>
      <c r="AB377" s="218">
        <v>654000</v>
      </c>
      <c r="AC377" s="219" t="s">
        <v>1668</v>
      </c>
      <c r="AD377" s="171"/>
      <c r="AE377" s="171"/>
      <c r="AF377" s="171"/>
      <c r="AG377" s="171"/>
      <c r="AH377" s="218">
        <f t="shared" si="45"/>
        <v>817800</v>
      </c>
      <c r="AK377" s="179">
        <f t="shared" ref="AK377:AK391" si="54">M377-AH377</f>
        <v>0</v>
      </c>
      <c r="AL377" s="287" t="s">
        <v>5203</v>
      </c>
      <c r="AM377" s="311"/>
      <c r="AN377" s="321"/>
      <c r="AO377" s="128">
        <f t="shared" si="46"/>
        <v>817800</v>
      </c>
      <c r="AP377" s="169">
        <f>0.7%+0.04%+0.12%</f>
        <v>0.0086</v>
      </c>
      <c r="AQ377" s="275">
        <f t="shared" si="47"/>
        <v>300</v>
      </c>
      <c r="AR377" s="218"/>
      <c r="AS377" s="218"/>
      <c r="AT377" s="218">
        <v>100</v>
      </c>
      <c r="AU377" s="218"/>
      <c r="AV377" s="218"/>
      <c r="AW377" s="218"/>
      <c r="AX377" s="218">
        <v>200</v>
      </c>
      <c r="AY377" s="218"/>
      <c r="AZ377" s="218"/>
      <c r="BB377" s="218">
        <v>163800</v>
      </c>
      <c r="BC377" s="128">
        <v>654000</v>
      </c>
      <c r="CI377" s="128" t="s">
        <v>376</v>
      </c>
      <c r="CJ377" s="128" t="s">
        <v>387</v>
      </c>
      <c r="CK377" s="128" t="s">
        <v>377</v>
      </c>
    </row>
    <row r="378" s="128" customFormat="1" customHeight="1" spans="1:89">
      <c r="A378" s="272">
        <v>306</v>
      </c>
      <c r="C378" s="171">
        <v>45472</v>
      </c>
      <c r="D378" s="286" t="s">
        <v>5204</v>
      </c>
      <c r="F378" s="287" t="s">
        <v>5205</v>
      </c>
      <c r="G378" s="284" t="s">
        <v>5206</v>
      </c>
      <c r="H378" s="1018" t="s">
        <v>5207</v>
      </c>
      <c r="I378" s="276" t="s">
        <v>5208</v>
      </c>
      <c r="J378" s="128">
        <v>138.37</v>
      </c>
      <c r="K378" s="128">
        <v>138.37</v>
      </c>
      <c r="L378" s="179">
        <f>M378/K378</f>
        <v>5626.1400592614</v>
      </c>
      <c r="M378" s="307">
        <v>778489</v>
      </c>
      <c r="N378" s="308">
        <v>5626.14</v>
      </c>
      <c r="O378" s="309">
        <v>714210.09</v>
      </c>
      <c r="P378" s="286" t="s">
        <v>5209</v>
      </c>
      <c r="Q378" s="310">
        <v>45908</v>
      </c>
      <c r="R378" s="218"/>
      <c r="S378" s="278"/>
      <c r="T378" s="284"/>
      <c r="U378" s="278" t="s">
        <v>373</v>
      </c>
      <c r="V378" s="218">
        <v>20000</v>
      </c>
      <c r="W378" s="278" t="s">
        <v>5210</v>
      </c>
      <c r="X378" s="218">
        <v>178489</v>
      </c>
      <c r="Y378" s="171" t="s">
        <v>5184</v>
      </c>
      <c r="Z378" s="218">
        <v>580000</v>
      </c>
      <c r="AA378" s="278" t="s">
        <v>1166</v>
      </c>
      <c r="AB378" s="218"/>
      <c r="AH378" s="218">
        <f t="shared" si="45"/>
        <v>778489</v>
      </c>
      <c r="AK378" s="179">
        <f t="shared" si="54"/>
        <v>0</v>
      </c>
      <c r="AL378" s="287" t="s">
        <v>5211</v>
      </c>
      <c r="AM378" s="311" t="s">
        <v>3956</v>
      </c>
      <c r="AN378" s="312"/>
      <c r="AO378" s="128">
        <f t="shared" si="46"/>
        <v>778489</v>
      </c>
      <c r="AP378" s="169">
        <f>0.6%+0.03%+0.08%</f>
        <v>0.0071</v>
      </c>
      <c r="AQ378" s="275">
        <f t="shared" si="47"/>
        <v>100</v>
      </c>
      <c r="AR378" s="218"/>
      <c r="AS378" s="218"/>
      <c r="AT378" s="218">
        <v>100</v>
      </c>
      <c r="AU378" s="218"/>
      <c r="AV378" s="218"/>
      <c r="AW378" s="218"/>
      <c r="AX378" s="218"/>
      <c r="AY378" s="218"/>
      <c r="AZ378" s="218"/>
      <c r="BB378" s="218"/>
      <c r="BJ378" s="128">
        <v>198489</v>
      </c>
      <c r="BL378" s="128">
        <v>580000</v>
      </c>
      <c r="CI378" s="128" t="s">
        <v>376</v>
      </c>
      <c r="CJ378" s="128" t="s">
        <v>387</v>
      </c>
      <c r="CK378" s="128" t="s">
        <v>377</v>
      </c>
    </row>
    <row r="379" s="128" customFormat="1" customHeight="1" spans="1:89">
      <c r="A379" s="272">
        <v>307</v>
      </c>
      <c r="C379" s="171">
        <v>45204</v>
      </c>
      <c r="D379" s="128">
        <v>20230008678</v>
      </c>
      <c r="F379" s="287" t="s">
        <v>5212</v>
      </c>
      <c r="G379" s="284" t="s">
        <v>5213</v>
      </c>
      <c r="H379" s="284"/>
      <c r="I379" s="276" t="s">
        <v>5214</v>
      </c>
      <c r="J379" s="128">
        <v>137.88</v>
      </c>
      <c r="K379" s="128">
        <v>137.88</v>
      </c>
      <c r="L379" s="128">
        <v>6019.725</v>
      </c>
      <c r="M379" s="307">
        <v>830000</v>
      </c>
      <c r="N379" s="308">
        <v>6000.16</v>
      </c>
      <c r="O379" s="168">
        <v>761467.89</v>
      </c>
      <c r="P379" s="286" t="s">
        <v>5215</v>
      </c>
      <c r="Q379" s="310">
        <v>45910</v>
      </c>
      <c r="R379" s="218"/>
      <c r="S379" s="278"/>
      <c r="T379" s="284" t="s">
        <v>5216</v>
      </c>
      <c r="U379" s="278" t="s">
        <v>5106</v>
      </c>
      <c r="V379" s="218">
        <v>165000</v>
      </c>
      <c r="W379" s="278" t="s">
        <v>587</v>
      </c>
      <c r="X379" s="128">
        <v>360000</v>
      </c>
      <c r="Y379" s="171" t="s">
        <v>795</v>
      </c>
      <c r="Z379" s="218">
        <v>305000</v>
      </c>
      <c r="AA379" s="278" t="s">
        <v>945</v>
      </c>
      <c r="AB379" s="218"/>
      <c r="AC379" s="278"/>
      <c r="AD379" s="171"/>
      <c r="AE379" s="171"/>
      <c r="AF379" s="171"/>
      <c r="AG379" s="171"/>
      <c r="AH379" s="218">
        <f t="shared" si="45"/>
        <v>830000</v>
      </c>
      <c r="AK379" s="179">
        <f t="shared" si="54"/>
        <v>0</v>
      </c>
      <c r="AL379" s="287"/>
      <c r="AM379" s="311"/>
      <c r="AN379" s="312"/>
      <c r="AO379" s="128">
        <f t="shared" si="46"/>
        <v>830000</v>
      </c>
      <c r="AP379" s="169">
        <f>0.5%+0.02%+0.08%</f>
        <v>0.006</v>
      </c>
      <c r="AQ379" s="275">
        <f t="shared" si="47"/>
        <v>100</v>
      </c>
      <c r="AR379" s="275">
        <v>100</v>
      </c>
      <c r="AS379" s="218"/>
      <c r="AT379" s="218"/>
      <c r="AU379" s="218"/>
      <c r="AV379" s="218"/>
      <c r="AW379" s="218"/>
      <c r="AX379" s="218"/>
      <c r="AY379" s="218"/>
      <c r="AZ379" s="218"/>
      <c r="BB379" s="218">
        <v>525000</v>
      </c>
      <c r="BC379" s="128">
        <v>305000</v>
      </c>
      <c r="CI379" s="128" t="s">
        <v>376</v>
      </c>
      <c r="CJ379" s="128" t="s">
        <v>387</v>
      </c>
      <c r="CK379" s="128" t="s">
        <v>377</v>
      </c>
    </row>
    <row r="380" s="128" customFormat="1" ht="58" customHeight="1" spans="1:89">
      <c r="A380" s="272">
        <v>308</v>
      </c>
      <c r="C380" s="171">
        <v>45314</v>
      </c>
      <c r="D380" s="286" t="s">
        <v>5217</v>
      </c>
      <c r="F380" s="287" t="s">
        <v>5218</v>
      </c>
      <c r="G380" s="177" t="s">
        <v>5219</v>
      </c>
      <c r="H380" s="1016" t="s">
        <v>5220</v>
      </c>
      <c r="I380" s="276" t="s">
        <v>5221</v>
      </c>
      <c r="J380" s="128">
        <v>138.37</v>
      </c>
      <c r="K380" s="128">
        <v>138.37</v>
      </c>
      <c r="L380" s="128">
        <v>5983.95</v>
      </c>
      <c r="M380" s="307">
        <v>828000</v>
      </c>
      <c r="N380" s="308">
        <v>5981.16</v>
      </c>
      <c r="O380" s="168">
        <v>759633.03</v>
      </c>
      <c r="P380" s="286" t="s">
        <v>5222</v>
      </c>
      <c r="Q380" s="310">
        <v>45908</v>
      </c>
      <c r="R380" s="218"/>
      <c r="S380" s="219"/>
      <c r="T380" s="272"/>
      <c r="U380" s="219" t="s">
        <v>772</v>
      </c>
      <c r="V380" s="218">
        <v>20000</v>
      </c>
      <c r="W380" s="219" t="s">
        <v>630</v>
      </c>
      <c r="X380" s="218">
        <v>208000</v>
      </c>
      <c r="Y380" s="219" t="s">
        <v>3876</v>
      </c>
      <c r="Z380" s="214">
        <v>100000</v>
      </c>
      <c r="AA380" s="128" t="s">
        <v>631</v>
      </c>
      <c r="AB380" s="218">
        <v>500000</v>
      </c>
      <c r="AC380" s="219" t="s">
        <v>1360</v>
      </c>
      <c r="AH380" s="218">
        <f t="shared" si="45"/>
        <v>828000</v>
      </c>
      <c r="AK380" s="179">
        <f t="shared" si="54"/>
        <v>0</v>
      </c>
      <c r="AL380" s="287" t="s">
        <v>5223</v>
      </c>
      <c r="AM380" s="311"/>
      <c r="AN380" s="331"/>
      <c r="AO380" s="128">
        <f t="shared" si="46"/>
        <v>828000</v>
      </c>
      <c r="AP380" s="169">
        <f>0.4%+0.03%+0.08%</f>
        <v>0.0051</v>
      </c>
      <c r="AQ380" s="275">
        <f t="shared" si="47"/>
        <v>100</v>
      </c>
      <c r="AR380" s="218"/>
      <c r="AS380" s="218"/>
      <c r="AT380" s="218">
        <v>100</v>
      </c>
      <c r="AU380" s="218"/>
      <c r="AV380" s="218"/>
      <c r="AW380" s="218"/>
      <c r="AX380" s="218"/>
      <c r="AY380" s="218"/>
      <c r="AZ380" s="218"/>
      <c r="BB380" s="218"/>
      <c r="BE380" s="128">
        <v>328000</v>
      </c>
      <c r="BH380" s="128">
        <v>500000</v>
      </c>
      <c r="CI380" s="128" t="s">
        <v>376</v>
      </c>
      <c r="CJ380" s="128" t="s">
        <v>387</v>
      </c>
      <c r="CK380" s="128" t="s">
        <v>377</v>
      </c>
    </row>
    <row r="381" s="128" customFormat="1" ht="45" customHeight="1" spans="1:89">
      <c r="A381" s="272">
        <v>309</v>
      </c>
      <c r="C381" s="184">
        <v>45214</v>
      </c>
      <c r="D381" s="286" t="s">
        <v>5224</v>
      </c>
      <c r="F381" s="287" t="s">
        <v>5225</v>
      </c>
      <c r="G381" s="177" t="s">
        <v>5226</v>
      </c>
      <c r="I381" s="276" t="s">
        <v>5227</v>
      </c>
      <c r="J381" s="128">
        <v>137.88</v>
      </c>
      <c r="K381" s="128">
        <v>137.88</v>
      </c>
      <c r="L381" s="128">
        <f>M381/K381</f>
        <v>6049.07165651291</v>
      </c>
      <c r="M381" s="307">
        <v>834046</v>
      </c>
      <c r="N381" s="308">
        <v>6049.07</v>
      </c>
      <c r="O381" s="309">
        <v>765179.82</v>
      </c>
      <c r="P381" s="286" t="s">
        <v>5228</v>
      </c>
      <c r="Q381" s="310">
        <v>45910</v>
      </c>
      <c r="R381" s="218"/>
      <c r="S381" s="219"/>
      <c r="T381" s="272"/>
      <c r="U381" s="219" t="s">
        <v>373</v>
      </c>
      <c r="V381" s="218">
        <v>1000</v>
      </c>
      <c r="W381" s="219" t="s">
        <v>5229</v>
      </c>
      <c r="X381" s="218">
        <v>20000</v>
      </c>
      <c r="Y381" s="219" t="s">
        <v>574</v>
      </c>
      <c r="Z381" s="214">
        <f>200000+167046</f>
        <v>367046</v>
      </c>
      <c r="AA381" s="128" t="s">
        <v>822</v>
      </c>
      <c r="AB381" s="218">
        <v>147000</v>
      </c>
      <c r="AC381" s="128" t="s">
        <v>822</v>
      </c>
      <c r="AD381" s="218">
        <v>300000</v>
      </c>
      <c r="AE381" s="219" t="s">
        <v>3116</v>
      </c>
      <c r="AH381" s="218">
        <f t="shared" si="45"/>
        <v>835046</v>
      </c>
      <c r="AK381" s="179">
        <f t="shared" si="54"/>
        <v>-1000</v>
      </c>
      <c r="AL381" s="287" t="s">
        <v>5230</v>
      </c>
      <c r="AM381" s="311"/>
      <c r="AN381" s="331"/>
      <c r="AO381" s="128">
        <f t="shared" si="46"/>
        <v>834046</v>
      </c>
      <c r="AP381" s="169">
        <f>0.4%+0.02%+0.08%</f>
        <v>0.005</v>
      </c>
      <c r="AQ381" s="275">
        <f t="shared" si="47"/>
        <v>100</v>
      </c>
      <c r="AR381" s="218"/>
      <c r="AS381" s="218">
        <v>100</v>
      </c>
      <c r="AT381" s="218"/>
      <c r="AU381" s="218"/>
      <c r="AV381" s="218"/>
      <c r="AW381" s="218"/>
      <c r="AX381" s="218"/>
      <c r="AY381" s="218"/>
      <c r="AZ381" s="218"/>
      <c r="BB381" s="218"/>
      <c r="BJ381" s="128">
        <v>534046</v>
      </c>
      <c r="BK381" s="128">
        <v>300000</v>
      </c>
      <c r="CI381" s="128" t="s">
        <v>376</v>
      </c>
      <c r="CJ381" s="128" t="s">
        <v>387</v>
      </c>
      <c r="CK381" s="128" t="s">
        <v>377</v>
      </c>
    </row>
    <row r="382" s="128" customFormat="1" customHeight="1" spans="1:89">
      <c r="A382" s="272">
        <v>310</v>
      </c>
      <c r="C382" s="171">
        <v>45417</v>
      </c>
      <c r="D382" s="286" t="s">
        <v>5231</v>
      </c>
      <c r="F382" s="287" t="s">
        <v>5232</v>
      </c>
      <c r="G382" s="177" t="s">
        <v>5233</v>
      </c>
      <c r="H382" s="1016" t="s">
        <v>5234</v>
      </c>
      <c r="I382" s="276" t="s">
        <v>5235</v>
      </c>
      <c r="J382" s="128">
        <v>138.37</v>
      </c>
      <c r="K382" s="128">
        <v>138.37</v>
      </c>
      <c r="L382" s="128">
        <v>6000</v>
      </c>
      <c r="M382" s="307">
        <v>830220</v>
      </c>
      <c r="N382" s="308">
        <v>6000</v>
      </c>
      <c r="O382" s="309">
        <v>761669.72</v>
      </c>
      <c r="P382" s="286" t="s">
        <v>5236</v>
      </c>
      <c r="Q382" s="310">
        <v>45908</v>
      </c>
      <c r="R382" s="218"/>
      <c r="S382" s="219"/>
      <c r="T382" s="1017" t="s">
        <v>5237</v>
      </c>
      <c r="U382" s="219" t="s">
        <v>677</v>
      </c>
      <c r="V382" s="218">
        <v>20000</v>
      </c>
      <c r="W382" s="219" t="s">
        <v>4517</v>
      </c>
      <c r="X382" s="218">
        <v>80220</v>
      </c>
      <c r="Y382" s="219" t="s">
        <v>1083</v>
      </c>
      <c r="Z382" s="218">
        <v>200000</v>
      </c>
      <c r="AA382" s="219" t="s">
        <v>3391</v>
      </c>
      <c r="AB382" s="218">
        <v>530000</v>
      </c>
      <c r="AC382" s="219" t="s">
        <v>4063</v>
      </c>
      <c r="AH382" s="218">
        <f t="shared" si="45"/>
        <v>830220</v>
      </c>
      <c r="AK382" s="179">
        <f t="shared" si="54"/>
        <v>0</v>
      </c>
      <c r="AL382" s="287" t="s">
        <v>5238</v>
      </c>
      <c r="AM382" s="311"/>
      <c r="AN382" s="331"/>
      <c r="AO382" s="128">
        <f t="shared" si="46"/>
        <v>830220</v>
      </c>
      <c r="AP382" s="173">
        <f>0.7%+0.05%+0.12%</f>
        <v>0.0087</v>
      </c>
      <c r="AQ382" s="275">
        <f t="shared" si="47"/>
        <v>100</v>
      </c>
      <c r="AR382" s="218"/>
      <c r="AS382" s="218"/>
      <c r="AT382" s="218">
        <v>100</v>
      </c>
      <c r="AU382" s="218"/>
      <c r="AV382" s="218"/>
      <c r="AW382" s="218"/>
      <c r="AX382" s="218"/>
      <c r="AY382" s="218"/>
      <c r="AZ382" s="218"/>
      <c r="BB382" s="218"/>
      <c r="BL382" s="128">
        <v>830220</v>
      </c>
      <c r="CI382" s="128" t="s">
        <v>376</v>
      </c>
      <c r="CJ382" s="128" t="s">
        <v>387</v>
      </c>
      <c r="CK382" s="128" t="s">
        <v>377</v>
      </c>
    </row>
    <row r="383" s="128" customFormat="1" customHeight="1" spans="1:89">
      <c r="A383" s="272">
        <v>311</v>
      </c>
      <c r="C383" s="171">
        <v>45390</v>
      </c>
      <c r="D383" s="128">
        <v>20240001952</v>
      </c>
      <c r="F383" s="287" t="s">
        <v>5239</v>
      </c>
      <c r="G383" s="177" t="s">
        <v>5240</v>
      </c>
      <c r="H383" s="177"/>
      <c r="I383" s="276" t="s">
        <v>5241</v>
      </c>
      <c r="J383" s="128">
        <v>137.88</v>
      </c>
      <c r="K383" s="128">
        <v>137.88</v>
      </c>
      <c r="L383" s="128">
        <f t="shared" ref="L383:L388" si="55">M383/K383</f>
        <v>6076.24020887729</v>
      </c>
      <c r="M383" s="307">
        <v>837792</v>
      </c>
      <c r="N383" s="308">
        <v>6076.24</v>
      </c>
      <c r="O383" s="168">
        <v>768616.51</v>
      </c>
      <c r="P383" s="286" t="s">
        <v>5242</v>
      </c>
      <c r="Q383" s="310">
        <v>45910</v>
      </c>
      <c r="R383" s="218"/>
      <c r="S383" s="219"/>
      <c r="T383" s="272"/>
      <c r="U383" s="278" t="s">
        <v>410</v>
      </c>
      <c r="V383" s="218">
        <v>20000</v>
      </c>
      <c r="W383" s="219" t="s">
        <v>670</v>
      </c>
      <c r="X383" s="218">
        <v>20000</v>
      </c>
      <c r="Y383" s="318" t="s">
        <v>671</v>
      </c>
      <c r="Z383" s="214">
        <v>197792</v>
      </c>
      <c r="AA383" s="128" t="s">
        <v>4424</v>
      </c>
      <c r="AB383" s="218">
        <v>600000</v>
      </c>
      <c r="AC383" s="128" t="s">
        <v>4425</v>
      </c>
      <c r="AH383" s="218">
        <f t="shared" si="45"/>
        <v>837792</v>
      </c>
      <c r="AK383" s="179">
        <f t="shared" si="54"/>
        <v>0</v>
      </c>
      <c r="AL383" s="287" t="s">
        <v>5243</v>
      </c>
      <c r="AM383" s="311"/>
      <c r="AN383" s="331"/>
      <c r="AO383" s="128">
        <f t="shared" si="46"/>
        <v>837792</v>
      </c>
      <c r="AP383" s="169">
        <f>0.7%+0.12%</f>
        <v>0.0082</v>
      </c>
      <c r="AQ383" s="275">
        <f t="shared" si="47"/>
        <v>100</v>
      </c>
      <c r="AR383" s="275">
        <v>100</v>
      </c>
      <c r="AS383" s="218"/>
      <c r="AT383" s="218"/>
      <c r="AU383" s="218"/>
      <c r="AV383" s="218"/>
      <c r="AW383" s="218"/>
      <c r="AX383" s="218"/>
      <c r="AY383" s="218"/>
      <c r="AZ383" s="218"/>
      <c r="BB383" s="218"/>
      <c r="BH383" s="128">
        <v>837792</v>
      </c>
      <c r="CI383" s="128" t="s">
        <v>376</v>
      </c>
      <c r="CJ383" s="128" t="s">
        <v>387</v>
      </c>
      <c r="CK383" s="128" t="s">
        <v>377</v>
      </c>
    </row>
    <row r="384" s="128" customFormat="1" customHeight="1" spans="1:89">
      <c r="A384" s="272">
        <v>312</v>
      </c>
      <c r="C384" s="171">
        <v>45509</v>
      </c>
      <c r="D384" s="286" t="s">
        <v>5244</v>
      </c>
      <c r="F384" s="287" t="s">
        <v>5245</v>
      </c>
      <c r="G384" s="177" t="s">
        <v>5246</v>
      </c>
      <c r="H384" s="1016" t="s">
        <v>5247</v>
      </c>
      <c r="I384" s="276" t="s">
        <v>5248</v>
      </c>
      <c r="J384" s="128">
        <v>138.37</v>
      </c>
      <c r="K384" s="128">
        <v>138.37</v>
      </c>
      <c r="L384" s="128">
        <v>5700</v>
      </c>
      <c r="M384" s="307">
        <v>788709</v>
      </c>
      <c r="N384" s="308">
        <v>5700</v>
      </c>
      <c r="O384" s="309">
        <v>723586.24</v>
      </c>
      <c r="P384" s="286" t="s">
        <v>5249</v>
      </c>
      <c r="Q384" s="310">
        <v>45910</v>
      </c>
      <c r="R384" s="218"/>
      <c r="S384" s="219"/>
      <c r="T384" s="284" t="s">
        <v>5250</v>
      </c>
      <c r="U384" s="278" t="s">
        <v>5136</v>
      </c>
      <c r="V384" s="218">
        <f>10000-10000</f>
        <v>0</v>
      </c>
      <c r="W384" s="219" t="s">
        <v>1762</v>
      </c>
      <c r="X384" s="218">
        <v>10000</v>
      </c>
      <c r="Y384" s="219" t="s">
        <v>827</v>
      </c>
      <c r="Z384" s="218">
        <v>108709</v>
      </c>
      <c r="AA384" s="219" t="s">
        <v>3800</v>
      </c>
      <c r="AB384" s="218">
        <v>670000</v>
      </c>
      <c r="AC384" s="128" t="s">
        <v>835</v>
      </c>
      <c r="AH384" s="218">
        <f t="shared" si="45"/>
        <v>788709</v>
      </c>
      <c r="AK384" s="179">
        <f t="shared" si="54"/>
        <v>0</v>
      </c>
      <c r="AL384" s="287" t="s">
        <v>5251</v>
      </c>
      <c r="AM384" s="311" t="s">
        <v>3956</v>
      </c>
      <c r="AN384" s="331"/>
      <c r="AO384" s="128">
        <f t="shared" si="46"/>
        <v>788709</v>
      </c>
      <c r="AP384" s="169">
        <f>0.5%+0.02%+0.08%</f>
        <v>0.006</v>
      </c>
      <c r="AQ384" s="275">
        <f t="shared" si="47"/>
        <v>100</v>
      </c>
      <c r="AR384" s="218"/>
      <c r="AS384" s="218"/>
      <c r="AT384" s="218">
        <v>100</v>
      </c>
      <c r="AU384" s="218"/>
      <c r="AV384" s="218"/>
      <c r="AW384" s="218"/>
      <c r="AX384" s="218"/>
      <c r="AY384" s="218"/>
      <c r="AZ384" s="218"/>
      <c r="BB384" s="218"/>
      <c r="BL384" s="128">
        <v>788709</v>
      </c>
      <c r="CI384" s="128" t="s">
        <v>376</v>
      </c>
      <c r="CK384" s="128" t="s">
        <v>377</v>
      </c>
    </row>
    <row r="385" s="128" customFormat="1" customHeight="1" spans="1:89">
      <c r="A385" s="272">
        <v>313</v>
      </c>
      <c r="C385" s="171">
        <v>45383</v>
      </c>
      <c r="D385" s="286" t="s">
        <v>5252</v>
      </c>
      <c r="F385" s="287" t="s">
        <v>5253</v>
      </c>
      <c r="G385" s="284" t="s">
        <v>5254</v>
      </c>
      <c r="I385" s="276" t="s">
        <v>5255</v>
      </c>
      <c r="J385" s="128">
        <v>137.88</v>
      </c>
      <c r="K385" s="128">
        <v>137.88</v>
      </c>
      <c r="L385" s="128">
        <f t="shared" si="55"/>
        <v>6105.15665796345</v>
      </c>
      <c r="M385" s="307">
        <v>841779</v>
      </c>
      <c r="N385" s="308">
        <v>6105.16</v>
      </c>
      <c r="O385" s="168">
        <v>772274.31</v>
      </c>
      <c r="P385" s="286" t="s">
        <v>5256</v>
      </c>
      <c r="Q385" s="310">
        <v>45910</v>
      </c>
      <c r="R385" s="218"/>
      <c r="S385" s="278"/>
      <c r="T385" s="284"/>
      <c r="U385" s="278" t="s">
        <v>410</v>
      </c>
      <c r="V385" s="218">
        <v>111779</v>
      </c>
      <c r="W385" s="278" t="s">
        <v>670</v>
      </c>
      <c r="X385" s="218">
        <v>90000</v>
      </c>
      <c r="Y385" s="318" t="s">
        <v>670</v>
      </c>
      <c r="Z385" s="214">
        <v>140000</v>
      </c>
      <c r="AA385" s="128" t="s">
        <v>4569</v>
      </c>
      <c r="AB385" s="218">
        <v>500000</v>
      </c>
      <c r="AC385" s="278" t="s">
        <v>5257</v>
      </c>
      <c r="AH385" s="218">
        <f t="shared" si="45"/>
        <v>841779</v>
      </c>
      <c r="AK385" s="179">
        <f t="shared" si="54"/>
        <v>0</v>
      </c>
      <c r="AL385" s="287"/>
      <c r="AM385" s="311"/>
      <c r="AN385" s="331"/>
      <c r="AO385" s="128">
        <f t="shared" si="46"/>
        <v>841779</v>
      </c>
      <c r="AP385" s="173">
        <f>0.7%+0.05%+0.12%</f>
        <v>0.0087</v>
      </c>
      <c r="AQ385" s="275">
        <f t="shared" si="47"/>
        <v>100</v>
      </c>
      <c r="AR385" s="275">
        <v>100</v>
      </c>
      <c r="AS385" s="218"/>
      <c r="AT385" s="218"/>
      <c r="AU385" s="218"/>
      <c r="AV385" s="218"/>
      <c r="AW385" s="218"/>
      <c r="AX385" s="218"/>
      <c r="AY385" s="218"/>
      <c r="AZ385" s="218"/>
      <c r="BB385" s="218"/>
      <c r="BH385" s="128">
        <v>341779</v>
      </c>
      <c r="BI385" s="128">
        <v>500000</v>
      </c>
      <c r="CI385" s="128" t="s">
        <v>376</v>
      </c>
      <c r="CJ385" s="128" t="s">
        <v>387</v>
      </c>
      <c r="CK385" s="128" t="s">
        <v>377</v>
      </c>
    </row>
    <row r="386" s="128" customFormat="1" customHeight="1" spans="1:89">
      <c r="A386" s="272">
        <v>314</v>
      </c>
      <c r="C386" s="171">
        <v>45493</v>
      </c>
      <c r="D386" s="286" t="s">
        <v>5258</v>
      </c>
      <c r="F386" s="287" t="s">
        <v>5259</v>
      </c>
      <c r="G386" s="177" t="s">
        <v>5260</v>
      </c>
      <c r="H386" s="1019" t="s">
        <v>5261</v>
      </c>
      <c r="I386" s="276" t="s">
        <v>5262</v>
      </c>
      <c r="J386" s="128">
        <v>138.37</v>
      </c>
      <c r="K386" s="128">
        <v>138.37</v>
      </c>
      <c r="L386" s="128">
        <v>6100</v>
      </c>
      <c r="M386" s="307">
        <v>844057</v>
      </c>
      <c r="N386" s="308">
        <v>6086.16</v>
      </c>
      <c r="O386" s="309">
        <v>774364.22</v>
      </c>
      <c r="P386" s="286" t="s">
        <v>5263</v>
      </c>
      <c r="Q386" s="310">
        <v>45908</v>
      </c>
      <c r="R386" s="218"/>
      <c r="S386" s="278"/>
      <c r="T386" s="1018" t="s">
        <v>1897</v>
      </c>
      <c r="U386" s="278" t="s">
        <v>5264</v>
      </c>
      <c r="V386" s="218">
        <f>10000-10000</f>
        <v>0</v>
      </c>
      <c r="W386" s="278" t="s">
        <v>2555</v>
      </c>
      <c r="X386" s="218">
        <v>5000</v>
      </c>
      <c r="Y386" s="278" t="s">
        <v>4493</v>
      </c>
      <c r="Z386" s="218">
        <f>14057+150000</f>
        <v>164057</v>
      </c>
      <c r="AA386" s="278" t="s">
        <v>4481</v>
      </c>
      <c r="AB386" s="218">
        <v>675000</v>
      </c>
      <c r="AC386" s="278" t="s">
        <v>5265</v>
      </c>
      <c r="AH386" s="218">
        <f t="shared" si="45"/>
        <v>844057</v>
      </c>
      <c r="AK386" s="179">
        <f t="shared" si="54"/>
        <v>0</v>
      </c>
      <c r="AL386" s="287" t="s">
        <v>5266</v>
      </c>
      <c r="AM386" s="311"/>
      <c r="AN386" s="331"/>
      <c r="AO386" s="128">
        <f t="shared" si="46"/>
        <v>844057</v>
      </c>
      <c r="AP386" s="169">
        <f>0.4%+0.05%+0.12%</f>
        <v>0.0057</v>
      </c>
      <c r="AQ386" s="275">
        <f t="shared" si="47"/>
        <v>200</v>
      </c>
      <c r="AR386" s="218"/>
      <c r="AS386" s="218"/>
      <c r="AT386" s="218">
        <v>100</v>
      </c>
      <c r="AU386" s="218"/>
      <c r="AV386" s="218"/>
      <c r="AW386" s="218">
        <v>100</v>
      </c>
      <c r="AX386" s="218"/>
      <c r="AY386" s="218"/>
      <c r="AZ386" s="218"/>
      <c r="BB386" s="218"/>
      <c r="BK386" s="128">
        <v>169057</v>
      </c>
      <c r="BL386" s="128">
        <v>675000</v>
      </c>
      <c r="CI386" s="128" t="s">
        <v>376</v>
      </c>
      <c r="CK386" s="128" t="s">
        <v>377</v>
      </c>
    </row>
    <row r="387" s="128" customFormat="1" customHeight="1" spans="1:89">
      <c r="A387" s="272">
        <v>315</v>
      </c>
      <c r="C387" s="171">
        <v>45493</v>
      </c>
      <c r="D387" s="286" t="s">
        <v>5267</v>
      </c>
      <c r="F387" s="287" t="s">
        <v>5268</v>
      </c>
      <c r="G387" s="177" t="s">
        <v>5269</v>
      </c>
      <c r="H387" s="177"/>
      <c r="I387" s="276" t="s">
        <v>5270</v>
      </c>
      <c r="J387" s="128">
        <v>137.88</v>
      </c>
      <c r="K387" s="128">
        <v>137.88</v>
      </c>
      <c r="L387" s="128">
        <f t="shared" si="55"/>
        <v>6017.20336524514</v>
      </c>
      <c r="M387" s="307">
        <v>829652</v>
      </c>
      <c r="N387" s="332">
        <v>6017.2</v>
      </c>
      <c r="O387" s="309">
        <v>761148.62</v>
      </c>
      <c r="P387" s="286" t="s">
        <v>5271</v>
      </c>
      <c r="Q387" s="310">
        <v>45908</v>
      </c>
      <c r="R387" s="218"/>
      <c r="S387" s="219"/>
      <c r="T387" s="272"/>
      <c r="U387" s="219" t="s">
        <v>400</v>
      </c>
      <c r="V387" s="218">
        <v>59652</v>
      </c>
      <c r="W387" s="219" t="s">
        <v>4481</v>
      </c>
      <c r="X387" s="218">
        <v>110000</v>
      </c>
      <c r="Y387" s="219" t="s">
        <v>3392</v>
      </c>
      <c r="Z387" s="218">
        <v>660000</v>
      </c>
      <c r="AA387" s="219" t="s">
        <v>5272</v>
      </c>
      <c r="AB387" s="218"/>
      <c r="AH387" s="218">
        <f t="shared" si="45"/>
        <v>829652</v>
      </c>
      <c r="AK387" s="179">
        <f t="shared" si="54"/>
        <v>0</v>
      </c>
      <c r="AL387" s="287" t="s">
        <v>5273</v>
      </c>
      <c r="AM387" s="311" t="s">
        <v>4659</v>
      </c>
      <c r="AN387" s="331"/>
      <c r="AO387" s="128">
        <f t="shared" si="46"/>
        <v>829652</v>
      </c>
      <c r="AP387" s="178">
        <f>0.7%+0.03%+0.08%</f>
        <v>0.0081</v>
      </c>
      <c r="AQ387" s="275">
        <f t="shared" si="47"/>
        <v>100</v>
      </c>
      <c r="AR387" s="218"/>
      <c r="AS387" s="218"/>
      <c r="AT387" s="218"/>
      <c r="AU387" s="218"/>
      <c r="AV387" s="218">
        <v>100</v>
      </c>
      <c r="AW387" s="218"/>
      <c r="AX387" s="218"/>
      <c r="AY387" s="218"/>
      <c r="AZ387" s="218"/>
      <c r="BB387" s="218"/>
      <c r="BL387" s="128">
        <v>169652</v>
      </c>
      <c r="BM387" s="128">
        <v>660000</v>
      </c>
      <c r="CI387" s="128" t="s">
        <v>376</v>
      </c>
      <c r="CK387" s="128" t="s">
        <v>377</v>
      </c>
    </row>
    <row r="388" s="128" customFormat="1" customHeight="1" spans="1:89">
      <c r="A388" s="272">
        <v>316</v>
      </c>
      <c r="B388" s="128"/>
      <c r="C388" s="171">
        <v>45542</v>
      </c>
      <c r="D388" s="286" t="s">
        <v>5274</v>
      </c>
      <c r="F388" s="287" t="s">
        <v>5275</v>
      </c>
      <c r="G388" s="272" t="s">
        <v>5276</v>
      </c>
      <c r="H388" s="1017" t="s">
        <v>5277</v>
      </c>
      <c r="I388" s="276" t="s">
        <v>5278</v>
      </c>
      <c r="J388" s="128">
        <v>138.37</v>
      </c>
      <c r="K388" s="128">
        <v>138.37</v>
      </c>
      <c r="L388" s="128">
        <v>5817.735</v>
      </c>
      <c r="M388" s="307">
        <v>805000</v>
      </c>
      <c r="N388" s="333">
        <v>5817.735</v>
      </c>
      <c r="O388" s="168">
        <v>738532.11</v>
      </c>
      <c r="P388" s="286" t="s">
        <v>5279</v>
      </c>
      <c r="Q388" s="310">
        <v>45908</v>
      </c>
      <c r="R388" s="218"/>
      <c r="S388" s="219"/>
      <c r="T388" s="272"/>
      <c r="U388" s="219" t="s">
        <v>410</v>
      </c>
      <c r="V388" s="218">
        <v>20000</v>
      </c>
      <c r="W388" s="219">
        <v>45536</v>
      </c>
      <c r="X388" s="218">
        <f>165000+220000</f>
        <v>385000</v>
      </c>
      <c r="Y388" s="318" t="s">
        <v>5280</v>
      </c>
      <c r="Z388" s="218">
        <v>300000</v>
      </c>
      <c r="AA388" s="219" t="s">
        <v>3399</v>
      </c>
      <c r="AB388" s="218">
        <v>100000</v>
      </c>
      <c r="AC388" s="128" t="s">
        <v>545</v>
      </c>
      <c r="AH388" s="218">
        <f t="shared" si="45"/>
        <v>805000</v>
      </c>
      <c r="AK388" s="179">
        <f t="shared" si="54"/>
        <v>0</v>
      </c>
      <c r="AL388" s="287" t="s">
        <v>5281</v>
      </c>
      <c r="AM388" s="311" t="s">
        <v>3579</v>
      </c>
      <c r="AN388" s="331"/>
      <c r="AO388" s="128">
        <f t="shared" si="46"/>
        <v>805000</v>
      </c>
      <c r="AP388" s="173">
        <f>0.7%+0.1%</f>
        <v>0.008</v>
      </c>
      <c r="AQ388" s="275">
        <f t="shared" si="47"/>
        <v>0</v>
      </c>
      <c r="AR388" s="218"/>
      <c r="AS388" s="218"/>
      <c r="AT388" s="218"/>
      <c r="AU388" s="218"/>
      <c r="AV388" s="218"/>
      <c r="AW388" s="218"/>
      <c r="AX388" s="218"/>
      <c r="AY388" s="218"/>
      <c r="AZ388" s="218"/>
      <c r="BB388" s="218"/>
      <c r="BP388" s="128">
        <v>805000</v>
      </c>
      <c r="BQ388" s="128"/>
      <c r="BR388" s="128"/>
      <c r="CI388" s="128" t="s">
        <v>376</v>
      </c>
      <c r="CK388" s="128" t="s">
        <v>377</v>
      </c>
    </row>
    <row r="389" s="128" customFormat="1" customHeight="1" spans="1:89">
      <c r="A389" s="272">
        <v>317</v>
      </c>
      <c r="B389" s="128"/>
      <c r="C389" s="171">
        <v>45708</v>
      </c>
      <c r="D389" s="286" t="s">
        <v>5282</v>
      </c>
      <c r="F389" s="287" t="s">
        <v>5283</v>
      </c>
      <c r="G389" s="177" t="s">
        <v>5284</v>
      </c>
      <c r="H389" s="177"/>
      <c r="I389" s="276" t="s">
        <v>5285</v>
      </c>
      <c r="J389" s="128">
        <v>137.88</v>
      </c>
      <c r="K389" s="128">
        <v>137.88</v>
      </c>
      <c r="L389" s="128">
        <v>7000</v>
      </c>
      <c r="M389" s="307">
        <v>965160</v>
      </c>
      <c r="N389" s="308">
        <v>7000</v>
      </c>
      <c r="O389" s="309">
        <v>885467.89</v>
      </c>
      <c r="P389" s="286" t="s">
        <v>5286</v>
      </c>
      <c r="Q389" s="310">
        <v>45908</v>
      </c>
      <c r="R389" s="218"/>
      <c r="S389" s="219"/>
      <c r="T389" s="284"/>
      <c r="U389" s="278"/>
      <c r="V389" s="218">
        <v>195160</v>
      </c>
      <c r="W389" s="219" t="s">
        <v>3584</v>
      </c>
      <c r="X389" s="218">
        <v>770000</v>
      </c>
      <c r="Y389" s="219" t="s">
        <v>4968</v>
      </c>
      <c r="Z389" s="214"/>
      <c r="AB389" s="218"/>
      <c r="AH389" s="218">
        <f t="shared" si="45"/>
        <v>965160</v>
      </c>
      <c r="AK389" s="179">
        <f t="shared" si="54"/>
        <v>0</v>
      </c>
      <c r="AL389" s="287"/>
      <c r="AM389" s="311" t="s">
        <v>3480</v>
      </c>
      <c r="AN389" s="331"/>
      <c r="AO389" s="128">
        <f t="shared" si="46"/>
        <v>965160</v>
      </c>
      <c r="AP389" s="169">
        <f>0.7%+0.04%+0.12%+0.03%</f>
        <v>0.0089</v>
      </c>
      <c r="AQ389" s="275">
        <f t="shared" si="47"/>
        <v>0</v>
      </c>
      <c r="AR389" s="218"/>
      <c r="AS389" s="218"/>
      <c r="AT389" s="218"/>
      <c r="AU389" s="218"/>
      <c r="AV389" s="218"/>
      <c r="AW389" s="218"/>
      <c r="AX389" s="218"/>
      <c r="AY389" s="218"/>
      <c r="AZ389" s="218"/>
      <c r="BB389" s="218"/>
      <c r="BR389" s="128">
        <v>195160</v>
      </c>
      <c r="BS389" s="128">
        <v>770000</v>
      </c>
      <c r="CI389" s="128" t="s">
        <v>376</v>
      </c>
      <c r="CK389" s="128" t="s">
        <v>377</v>
      </c>
    </row>
    <row r="390" s="128" customFormat="1" customHeight="1" spans="1:89">
      <c r="A390" s="272">
        <v>318</v>
      </c>
      <c r="B390" s="128"/>
      <c r="C390" s="171">
        <v>45782</v>
      </c>
      <c r="D390" s="286" t="s">
        <v>5287</v>
      </c>
      <c r="F390" s="287" t="s">
        <v>5288</v>
      </c>
      <c r="G390" s="177" t="s">
        <v>5289</v>
      </c>
      <c r="H390" s="1019" t="s">
        <v>5290</v>
      </c>
      <c r="I390" s="276" t="s">
        <v>5291</v>
      </c>
      <c r="J390" s="128">
        <v>138.37</v>
      </c>
      <c r="K390" s="128">
        <v>138.37</v>
      </c>
      <c r="L390" s="128">
        <v>6866</v>
      </c>
      <c r="M390" s="307">
        <v>950000</v>
      </c>
      <c r="N390" s="308">
        <v>7116</v>
      </c>
      <c r="O390" s="309">
        <v>871559.63</v>
      </c>
      <c r="P390" s="286" t="s">
        <v>5292</v>
      </c>
      <c r="Q390" s="310">
        <v>45908</v>
      </c>
      <c r="R390" s="218"/>
      <c r="S390" s="219"/>
      <c r="T390" s="272"/>
      <c r="U390" s="219" t="s">
        <v>373</v>
      </c>
      <c r="V390" s="218">
        <v>20000</v>
      </c>
      <c r="W390" s="219" t="s">
        <v>507</v>
      </c>
      <c r="X390" s="218">
        <v>170000</v>
      </c>
      <c r="Y390" s="219" t="s">
        <v>1314</v>
      </c>
      <c r="Z390" s="218">
        <v>760000</v>
      </c>
      <c r="AA390" s="219">
        <v>46090</v>
      </c>
      <c r="AB390" s="218"/>
      <c r="AH390" s="218">
        <f t="shared" si="45"/>
        <v>950000</v>
      </c>
      <c r="AK390" s="179">
        <f t="shared" si="54"/>
        <v>0</v>
      </c>
      <c r="AL390" s="287" t="s">
        <v>5293</v>
      </c>
      <c r="AM390" s="311" t="s">
        <v>3585</v>
      </c>
      <c r="AN390" s="331"/>
      <c r="AO390" s="128">
        <f t="shared" si="46"/>
        <v>950000</v>
      </c>
      <c r="AP390" s="169">
        <f>0.5%+0.05%+0.08%+0.03%</f>
        <v>0.0066</v>
      </c>
      <c r="AQ390" s="275">
        <f t="shared" si="47"/>
        <v>0</v>
      </c>
      <c r="AR390" s="218"/>
      <c r="AS390" s="218"/>
      <c r="AT390" s="218"/>
      <c r="AU390" s="218"/>
      <c r="AV390" s="218"/>
      <c r="AW390" s="218"/>
      <c r="AX390" s="218"/>
      <c r="AY390" s="218"/>
      <c r="AZ390" s="218"/>
      <c r="BB390" s="218"/>
      <c r="BU390" s="128">
        <v>190000</v>
      </c>
      <c r="CE390" s="128">
        <v>760000</v>
      </c>
      <c r="CI390" s="128" t="s">
        <v>376</v>
      </c>
      <c r="CK390" s="128" t="s">
        <v>377</v>
      </c>
    </row>
    <row r="391" s="101" customFormat="1" customHeight="1" spans="1:89">
      <c r="D391" s="314"/>
      <c r="F391" s="300"/>
      <c r="G391" s="199" t="s">
        <v>5294</v>
      </c>
      <c r="H391" s="199"/>
      <c r="I391" s="269" t="s">
        <v>5295</v>
      </c>
      <c r="J391" s="295">
        <v>8.18</v>
      </c>
      <c r="M391" s="296">
        <v>21420</v>
      </c>
      <c r="N391" s="297">
        <v>21420</v>
      </c>
      <c r="O391" s="315"/>
      <c r="P391" s="314"/>
      <c r="Q391" s="316"/>
      <c r="R391" s="202"/>
      <c r="S391" s="204"/>
      <c r="T391" s="199"/>
      <c r="U391" s="204"/>
      <c r="V391" s="202">
        <v>21420</v>
      </c>
      <c r="W391" s="204" t="s">
        <v>957</v>
      </c>
      <c r="X391" s="202"/>
      <c r="Y391" s="299"/>
      <c r="Z391" s="324"/>
      <c r="AB391" s="202"/>
      <c r="AH391" s="202">
        <f t="shared" ref="AH391:AH443" si="56">V391+X391+Z391+AB391+AD391+AF391</f>
        <v>21420</v>
      </c>
      <c r="AK391" s="201">
        <f t="shared" si="54"/>
        <v>0</v>
      </c>
      <c r="AL391" s="300"/>
      <c r="AM391" s="301"/>
      <c r="AN391" s="302"/>
      <c r="AO391" s="101">
        <f t="shared" ref="AO391:AO443" si="57">SUM(AZ391:CF391)</f>
        <v>21420</v>
      </c>
      <c r="AP391" s="207">
        <v>0.02</v>
      </c>
      <c r="AQ391" s="268">
        <f t="shared" ref="AQ391:AQ443" si="58">AR391+AS391+AT391+AU391+AV391+AW391+AX391+AY391</f>
        <v>0</v>
      </c>
      <c r="AR391" s="202"/>
      <c r="AS391" s="202"/>
      <c r="AT391" s="202"/>
      <c r="AU391" s="202"/>
      <c r="AV391" s="202"/>
      <c r="AW391" s="202"/>
      <c r="AX391" s="202"/>
      <c r="AY391" s="202"/>
      <c r="AZ391" s="202"/>
      <c r="BB391" s="202"/>
      <c r="BV391" s="101">
        <v>21420</v>
      </c>
    </row>
    <row r="392" s="101" customFormat="1" customHeight="1" spans="1:89">
      <c r="D392" s="314"/>
      <c r="F392" s="300"/>
      <c r="G392" s="101" t="s">
        <v>5296</v>
      </c>
      <c r="I392" s="269" t="s">
        <v>5297</v>
      </c>
      <c r="J392" s="295">
        <v>22.27</v>
      </c>
      <c r="M392" s="296">
        <v>58310</v>
      </c>
      <c r="N392" s="297">
        <v>58310</v>
      </c>
      <c r="O392" s="315"/>
      <c r="P392" s="314"/>
      <c r="Q392" s="316"/>
      <c r="R392" s="202"/>
      <c r="S392" s="204"/>
      <c r="T392" s="199"/>
      <c r="U392" s="204"/>
      <c r="V392" s="202">
        <v>10000</v>
      </c>
      <c r="W392" s="204" t="s">
        <v>3638</v>
      </c>
      <c r="X392" s="202">
        <v>48310</v>
      </c>
      <c r="Y392" s="204" t="s">
        <v>5298</v>
      </c>
      <c r="Z392" s="324"/>
      <c r="AB392" s="202"/>
      <c r="AH392" s="202">
        <f t="shared" si="56"/>
        <v>58310</v>
      </c>
      <c r="AK392" s="201">
        <f t="shared" ref="AK392:AK397" si="59">M392-AH392</f>
        <v>0</v>
      </c>
      <c r="AL392" s="300"/>
      <c r="AM392" s="301"/>
      <c r="AN392" s="302"/>
      <c r="AO392" s="101">
        <f t="shared" si="57"/>
        <v>58310</v>
      </c>
      <c r="AP392" s="207">
        <v>0.02</v>
      </c>
      <c r="AQ392" s="268">
        <f t="shared" si="58"/>
        <v>0</v>
      </c>
      <c r="AR392" s="202"/>
      <c r="AS392" s="202"/>
      <c r="AT392" s="202"/>
      <c r="AU392" s="202"/>
      <c r="AV392" s="202"/>
      <c r="AW392" s="202"/>
      <c r="AX392" s="202"/>
      <c r="AY392" s="202"/>
      <c r="AZ392" s="202"/>
      <c r="BB392" s="202"/>
      <c r="BX392" s="101">
        <v>58310</v>
      </c>
    </row>
    <row r="393" s="101" customFormat="1" customHeight="1" spans="1:89">
      <c r="D393" s="314"/>
      <c r="F393" s="300"/>
      <c r="G393" s="101" t="s">
        <v>5299</v>
      </c>
      <c r="I393" s="269" t="s">
        <v>5300</v>
      </c>
      <c r="J393" s="295">
        <v>28.52</v>
      </c>
      <c r="M393" s="296">
        <v>74646</v>
      </c>
      <c r="N393" s="297">
        <v>74646</v>
      </c>
      <c r="O393" s="315"/>
      <c r="P393" s="314"/>
      <c r="Q393" s="316"/>
      <c r="R393" s="202"/>
      <c r="S393" s="204"/>
      <c r="T393" s="199"/>
      <c r="U393" s="204"/>
      <c r="V393" s="202">
        <v>74646</v>
      </c>
      <c r="W393" s="204" t="s">
        <v>2750</v>
      </c>
      <c r="X393" s="202"/>
      <c r="Y393" s="299"/>
      <c r="Z393" s="324"/>
      <c r="AB393" s="202"/>
      <c r="AH393" s="202">
        <f t="shared" si="56"/>
        <v>74646</v>
      </c>
      <c r="AK393" s="201">
        <f t="shared" si="59"/>
        <v>0</v>
      </c>
      <c r="AL393" s="300"/>
      <c r="AM393" s="301"/>
      <c r="AN393" s="302"/>
      <c r="AO393" s="101">
        <f t="shared" si="57"/>
        <v>74646</v>
      </c>
      <c r="AP393" s="207">
        <v>0.02</v>
      </c>
      <c r="AQ393" s="268">
        <f t="shared" si="58"/>
        <v>0</v>
      </c>
      <c r="AR393" s="202"/>
      <c r="AS393" s="202"/>
      <c r="AT393" s="202"/>
      <c r="AU393" s="202"/>
      <c r="AV393" s="202"/>
      <c r="AW393" s="202"/>
      <c r="AX393" s="202"/>
      <c r="AY393" s="202"/>
      <c r="AZ393" s="202"/>
      <c r="BB393" s="202"/>
      <c r="BU393" s="101">
        <v>74646</v>
      </c>
    </row>
    <row r="394" s="101" customFormat="1" customHeight="1" spans="1:89">
      <c r="D394" s="314"/>
      <c r="F394" s="300"/>
      <c r="I394" s="269" t="s">
        <v>5301</v>
      </c>
      <c r="J394" s="295">
        <v>15.98</v>
      </c>
      <c r="M394" s="296"/>
      <c r="N394" s="202" t="s">
        <v>3345</v>
      </c>
      <c r="O394" s="315"/>
      <c r="P394" s="314"/>
      <c r="Q394" s="316"/>
      <c r="R394" s="202"/>
      <c r="S394" s="204"/>
      <c r="T394" s="199"/>
      <c r="U394" s="204"/>
      <c r="V394" s="202"/>
      <c r="W394" s="298"/>
      <c r="X394" s="202"/>
      <c r="Y394" s="299"/>
      <c r="Z394" s="324"/>
      <c r="AB394" s="202"/>
      <c r="AH394" s="202">
        <f t="shared" si="56"/>
        <v>0</v>
      </c>
      <c r="AK394" s="201">
        <f t="shared" si="59"/>
        <v>0</v>
      </c>
      <c r="AL394" s="300"/>
      <c r="AM394" s="301"/>
      <c r="AN394" s="302"/>
      <c r="AO394" s="101">
        <f t="shared" si="57"/>
        <v>0</v>
      </c>
      <c r="AP394" s="207">
        <v>0.02</v>
      </c>
      <c r="AQ394" s="268">
        <f t="shared" si="58"/>
        <v>0</v>
      </c>
      <c r="AR394" s="202"/>
      <c r="AS394" s="202"/>
      <c r="AT394" s="202"/>
      <c r="AU394" s="202"/>
      <c r="AV394" s="202"/>
      <c r="AW394" s="202"/>
      <c r="AX394" s="202"/>
      <c r="AY394" s="202"/>
      <c r="AZ394" s="202"/>
      <c r="BB394" s="202"/>
    </row>
    <row r="395" s="101" customFormat="1" customHeight="1" spans="1:89">
      <c r="D395" s="314"/>
      <c r="F395" s="300"/>
      <c r="I395" s="269" t="s">
        <v>5302</v>
      </c>
      <c r="J395" s="334">
        <v>109.91</v>
      </c>
      <c r="M395" s="296"/>
      <c r="N395" s="202" t="s">
        <v>3345</v>
      </c>
      <c r="O395" s="315"/>
      <c r="P395" s="314"/>
      <c r="Q395" s="316"/>
      <c r="R395" s="202"/>
      <c r="S395" s="204"/>
      <c r="T395" s="199"/>
      <c r="U395" s="204"/>
      <c r="V395" s="202"/>
      <c r="W395" s="298"/>
      <c r="X395" s="202"/>
      <c r="Y395" s="299"/>
      <c r="Z395" s="324"/>
      <c r="AB395" s="202"/>
      <c r="AH395" s="202">
        <f t="shared" si="56"/>
        <v>0</v>
      </c>
      <c r="AK395" s="201">
        <f t="shared" si="59"/>
        <v>0</v>
      </c>
      <c r="AL395" s="300"/>
      <c r="AM395" s="301"/>
      <c r="AN395" s="302"/>
      <c r="AO395" s="101">
        <f t="shared" si="57"/>
        <v>0</v>
      </c>
      <c r="AP395" s="207">
        <v>0.02</v>
      </c>
      <c r="AQ395" s="268">
        <f t="shared" si="58"/>
        <v>0</v>
      </c>
      <c r="AR395" s="202"/>
      <c r="AS395" s="202"/>
      <c r="AT395" s="202"/>
      <c r="AU395" s="202"/>
      <c r="AV395" s="202"/>
      <c r="AW395" s="202"/>
      <c r="AX395" s="202"/>
      <c r="AY395" s="202"/>
      <c r="AZ395" s="202"/>
      <c r="BB395" s="202"/>
    </row>
    <row r="396" s="101" customFormat="1" customHeight="1" spans="1:89">
      <c r="D396" s="314"/>
      <c r="F396" s="300"/>
      <c r="I396" s="269" t="s">
        <v>5303</v>
      </c>
      <c r="J396" s="295">
        <v>260.95</v>
      </c>
      <c r="M396" s="296"/>
      <c r="N396" s="202" t="s">
        <v>3345</v>
      </c>
      <c r="O396" s="315"/>
      <c r="P396" s="314"/>
      <c r="Q396" s="316"/>
      <c r="R396" s="202"/>
      <c r="S396" s="204"/>
      <c r="T396" s="199"/>
      <c r="U396" s="204"/>
      <c r="V396" s="202"/>
      <c r="W396" s="298"/>
      <c r="X396" s="202"/>
      <c r="Y396" s="299"/>
      <c r="Z396" s="324"/>
      <c r="AB396" s="202"/>
      <c r="AH396" s="202">
        <f t="shared" si="56"/>
        <v>0</v>
      </c>
      <c r="AK396" s="201">
        <f t="shared" si="59"/>
        <v>0</v>
      </c>
      <c r="AL396" s="300"/>
      <c r="AM396" s="301"/>
      <c r="AN396" s="302"/>
      <c r="AO396" s="101">
        <f t="shared" si="57"/>
        <v>0</v>
      </c>
      <c r="AP396" s="207">
        <v>0.02</v>
      </c>
      <c r="AQ396" s="268">
        <f t="shared" si="58"/>
        <v>0</v>
      </c>
      <c r="AR396" s="202"/>
      <c r="AS396" s="202"/>
      <c r="AT396" s="202"/>
      <c r="AU396" s="202"/>
      <c r="AV396" s="202"/>
      <c r="AW396" s="202"/>
      <c r="AX396" s="202"/>
      <c r="AY396" s="202"/>
      <c r="AZ396" s="202"/>
      <c r="BB396" s="202"/>
    </row>
    <row r="397" s="101" customFormat="1" customHeight="1" spans="1:89">
      <c r="D397" s="314"/>
      <c r="F397" s="300"/>
      <c r="I397" s="269" t="s">
        <v>5304</v>
      </c>
      <c r="J397" s="334">
        <v>111.69</v>
      </c>
      <c r="M397" s="296"/>
      <c r="N397" s="202" t="s">
        <v>3345</v>
      </c>
      <c r="O397" s="315"/>
      <c r="P397" s="314"/>
      <c r="Q397" s="316"/>
      <c r="R397" s="202"/>
      <c r="S397" s="204"/>
      <c r="T397" s="199"/>
      <c r="U397" s="204"/>
      <c r="V397" s="202"/>
      <c r="W397" s="298"/>
      <c r="X397" s="202"/>
      <c r="Y397" s="299"/>
      <c r="Z397" s="324"/>
      <c r="AB397" s="202"/>
      <c r="AH397" s="202">
        <f t="shared" si="56"/>
        <v>0</v>
      </c>
      <c r="AK397" s="201">
        <f t="shared" si="59"/>
        <v>0</v>
      </c>
      <c r="AL397" s="300"/>
      <c r="AM397" s="301"/>
      <c r="AN397" s="302"/>
      <c r="AO397" s="101">
        <f t="shared" si="57"/>
        <v>0</v>
      </c>
      <c r="AP397" s="207">
        <v>0.02</v>
      </c>
      <c r="AQ397" s="268">
        <f t="shared" si="58"/>
        <v>0</v>
      </c>
      <c r="AR397" s="202"/>
      <c r="AS397" s="202"/>
      <c r="AT397" s="202"/>
      <c r="AU397" s="202"/>
      <c r="AV397" s="202"/>
      <c r="AW397" s="202"/>
      <c r="AX397" s="202"/>
      <c r="AY397" s="202"/>
      <c r="AZ397" s="202"/>
      <c r="BB397" s="202"/>
    </row>
    <row r="398" s="128" customFormat="1" ht="30" customHeight="1" spans="1:89">
      <c r="A398" s="272">
        <v>319</v>
      </c>
      <c r="B398" s="128"/>
      <c r="C398" s="171">
        <v>45583</v>
      </c>
      <c r="D398" s="286" t="s">
        <v>5305</v>
      </c>
      <c r="F398" s="287" t="s">
        <v>5306</v>
      </c>
      <c r="G398" s="284" t="s">
        <v>5307</v>
      </c>
      <c r="H398" s="1018" t="s">
        <v>5308</v>
      </c>
      <c r="I398" s="276" t="s">
        <v>5309</v>
      </c>
      <c r="J398" s="179">
        <v>123.34</v>
      </c>
      <c r="K398" s="128">
        <v>123.34</v>
      </c>
      <c r="L398" s="128">
        <v>7159.07</v>
      </c>
      <c r="M398" s="307">
        <v>883000</v>
      </c>
      <c r="N398" s="308">
        <v>7159.07</v>
      </c>
      <c r="O398" s="168">
        <v>810091.74</v>
      </c>
      <c r="P398" s="286" t="s">
        <v>5310</v>
      </c>
      <c r="Q398" s="310">
        <v>45894</v>
      </c>
      <c r="R398" s="218"/>
      <c r="S398" s="219"/>
      <c r="T398" s="272"/>
      <c r="U398" s="219" t="s">
        <v>383</v>
      </c>
      <c r="V398" s="218">
        <v>20000</v>
      </c>
      <c r="W398" s="219">
        <v>45552</v>
      </c>
      <c r="X398" s="218">
        <v>143000</v>
      </c>
      <c r="Y398" s="219" t="s">
        <v>516</v>
      </c>
      <c r="Z398" s="218">
        <v>280000</v>
      </c>
      <c r="AA398" s="219" t="s">
        <v>5311</v>
      </c>
      <c r="AB398" s="218">
        <v>440000</v>
      </c>
      <c r="AC398" s="219" t="s">
        <v>5312</v>
      </c>
      <c r="AD398" s="171"/>
      <c r="AE398" s="171"/>
      <c r="AF398" s="171"/>
      <c r="AG398" s="171"/>
      <c r="AH398" s="218">
        <f t="shared" si="56"/>
        <v>883000</v>
      </c>
      <c r="AK398" s="179">
        <f t="shared" ref="AK398:AK401" si="60">M398-AH398</f>
        <v>0</v>
      </c>
      <c r="AL398" s="287" t="s">
        <v>5313</v>
      </c>
      <c r="AM398" s="311"/>
      <c r="AN398" s="312"/>
      <c r="AO398" s="128">
        <f t="shared" si="57"/>
        <v>883000</v>
      </c>
      <c r="AP398" s="173">
        <f>0.6%+0.1%</f>
        <v>0.007</v>
      </c>
      <c r="AQ398" s="275">
        <f t="shared" si="58"/>
        <v>100</v>
      </c>
      <c r="AR398" s="218"/>
      <c r="AS398" s="218"/>
      <c r="AT398" s="218">
        <v>100</v>
      </c>
      <c r="AU398" s="218"/>
      <c r="AV398" s="218"/>
      <c r="AW398" s="218"/>
      <c r="AX398" s="218"/>
      <c r="AY398" s="218"/>
      <c r="AZ398" s="218"/>
      <c r="BB398" s="218"/>
      <c r="BP398" s="128">
        <v>883000</v>
      </c>
      <c r="BQ398" s="128"/>
      <c r="BR398" s="128"/>
      <c r="BS398" s="128"/>
      <c r="BT398" s="128"/>
      <c r="BU398" s="128"/>
      <c r="BV398" s="128"/>
      <c r="CI398" s="128" t="s">
        <v>376</v>
      </c>
      <c r="CK398" s="128" t="s">
        <v>377</v>
      </c>
    </row>
    <row r="399" s="128" customFormat="1" ht="65" customHeight="1" spans="1:89">
      <c r="A399" s="272">
        <v>320</v>
      </c>
      <c r="C399" s="171">
        <v>45158</v>
      </c>
      <c r="D399" s="286" t="s">
        <v>5314</v>
      </c>
      <c r="F399" s="330" t="s">
        <v>5315</v>
      </c>
      <c r="G399" s="284" t="s">
        <v>5316</v>
      </c>
      <c r="H399" s="1017" t="s">
        <v>5317</v>
      </c>
      <c r="I399" s="273" t="s">
        <v>5318</v>
      </c>
      <c r="J399" s="179">
        <v>140.71</v>
      </c>
      <c r="K399" s="128">
        <v>140.71</v>
      </c>
      <c r="L399" s="128">
        <v>7364.59</v>
      </c>
      <c r="M399" s="307">
        <v>1036271</v>
      </c>
      <c r="N399" s="308">
        <v>7364.59</v>
      </c>
      <c r="O399" s="168">
        <v>950707.34</v>
      </c>
      <c r="P399" s="286" t="s">
        <v>5319</v>
      </c>
      <c r="Q399" s="310">
        <v>45887</v>
      </c>
      <c r="R399" s="218"/>
      <c r="S399" s="219"/>
      <c r="T399" s="1018" t="s">
        <v>5320</v>
      </c>
      <c r="U399" s="278" t="s">
        <v>5321</v>
      </c>
      <c r="V399" s="218">
        <f>10000-10000+10000-10000</f>
        <v>0</v>
      </c>
      <c r="W399" s="278" t="s">
        <v>5322</v>
      </c>
      <c r="X399" s="218">
        <v>10000</v>
      </c>
      <c r="Y399" s="219" t="s">
        <v>1999</v>
      </c>
      <c r="Z399" s="218">
        <v>10000</v>
      </c>
      <c r="AA399" s="219" t="s">
        <v>2633</v>
      </c>
      <c r="AB399" s="218">
        <f>60000+236271</f>
        <v>296271</v>
      </c>
      <c r="AC399" s="219" t="s">
        <v>2634</v>
      </c>
      <c r="AD399" s="171">
        <v>720000</v>
      </c>
      <c r="AE399" s="171" t="s">
        <v>985</v>
      </c>
      <c r="AF399" s="171"/>
      <c r="AG399" s="171"/>
      <c r="AH399" s="218">
        <f t="shared" si="56"/>
        <v>1036271</v>
      </c>
      <c r="AK399" s="179">
        <f t="shared" si="60"/>
        <v>0</v>
      </c>
      <c r="AL399" s="287" t="s">
        <v>5323</v>
      </c>
      <c r="AM399" s="311"/>
      <c r="AN399" s="312"/>
      <c r="AO399" s="128">
        <f t="shared" si="57"/>
        <v>1036271</v>
      </c>
      <c r="AP399" s="169">
        <f>0.5%+0.05%+0.12%</f>
        <v>0.0067</v>
      </c>
      <c r="AQ399" s="275">
        <f t="shared" si="58"/>
        <v>400</v>
      </c>
      <c r="AR399" s="218"/>
      <c r="AS399" s="218"/>
      <c r="AT399" s="218">
        <v>100</v>
      </c>
      <c r="AU399" s="218">
        <v>100</v>
      </c>
      <c r="AV399" s="218"/>
      <c r="AW399" s="218">
        <v>200</v>
      </c>
      <c r="AX399" s="218"/>
      <c r="AY399" s="218"/>
      <c r="AZ399" s="218"/>
      <c r="BA399" s="128">
        <v>316271</v>
      </c>
      <c r="BB399" s="218">
        <v>720000</v>
      </c>
      <c r="CI399" s="128" t="s">
        <v>376</v>
      </c>
      <c r="CJ399" s="128" t="s">
        <v>387</v>
      </c>
      <c r="CK399" s="128" t="s">
        <v>377</v>
      </c>
    </row>
    <row r="400" s="128" customFormat="1" customHeight="1" spans="1:89">
      <c r="A400" s="272">
        <v>321</v>
      </c>
      <c r="B400" s="128"/>
      <c r="C400" s="171">
        <v>45755</v>
      </c>
      <c r="D400" s="286" t="s">
        <v>5324</v>
      </c>
      <c r="F400" s="287" t="s">
        <v>5325</v>
      </c>
      <c r="G400" s="284" t="s">
        <v>5326</v>
      </c>
      <c r="H400" s="272"/>
      <c r="I400" s="276" t="s">
        <v>5327</v>
      </c>
      <c r="J400" s="179">
        <v>138.52</v>
      </c>
      <c r="K400" s="128">
        <v>138.52</v>
      </c>
      <c r="L400" s="128">
        <v>5747</v>
      </c>
      <c r="M400" s="307">
        <v>796074</v>
      </c>
      <c r="N400" s="308">
        <v>5641.71</v>
      </c>
      <c r="O400" s="309">
        <v>730343.12</v>
      </c>
      <c r="P400" s="286" t="s">
        <v>5328</v>
      </c>
      <c r="Q400" s="310">
        <v>45911</v>
      </c>
      <c r="R400" s="218"/>
      <c r="S400" s="219"/>
      <c r="T400" s="272"/>
      <c r="U400" s="278" t="s">
        <v>772</v>
      </c>
      <c r="V400" s="218">
        <v>20000</v>
      </c>
      <c r="W400" s="219" t="s">
        <v>3667</v>
      </c>
      <c r="X400" s="218">
        <v>1074</v>
      </c>
      <c r="Y400" s="219" t="s">
        <v>3688</v>
      </c>
      <c r="Z400" s="218">
        <v>185000</v>
      </c>
      <c r="AA400" s="128" t="s">
        <v>5329</v>
      </c>
      <c r="AB400" s="218">
        <v>590000</v>
      </c>
      <c r="AC400" s="219">
        <v>45867</v>
      </c>
      <c r="AD400" s="218"/>
      <c r="AE400" s="219"/>
      <c r="AH400" s="218">
        <f t="shared" si="56"/>
        <v>796074</v>
      </c>
      <c r="AK400" s="179">
        <f t="shared" si="60"/>
        <v>0</v>
      </c>
      <c r="AL400" s="287" t="s">
        <v>5330</v>
      </c>
      <c r="AM400" s="311" t="s">
        <v>3640</v>
      </c>
      <c r="AN400" s="312"/>
      <c r="AO400" s="128">
        <f t="shared" si="57"/>
        <v>796074</v>
      </c>
      <c r="AP400" s="217">
        <f>0.7%+0.02%+0.08%+0.03%</f>
        <v>0.0083</v>
      </c>
      <c r="AQ400" s="275">
        <f t="shared" si="58"/>
        <v>0</v>
      </c>
      <c r="AR400" s="218"/>
      <c r="AS400" s="218"/>
      <c r="AT400" s="218"/>
      <c r="AU400" s="218"/>
      <c r="AV400" s="218"/>
      <c r="AW400" s="218"/>
      <c r="AX400" s="218"/>
      <c r="AY400" s="218"/>
      <c r="AZ400" s="218"/>
      <c r="BB400" s="218"/>
      <c r="BW400" s="128">
        <v>796074</v>
      </c>
      <c r="CI400" s="128" t="s">
        <v>376</v>
      </c>
      <c r="CK400" s="128" t="s">
        <v>377</v>
      </c>
    </row>
    <row r="401" s="128" customFormat="1" customHeight="1" spans="1:92">
      <c r="A401" s="272">
        <v>322</v>
      </c>
      <c r="B401" s="128"/>
      <c r="C401" s="171">
        <v>45566</v>
      </c>
      <c r="D401" s="286" t="s">
        <v>5331</v>
      </c>
      <c r="F401" s="330" t="s">
        <v>5332</v>
      </c>
      <c r="G401" s="272" t="s">
        <v>5333</v>
      </c>
      <c r="H401" s="1017" t="s">
        <v>5334</v>
      </c>
      <c r="I401" s="273" t="s">
        <v>5335</v>
      </c>
      <c r="J401" s="128">
        <v>138.03</v>
      </c>
      <c r="K401" s="128">
        <v>138.03</v>
      </c>
      <c r="L401" s="128">
        <v>5578.5</v>
      </c>
      <c r="M401" s="307">
        <v>770000</v>
      </c>
      <c r="N401" s="307">
        <v>5578.495</v>
      </c>
      <c r="O401" s="309">
        <v>706422.02</v>
      </c>
      <c r="P401" s="286" t="s">
        <v>5336</v>
      </c>
      <c r="Q401" s="310">
        <v>45887</v>
      </c>
      <c r="R401" s="218"/>
      <c r="S401" s="219"/>
      <c r="T401" s="272"/>
      <c r="U401" s="219" t="s">
        <v>524</v>
      </c>
      <c r="V401" s="218">
        <v>355000</v>
      </c>
      <c r="W401" s="219">
        <v>45552</v>
      </c>
      <c r="X401" s="218">
        <v>395000</v>
      </c>
      <c r="Y401" s="211">
        <v>45553</v>
      </c>
      <c r="Z401" s="218">
        <v>20000</v>
      </c>
      <c r="AA401" s="219" t="s">
        <v>374</v>
      </c>
      <c r="AB401" s="218"/>
      <c r="AH401" s="218">
        <f t="shared" si="56"/>
        <v>770000</v>
      </c>
      <c r="AK401" s="179">
        <f t="shared" si="60"/>
        <v>0</v>
      </c>
      <c r="AL401" s="287" t="s">
        <v>5337</v>
      </c>
      <c r="AM401" s="311"/>
      <c r="AN401" s="312"/>
      <c r="AO401" s="128">
        <f t="shared" si="57"/>
        <v>770000</v>
      </c>
      <c r="AP401" s="169">
        <f>0.5%+0.04%+0.1%</f>
        <v>0.0064</v>
      </c>
      <c r="AQ401" s="275">
        <f t="shared" si="58"/>
        <v>0</v>
      </c>
      <c r="AR401" s="218"/>
      <c r="AS401" s="218"/>
      <c r="AT401" s="218"/>
      <c r="AU401" s="218"/>
      <c r="AV401" s="218"/>
      <c r="AW401" s="218"/>
      <c r="AX401" s="218"/>
      <c r="AY401" s="218"/>
      <c r="AZ401" s="218"/>
      <c r="BB401" s="218"/>
      <c r="BN401" s="128">
        <v>770000</v>
      </c>
      <c r="BO401" s="128"/>
      <c r="BP401" s="128"/>
      <c r="BQ401" s="128"/>
      <c r="BR401" s="128"/>
      <c r="BS401" s="128"/>
      <c r="BT401" s="128"/>
      <c r="BU401" s="128"/>
      <c r="BV401" s="128"/>
      <c r="CI401" s="128" t="s">
        <v>376</v>
      </c>
      <c r="CK401" s="128" t="s">
        <v>377</v>
      </c>
      <c r="CN401" s="177"/>
    </row>
    <row r="402" s="128" customFormat="1" customHeight="1" spans="1:92">
      <c r="A402" s="272">
        <v>323</v>
      </c>
      <c r="C402" s="171">
        <v>45537</v>
      </c>
      <c r="D402" s="286" t="s">
        <v>5338</v>
      </c>
      <c r="F402" s="287" t="s">
        <v>5339</v>
      </c>
      <c r="G402" s="128" t="s">
        <v>5340</v>
      </c>
      <c r="H402" s="1017" t="s">
        <v>5341</v>
      </c>
      <c r="I402" s="276" t="s">
        <v>5342</v>
      </c>
      <c r="J402" s="179">
        <v>138.52</v>
      </c>
      <c r="K402" s="128">
        <v>138.52</v>
      </c>
      <c r="L402" s="128">
        <v>5801.88</v>
      </c>
      <c r="M402" s="307">
        <v>803676</v>
      </c>
      <c r="N402" s="308">
        <v>5801.88</v>
      </c>
      <c r="O402" s="309">
        <v>737317.43</v>
      </c>
      <c r="P402" s="286" t="s">
        <v>5343</v>
      </c>
      <c r="Q402" s="310">
        <v>45889</v>
      </c>
      <c r="R402" s="218"/>
      <c r="S402" s="219"/>
      <c r="T402" s="1017" t="s">
        <v>5344</v>
      </c>
      <c r="U402" s="219" t="s">
        <v>677</v>
      </c>
      <c r="V402" s="218">
        <v>10000</v>
      </c>
      <c r="W402" s="219" t="s">
        <v>607</v>
      </c>
      <c r="X402" s="218">
        <v>10000</v>
      </c>
      <c r="Y402" s="219" t="s">
        <v>2633</v>
      </c>
      <c r="Z402" s="218">
        <v>676</v>
      </c>
      <c r="AA402" s="219">
        <v>45537</v>
      </c>
      <c r="AB402" s="218">
        <v>155000</v>
      </c>
      <c r="AC402" s="171">
        <v>45560</v>
      </c>
      <c r="AD402" s="218">
        <v>628000</v>
      </c>
      <c r="AE402" s="219" t="s">
        <v>2787</v>
      </c>
      <c r="AH402" s="218">
        <f t="shared" si="56"/>
        <v>803676</v>
      </c>
      <c r="AK402" s="179">
        <f t="shared" ref="AK402:AK407" si="61">M402-AH402</f>
        <v>0</v>
      </c>
      <c r="AL402" s="287" t="s">
        <v>5345</v>
      </c>
      <c r="AM402" s="311"/>
      <c r="AN402" s="312"/>
      <c r="AO402" s="128">
        <f t="shared" si="57"/>
        <v>803676</v>
      </c>
      <c r="AP402" s="169">
        <f>0.7%+0.05%+0.12%</f>
        <v>0.0087</v>
      </c>
      <c r="AQ402" s="275">
        <f t="shared" si="58"/>
        <v>200</v>
      </c>
      <c r="AR402" s="218"/>
      <c r="AS402" s="218"/>
      <c r="AT402" s="218"/>
      <c r="AU402" s="218"/>
      <c r="AV402" s="218"/>
      <c r="AW402" s="218">
        <v>200</v>
      </c>
      <c r="AX402" s="218"/>
      <c r="AY402" s="218"/>
      <c r="AZ402" s="218"/>
      <c r="BB402" s="218"/>
      <c r="BM402" s="128">
        <v>175676</v>
      </c>
      <c r="BN402" s="128">
        <v>628000</v>
      </c>
      <c r="CI402" s="128" t="s">
        <v>376</v>
      </c>
      <c r="CK402" s="128" t="s">
        <v>377</v>
      </c>
    </row>
    <row r="403" s="128" customFormat="1" customHeight="1" spans="1:92">
      <c r="A403" s="272">
        <v>324</v>
      </c>
      <c r="C403" s="171">
        <v>45157</v>
      </c>
      <c r="D403" s="286" t="s">
        <v>5346</v>
      </c>
      <c r="F403" s="287" t="s">
        <v>5347</v>
      </c>
      <c r="G403" s="272" t="s">
        <v>5348</v>
      </c>
      <c r="H403" s="1017" t="s">
        <v>5349</v>
      </c>
      <c r="I403" s="273" t="s">
        <v>5350</v>
      </c>
      <c r="J403" s="128">
        <v>138.03</v>
      </c>
      <c r="K403" s="128">
        <v>138.03</v>
      </c>
      <c r="L403" s="128">
        <v>5820.88</v>
      </c>
      <c r="M403" s="307">
        <v>803455</v>
      </c>
      <c r="N403" s="308">
        <v>5820.88</v>
      </c>
      <c r="O403" s="168">
        <v>737114.68</v>
      </c>
      <c r="P403" s="286" t="s">
        <v>5351</v>
      </c>
      <c r="Q403" s="310">
        <v>45889</v>
      </c>
      <c r="R403" s="218"/>
      <c r="S403" s="219"/>
      <c r="T403" s="1017" t="s">
        <v>5352</v>
      </c>
      <c r="U403" s="219" t="s">
        <v>383</v>
      </c>
      <c r="V403" s="218">
        <v>10000</v>
      </c>
      <c r="W403" s="219" t="s">
        <v>5353</v>
      </c>
      <c r="X403" s="218">
        <v>10000</v>
      </c>
      <c r="Y403" s="211" t="s">
        <v>2625</v>
      </c>
      <c r="Z403" s="128">
        <v>143455</v>
      </c>
      <c r="AA403" s="128" t="s">
        <v>2573</v>
      </c>
      <c r="AB403" s="218">
        <v>640000</v>
      </c>
      <c r="AC403" s="219" t="s">
        <v>479</v>
      </c>
      <c r="AH403" s="218">
        <f t="shared" si="56"/>
        <v>803455</v>
      </c>
      <c r="AK403" s="179">
        <f t="shared" si="61"/>
        <v>0</v>
      </c>
      <c r="AL403" s="287"/>
      <c r="AM403" s="311"/>
      <c r="AN403" s="312"/>
      <c r="AO403" s="128">
        <f t="shared" si="57"/>
        <v>803455</v>
      </c>
      <c r="AP403" s="169">
        <f>0.5%+0.12%</f>
        <v>0.0062</v>
      </c>
      <c r="AQ403" s="275">
        <f t="shared" si="58"/>
        <v>300</v>
      </c>
      <c r="AR403" s="218"/>
      <c r="AS403" s="218"/>
      <c r="AT403" s="218"/>
      <c r="AU403" s="218"/>
      <c r="AV403" s="218"/>
      <c r="AW403" s="218">
        <f>100+200</f>
        <v>300</v>
      </c>
      <c r="AX403" s="218"/>
      <c r="AY403" s="218"/>
      <c r="AZ403" s="218">
        <v>163455</v>
      </c>
      <c r="BB403" s="218"/>
      <c r="BG403" s="128">
        <v>640000</v>
      </c>
      <c r="CI403" s="128" t="s">
        <v>376</v>
      </c>
      <c r="CJ403" s="128" t="s">
        <v>387</v>
      </c>
      <c r="CK403" s="128" t="s">
        <v>377</v>
      </c>
    </row>
    <row r="404" s="128" customFormat="1" customHeight="1" spans="1:92">
      <c r="A404" s="272">
        <v>325</v>
      </c>
      <c r="B404" s="128"/>
      <c r="C404" s="171">
        <v>45624</v>
      </c>
      <c r="D404" s="286" t="s">
        <v>5354</v>
      </c>
      <c r="F404" s="287" t="s">
        <v>5355</v>
      </c>
      <c r="G404" s="272" t="s">
        <v>5296</v>
      </c>
      <c r="H404" s="1017" t="s">
        <v>5356</v>
      </c>
      <c r="I404" s="276" t="s">
        <v>5357</v>
      </c>
      <c r="J404" s="179">
        <v>138.52</v>
      </c>
      <c r="K404" s="128">
        <v>138.52</v>
      </c>
      <c r="L404" s="128">
        <v>5847.53</v>
      </c>
      <c r="M404" s="307">
        <v>810000</v>
      </c>
      <c r="N404" s="308">
        <v>5834.48</v>
      </c>
      <c r="O404" s="309">
        <v>743119.27</v>
      </c>
      <c r="P404" s="286" t="s">
        <v>5358</v>
      </c>
      <c r="Q404" s="310">
        <v>45824</v>
      </c>
      <c r="R404" s="218"/>
      <c r="S404" s="219"/>
      <c r="T404" s="272"/>
      <c r="U404" s="219" t="s">
        <v>677</v>
      </c>
      <c r="V404" s="218">
        <v>50000</v>
      </c>
      <c r="W404" s="219">
        <v>45536</v>
      </c>
      <c r="X404" s="218">
        <v>50000</v>
      </c>
      <c r="Y404" s="211">
        <v>45537</v>
      </c>
      <c r="Z404" s="218">
        <v>710000</v>
      </c>
      <c r="AA404" s="219" t="s">
        <v>1022</v>
      </c>
      <c r="AB404" s="218"/>
      <c r="AC404" s="171"/>
      <c r="AD404" s="171"/>
      <c r="AE404" s="171"/>
      <c r="AF404" s="171"/>
      <c r="AG404" s="171"/>
      <c r="AH404" s="218">
        <f t="shared" si="56"/>
        <v>810000</v>
      </c>
      <c r="AK404" s="179">
        <f t="shared" si="61"/>
        <v>0</v>
      </c>
      <c r="AL404" s="287" t="s">
        <v>5359</v>
      </c>
      <c r="AM404" s="311" t="s">
        <v>5360</v>
      </c>
      <c r="AN404" s="312"/>
      <c r="AO404" s="128">
        <f t="shared" si="57"/>
        <v>810000</v>
      </c>
      <c r="AP404" s="169">
        <f>0.4%+0.02%+0.1%</f>
        <v>0.0052</v>
      </c>
      <c r="AQ404" s="275">
        <f t="shared" si="58"/>
        <v>100</v>
      </c>
      <c r="AR404" s="218"/>
      <c r="AS404" s="218"/>
      <c r="AT404" s="218"/>
      <c r="AU404" s="218"/>
      <c r="AV404" s="218">
        <v>100</v>
      </c>
      <c r="AW404" s="218"/>
      <c r="AX404" s="218"/>
      <c r="AY404" s="218"/>
      <c r="AZ404" s="218"/>
      <c r="BB404" s="218"/>
      <c r="BO404" s="128">
        <v>810000</v>
      </c>
      <c r="BP404" s="128"/>
      <c r="BQ404" s="128"/>
      <c r="BR404" s="128"/>
      <c r="BS404" s="128"/>
      <c r="BT404" s="128"/>
      <c r="BU404" s="128"/>
      <c r="BV404" s="128"/>
      <c r="CI404" s="128" t="s">
        <v>376</v>
      </c>
      <c r="CK404" s="128" t="s">
        <v>377</v>
      </c>
    </row>
    <row r="405" s="128" customFormat="1" customHeight="1" spans="1:92">
      <c r="A405" s="272">
        <v>326</v>
      </c>
      <c r="C405" s="171">
        <v>45161</v>
      </c>
      <c r="D405" s="286" t="s">
        <v>5361</v>
      </c>
      <c r="F405" s="287" t="s">
        <v>5362</v>
      </c>
      <c r="G405" s="284" t="s">
        <v>5363</v>
      </c>
      <c r="H405" s="1018" t="s">
        <v>5364</v>
      </c>
      <c r="I405" s="273" t="s">
        <v>5365</v>
      </c>
      <c r="J405" s="128">
        <v>138.03</v>
      </c>
      <c r="K405" s="128">
        <v>138.03</v>
      </c>
      <c r="L405" s="128">
        <v>5853.48</v>
      </c>
      <c r="M405" s="307">
        <v>807957</v>
      </c>
      <c r="N405" s="308">
        <v>5853.48</v>
      </c>
      <c r="O405" s="168">
        <v>741244.95</v>
      </c>
      <c r="P405" s="286" t="s">
        <v>5366</v>
      </c>
      <c r="Q405" s="310">
        <v>45889</v>
      </c>
      <c r="R405" s="218"/>
      <c r="S405" s="219"/>
      <c r="T405" s="1017" t="s">
        <v>857</v>
      </c>
      <c r="U405" s="219" t="s">
        <v>524</v>
      </c>
      <c r="V405" s="218">
        <v>10000</v>
      </c>
      <c r="W405" s="219" t="s">
        <v>2711</v>
      </c>
      <c r="X405" s="218">
        <v>10000</v>
      </c>
      <c r="Y405" s="219" t="s">
        <v>2625</v>
      </c>
      <c r="Z405" s="128">
        <v>120000</v>
      </c>
      <c r="AA405" s="128" t="s">
        <v>2633</v>
      </c>
      <c r="AB405" s="218">
        <v>27957</v>
      </c>
      <c r="AC405" s="128" t="s">
        <v>1530</v>
      </c>
      <c r="AD405" s="128">
        <v>640000</v>
      </c>
      <c r="AE405" s="128" t="s">
        <v>1618</v>
      </c>
      <c r="AH405" s="218">
        <f t="shared" si="56"/>
        <v>807957</v>
      </c>
      <c r="AK405" s="179">
        <f t="shared" si="61"/>
        <v>0</v>
      </c>
      <c r="AL405" s="287" t="s">
        <v>5367</v>
      </c>
      <c r="AM405" s="311"/>
      <c r="AN405" s="312"/>
      <c r="AO405" s="128">
        <f t="shared" si="57"/>
        <v>807957</v>
      </c>
      <c r="AP405" s="169">
        <f>0.4%+0.04%+0.12%</f>
        <v>0.0056</v>
      </c>
      <c r="AQ405" s="275">
        <f t="shared" si="58"/>
        <v>200</v>
      </c>
      <c r="AR405" s="218"/>
      <c r="AS405" s="218"/>
      <c r="AT405" s="218"/>
      <c r="AU405" s="218"/>
      <c r="AV405" s="218"/>
      <c r="AW405" s="218">
        <v>200</v>
      </c>
      <c r="AX405" s="218"/>
      <c r="AY405" s="218"/>
      <c r="AZ405" s="218">
        <v>167957</v>
      </c>
      <c r="BB405" s="218"/>
      <c r="BC405" s="128">
        <v>640000</v>
      </c>
      <c r="CI405" s="128" t="s">
        <v>376</v>
      </c>
      <c r="CJ405" s="128" t="s">
        <v>387</v>
      </c>
      <c r="CK405" s="128" t="s">
        <v>377</v>
      </c>
    </row>
    <row r="406" s="128" customFormat="1" customHeight="1" spans="1:92">
      <c r="A406" s="272">
        <v>327</v>
      </c>
      <c r="C406" s="171">
        <v>45222</v>
      </c>
      <c r="D406" s="286" t="s">
        <v>5368</v>
      </c>
      <c r="F406" s="1016" t="s">
        <v>5369</v>
      </c>
      <c r="G406" s="272" t="s">
        <v>5370</v>
      </c>
      <c r="H406" s="1017" t="s">
        <v>5371</v>
      </c>
      <c r="I406" s="276" t="s">
        <v>5372</v>
      </c>
      <c r="J406" s="179">
        <v>138.52</v>
      </c>
      <c r="K406" s="128">
        <v>138.52</v>
      </c>
      <c r="L406" s="128">
        <v>5908.83</v>
      </c>
      <c r="M406" s="307">
        <v>818492</v>
      </c>
      <c r="N406" s="308">
        <v>5908.83</v>
      </c>
      <c r="O406" s="168">
        <v>750910.09</v>
      </c>
      <c r="P406" s="286" t="s">
        <v>5373</v>
      </c>
      <c r="Q406" s="310">
        <v>45889</v>
      </c>
      <c r="R406" s="218"/>
      <c r="S406" s="219"/>
      <c r="T406" s="272"/>
      <c r="U406" s="219" t="s">
        <v>486</v>
      </c>
      <c r="V406" s="218">
        <v>20000</v>
      </c>
      <c r="W406" s="219" t="s">
        <v>571</v>
      </c>
      <c r="X406" s="218">
        <v>158492</v>
      </c>
      <c r="Y406" s="219" t="s">
        <v>563</v>
      </c>
      <c r="Z406" s="214">
        <v>20000</v>
      </c>
      <c r="AA406" s="171" t="s">
        <v>985</v>
      </c>
      <c r="AB406" s="218">
        <v>620000</v>
      </c>
      <c r="AC406" s="171" t="s">
        <v>1618</v>
      </c>
      <c r="AD406" s="171"/>
      <c r="AE406" s="171"/>
      <c r="AF406" s="171"/>
      <c r="AG406" s="171"/>
      <c r="AH406" s="218">
        <f t="shared" si="56"/>
        <v>818492</v>
      </c>
      <c r="AK406" s="179">
        <f t="shared" si="61"/>
        <v>0</v>
      </c>
      <c r="AL406" s="287" t="s">
        <v>5374</v>
      </c>
      <c r="AM406" s="311"/>
      <c r="AN406" s="312"/>
      <c r="AO406" s="128">
        <f t="shared" si="57"/>
        <v>818492</v>
      </c>
      <c r="AP406" s="169">
        <f>0.7%+0.05%+0.12%</f>
        <v>0.0087</v>
      </c>
      <c r="AQ406" s="275">
        <f t="shared" si="58"/>
        <v>100</v>
      </c>
      <c r="AR406" s="218"/>
      <c r="AS406" s="218">
        <v>100</v>
      </c>
      <c r="AT406" s="218"/>
      <c r="AU406" s="218"/>
      <c r="AV406" s="218"/>
      <c r="AW406" s="218"/>
      <c r="AX406" s="218"/>
      <c r="AY406" s="218"/>
      <c r="AZ406" s="218"/>
      <c r="BB406" s="218">
        <v>198492</v>
      </c>
      <c r="BC406" s="128">
        <v>620000</v>
      </c>
      <c r="CI406" s="128" t="s">
        <v>376</v>
      </c>
      <c r="CJ406" s="128" t="s">
        <v>387</v>
      </c>
      <c r="CK406" s="128" t="s">
        <v>377</v>
      </c>
    </row>
    <row r="407" s="128" customFormat="1" ht="60" customHeight="1" spans="1:92">
      <c r="A407" s="272">
        <v>328</v>
      </c>
      <c r="C407" s="171">
        <v>45164</v>
      </c>
      <c r="D407" s="286" t="s">
        <v>5375</v>
      </c>
      <c r="F407" s="287" t="s">
        <v>5376</v>
      </c>
      <c r="G407" s="284" t="s">
        <v>5377</v>
      </c>
      <c r="H407" s="272"/>
      <c r="I407" s="273" t="s">
        <v>5378</v>
      </c>
      <c r="J407" s="128">
        <v>138.03</v>
      </c>
      <c r="K407" s="128">
        <v>138.03</v>
      </c>
      <c r="L407" s="128">
        <v>5927.835</v>
      </c>
      <c r="M407" s="307">
        <v>818219</v>
      </c>
      <c r="N407" s="308">
        <v>5927.83</v>
      </c>
      <c r="O407" s="168">
        <v>750659.63</v>
      </c>
      <c r="P407" s="286" t="s">
        <v>5379</v>
      </c>
      <c r="Q407" s="310">
        <v>45889</v>
      </c>
      <c r="R407" s="218"/>
      <c r="S407" s="219"/>
      <c r="T407" s="1018" t="s">
        <v>5380</v>
      </c>
      <c r="U407" s="278" t="s">
        <v>5381</v>
      </c>
      <c r="V407" s="218">
        <f>10000-10000</f>
        <v>0</v>
      </c>
      <c r="W407" s="219" t="s">
        <v>2343</v>
      </c>
      <c r="X407" s="218">
        <v>10000</v>
      </c>
      <c r="Y407" s="219" t="s">
        <v>2625</v>
      </c>
      <c r="Z407" s="128">
        <v>219</v>
      </c>
      <c r="AA407" s="128" t="s">
        <v>2643</v>
      </c>
      <c r="AB407" s="218">
        <v>10000</v>
      </c>
      <c r="AC407" s="171" t="s">
        <v>1808</v>
      </c>
      <c r="AD407" s="218">
        <v>298000</v>
      </c>
      <c r="AE407" s="219" t="s">
        <v>965</v>
      </c>
      <c r="AF407" s="218">
        <v>500000</v>
      </c>
      <c r="AG407" s="219" t="s">
        <v>2830</v>
      </c>
      <c r="AH407" s="218">
        <f t="shared" si="56"/>
        <v>818219</v>
      </c>
      <c r="AK407" s="179">
        <f t="shared" si="61"/>
        <v>0</v>
      </c>
      <c r="AL407" s="287"/>
      <c r="AM407" s="311"/>
      <c r="AN407" s="312"/>
      <c r="AO407" s="128">
        <f t="shared" si="57"/>
        <v>818219</v>
      </c>
      <c r="AP407" s="169">
        <f>0.4%+0.02%+0.12%</f>
        <v>0.0054</v>
      </c>
      <c r="AQ407" s="275">
        <f t="shared" si="58"/>
        <v>300</v>
      </c>
      <c r="AR407" s="218"/>
      <c r="AS407" s="218">
        <v>100</v>
      </c>
      <c r="AT407" s="218"/>
      <c r="AU407" s="218"/>
      <c r="AV407" s="218"/>
      <c r="AW407" s="218">
        <v>200</v>
      </c>
      <c r="AX407" s="218"/>
      <c r="AY407" s="218"/>
      <c r="AZ407" s="218"/>
      <c r="BB407" s="218">
        <v>318219</v>
      </c>
      <c r="BD407" s="128">
        <v>500000</v>
      </c>
      <c r="CI407" s="128" t="s">
        <v>376</v>
      </c>
      <c r="CJ407" s="128" t="s">
        <v>387</v>
      </c>
      <c r="CK407" s="128" t="s">
        <v>377</v>
      </c>
    </row>
    <row r="408" s="128" customFormat="1" ht="49" customHeight="1" spans="1:92">
      <c r="A408" s="272">
        <v>329</v>
      </c>
      <c r="C408" s="171">
        <v>45175</v>
      </c>
      <c r="D408" s="128">
        <v>20230007702</v>
      </c>
      <c r="F408" s="287" t="s">
        <v>5382</v>
      </c>
      <c r="G408" s="284" t="s">
        <v>5383</v>
      </c>
      <c r="H408" s="1017" t="s">
        <v>5384</v>
      </c>
      <c r="I408" s="276" t="s">
        <v>5385</v>
      </c>
      <c r="J408" s="179">
        <v>138.52</v>
      </c>
      <c r="K408" s="128">
        <v>138.52</v>
      </c>
      <c r="L408" s="128">
        <v>5977.75</v>
      </c>
      <c r="M408" s="307">
        <v>828038</v>
      </c>
      <c r="N408" s="218">
        <v>5977.75</v>
      </c>
      <c r="O408" s="168">
        <v>759667.89</v>
      </c>
      <c r="P408" s="287" t="s">
        <v>5386</v>
      </c>
      <c r="Q408" s="211">
        <v>45887</v>
      </c>
      <c r="R408" s="218"/>
      <c r="S408" s="219"/>
      <c r="T408" s="1018" t="s">
        <v>5387</v>
      </c>
      <c r="U408" s="278" t="s">
        <v>5388</v>
      </c>
      <c r="V408" s="218">
        <f>10000-10000</f>
        <v>0</v>
      </c>
      <c r="W408" s="219" t="s">
        <v>3145</v>
      </c>
      <c r="X408" s="218">
        <v>10000</v>
      </c>
      <c r="Y408" s="219" t="s">
        <v>1856</v>
      </c>
      <c r="Z408" s="218">
        <v>10000</v>
      </c>
      <c r="AA408" s="219" t="s">
        <v>2625</v>
      </c>
      <c r="AB408" s="218">
        <v>1038</v>
      </c>
      <c r="AC408" s="219" t="s">
        <v>2000</v>
      </c>
      <c r="AD408" s="128">
        <v>177000</v>
      </c>
      <c r="AE408" s="128" t="s">
        <v>1077</v>
      </c>
      <c r="AF408" s="218">
        <v>630000</v>
      </c>
      <c r="AG408" s="219" t="s">
        <v>421</v>
      </c>
      <c r="AH408" s="218">
        <f t="shared" si="56"/>
        <v>828038</v>
      </c>
      <c r="AK408" s="179">
        <f t="shared" ref="AK408:AK419" si="62">M408-AH408</f>
        <v>0</v>
      </c>
      <c r="AL408" s="287" t="s">
        <v>5389</v>
      </c>
      <c r="AM408" s="311"/>
      <c r="AN408" s="321"/>
      <c r="AO408" s="128">
        <f t="shared" si="57"/>
        <v>828038</v>
      </c>
      <c r="AP408" s="169">
        <f>0.4%+0.04%+0.12%</f>
        <v>0.0056</v>
      </c>
      <c r="AQ408" s="275">
        <f t="shared" si="58"/>
        <v>300</v>
      </c>
      <c r="AR408" s="218"/>
      <c r="AS408" s="218">
        <v>100</v>
      </c>
      <c r="AT408" s="218"/>
      <c r="AU408" s="218"/>
      <c r="AV408" s="218"/>
      <c r="AW408" s="218">
        <v>200</v>
      </c>
      <c r="AX408" s="218"/>
      <c r="AY408" s="218"/>
      <c r="AZ408" s="218"/>
      <c r="BB408" s="218">
        <v>198038</v>
      </c>
      <c r="BC408" s="128">
        <v>630000</v>
      </c>
      <c r="CI408" s="128" t="s">
        <v>376</v>
      </c>
      <c r="CJ408" s="128" t="s">
        <v>387</v>
      </c>
      <c r="CK408" s="128" t="s">
        <v>377</v>
      </c>
    </row>
    <row r="409" s="128" customFormat="1" ht="44" customHeight="1" spans="1:92">
      <c r="A409" s="272">
        <v>330</v>
      </c>
      <c r="C409" s="171">
        <v>45568</v>
      </c>
      <c r="D409" s="286" t="s">
        <v>5390</v>
      </c>
      <c r="F409" s="287" t="s">
        <v>5391</v>
      </c>
      <c r="G409" s="284" t="s">
        <v>5392</v>
      </c>
      <c r="H409" s="1017" t="s">
        <v>5393</v>
      </c>
      <c r="I409" s="273" t="s">
        <v>5394</v>
      </c>
      <c r="J409" s="128">
        <v>138.03</v>
      </c>
      <c r="K409" s="128">
        <v>138.03</v>
      </c>
      <c r="L409" s="128">
        <v>5976.96</v>
      </c>
      <c r="M409" s="307">
        <v>825000</v>
      </c>
      <c r="N409" s="308">
        <v>5996.75</v>
      </c>
      <c r="O409" s="309">
        <v>756880.73</v>
      </c>
      <c r="P409" s="286" t="s">
        <v>5395</v>
      </c>
      <c r="Q409" s="310">
        <v>45888</v>
      </c>
      <c r="R409" s="218"/>
      <c r="S409" s="219"/>
      <c r="T409" s="1018" t="s">
        <v>5396</v>
      </c>
      <c r="U409" s="278" t="s">
        <v>410</v>
      </c>
      <c r="V409" s="218">
        <v>10000</v>
      </c>
      <c r="W409" s="278" t="s">
        <v>2564</v>
      </c>
      <c r="X409" s="218">
        <f>10000</f>
        <v>10000</v>
      </c>
      <c r="Y409" s="219" t="s">
        <v>2053</v>
      </c>
      <c r="Z409" s="218">
        <v>151000</v>
      </c>
      <c r="AA409" s="219" t="s">
        <v>888</v>
      </c>
      <c r="AB409" s="218">
        <v>300000</v>
      </c>
      <c r="AC409" s="219" t="s">
        <v>3034</v>
      </c>
      <c r="AD409" s="218">
        <v>150000</v>
      </c>
      <c r="AE409" s="219" t="s">
        <v>2807</v>
      </c>
      <c r="AF409" s="218">
        <f>214000-10000</f>
        <v>204000</v>
      </c>
      <c r="AG409" s="219" t="s">
        <v>5397</v>
      </c>
      <c r="AH409" s="218">
        <f t="shared" si="56"/>
        <v>825000</v>
      </c>
      <c r="AK409" s="179">
        <f t="shared" si="62"/>
        <v>0</v>
      </c>
      <c r="AL409" s="287" t="s">
        <v>5398</v>
      </c>
      <c r="AM409" s="311"/>
      <c r="AN409" s="312"/>
      <c r="AO409" s="128">
        <f t="shared" si="57"/>
        <v>825000</v>
      </c>
      <c r="AP409" s="169">
        <f>0.7%+0.12%</f>
        <v>0.0082</v>
      </c>
      <c r="AQ409" s="275">
        <f t="shared" si="58"/>
        <v>300</v>
      </c>
      <c r="AR409" s="275">
        <v>100</v>
      </c>
      <c r="AS409" s="218"/>
      <c r="AT409" s="218"/>
      <c r="AU409" s="218"/>
      <c r="AV409" s="218"/>
      <c r="AW409" s="218">
        <v>200</v>
      </c>
      <c r="AX409" s="218"/>
      <c r="AY409" s="218"/>
      <c r="AZ409" s="218"/>
      <c r="BB409" s="218"/>
      <c r="BO409" s="128">
        <v>171000</v>
      </c>
      <c r="BU409" s="128">
        <v>654000</v>
      </c>
      <c r="CI409" s="128" t="s">
        <v>376</v>
      </c>
      <c r="CK409" s="128" t="s">
        <v>377</v>
      </c>
    </row>
    <row r="410" s="128" customFormat="1" customHeight="1" spans="1:92">
      <c r="A410" s="272">
        <v>331</v>
      </c>
      <c r="C410" s="171">
        <v>45174</v>
      </c>
      <c r="D410" s="319" t="s">
        <v>5399</v>
      </c>
      <c r="F410" s="287" t="s">
        <v>5400</v>
      </c>
      <c r="G410" s="284" t="s">
        <v>5401</v>
      </c>
      <c r="H410" s="1017" t="s">
        <v>5402</v>
      </c>
      <c r="I410" s="273" t="s">
        <v>5403</v>
      </c>
      <c r="J410" s="179">
        <v>138.52</v>
      </c>
      <c r="K410" s="128">
        <v>138.52</v>
      </c>
      <c r="L410" s="335">
        <v>6026.66</v>
      </c>
      <c r="M410" s="307">
        <v>834813</v>
      </c>
      <c r="N410" s="308">
        <v>6026.66</v>
      </c>
      <c r="O410" s="168">
        <v>765883.49</v>
      </c>
      <c r="P410" s="286" t="s">
        <v>5404</v>
      </c>
      <c r="Q410" s="310">
        <v>45889</v>
      </c>
      <c r="R410" s="218"/>
      <c r="S410" s="219"/>
      <c r="T410" s="1018" t="s">
        <v>2260</v>
      </c>
      <c r="U410" s="278" t="s">
        <v>383</v>
      </c>
      <c r="V410" s="218">
        <v>10000</v>
      </c>
      <c r="W410" s="219" t="s">
        <v>1809</v>
      </c>
      <c r="X410" s="218">
        <v>10000</v>
      </c>
      <c r="Y410" s="219" t="s">
        <v>2625</v>
      </c>
      <c r="Z410" s="218">
        <f>40000+68813</f>
        <v>108813</v>
      </c>
      <c r="AA410" s="219" t="s">
        <v>5405</v>
      </c>
      <c r="AB410" s="218">
        <v>46000</v>
      </c>
      <c r="AC410" s="219" t="s">
        <v>795</v>
      </c>
      <c r="AD410" s="218">
        <v>660000</v>
      </c>
      <c r="AE410" s="219" t="s">
        <v>4330</v>
      </c>
      <c r="AF410" s="171"/>
      <c r="AG410" s="171"/>
      <c r="AH410" s="218">
        <f t="shared" si="56"/>
        <v>834813</v>
      </c>
      <c r="AK410" s="179">
        <f t="shared" si="62"/>
        <v>0</v>
      </c>
      <c r="AL410" s="287" t="s">
        <v>5406</v>
      </c>
      <c r="AM410" s="311"/>
      <c r="AN410" s="312"/>
      <c r="AO410" s="128">
        <f t="shared" si="57"/>
        <v>834813</v>
      </c>
      <c r="AP410" s="169">
        <f>0.5%+0.12%</f>
        <v>0.0062</v>
      </c>
      <c r="AQ410" s="275">
        <f t="shared" si="58"/>
        <v>300</v>
      </c>
      <c r="AR410" s="218"/>
      <c r="AS410" s="218">
        <v>100</v>
      </c>
      <c r="AT410" s="218"/>
      <c r="AU410" s="218"/>
      <c r="AV410" s="218"/>
      <c r="AW410" s="218">
        <v>200</v>
      </c>
      <c r="AX410" s="218"/>
      <c r="AY410" s="218"/>
      <c r="AZ410" s="218"/>
      <c r="BB410" s="218">
        <v>174813</v>
      </c>
      <c r="BC410" s="128">
        <v>660000</v>
      </c>
      <c r="CI410" s="128" t="s">
        <v>376</v>
      </c>
      <c r="CJ410" s="128" t="s">
        <v>387</v>
      </c>
      <c r="CK410" s="128" t="s">
        <v>377</v>
      </c>
    </row>
    <row r="411" s="128" customFormat="1" customHeight="1" spans="1:92">
      <c r="A411" s="272">
        <v>332</v>
      </c>
      <c r="C411" s="171">
        <v>45198</v>
      </c>
      <c r="D411" s="286" t="s">
        <v>5407</v>
      </c>
      <c r="F411" s="287" t="s">
        <v>5408</v>
      </c>
      <c r="G411" s="272" t="s">
        <v>5409</v>
      </c>
      <c r="H411" s="1017" t="s">
        <v>5410</v>
      </c>
      <c r="I411" s="276" t="s">
        <v>5411</v>
      </c>
      <c r="J411" s="128">
        <v>138.03</v>
      </c>
      <c r="K411" s="128">
        <v>138.03</v>
      </c>
      <c r="L411" s="128">
        <v>6045.66</v>
      </c>
      <c r="M411" s="307">
        <v>834484</v>
      </c>
      <c r="N411" s="308">
        <v>6045.66</v>
      </c>
      <c r="O411" s="168">
        <v>765581.65</v>
      </c>
      <c r="P411" s="286" t="s">
        <v>5412</v>
      </c>
      <c r="Q411" s="310">
        <v>45889</v>
      </c>
      <c r="R411" s="218"/>
      <c r="S411" s="219"/>
      <c r="T411" s="1017" t="s">
        <v>5413</v>
      </c>
      <c r="U411" s="219" t="s">
        <v>662</v>
      </c>
      <c r="V411" s="218">
        <v>10000</v>
      </c>
      <c r="W411" s="219" t="s">
        <v>1001</v>
      </c>
      <c r="X411" s="218">
        <v>10000</v>
      </c>
      <c r="Y411" s="219" t="s">
        <v>2625</v>
      </c>
      <c r="Z411" s="218">
        <v>334484</v>
      </c>
      <c r="AA411" s="219" t="s">
        <v>571</v>
      </c>
      <c r="AB411" s="218">
        <v>200000</v>
      </c>
      <c r="AC411" s="219" t="s">
        <v>420</v>
      </c>
      <c r="AD411" s="218">
        <v>280000</v>
      </c>
      <c r="AE411" s="219" t="s">
        <v>714</v>
      </c>
      <c r="AH411" s="218">
        <f t="shared" si="56"/>
        <v>834484</v>
      </c>
      <c r="AK411" s="179">
        <f t="shared" si="62"/>
        <v>0</v>
      </c>
      <c r="AL411" s="287" t="s">
        <v>5414</v>
      </c>
      <c r="AM411" s="311"/>
      <c r="AN411" s="312"/>
      <c r="AO411" s="128">
        <f t="shared" si="57"/>
        <v>834484</v>
      </c>
      <c r="AP411" s="169">
        <f>0.7%+0.12%</f>
        <v>0.0082</v>
      </c>
      <c r="AQ411" s="275">
        <f t="shared" si="58"/>
        <v>400</v>
      </c>
      <c r="AR411" s="218"/>
      <c r="AS411" s="218">
        <v>100</v>
      </c>
      <c r="AT411" s="218"/>
      <c r="AU411" s="218"/>
      <c r="AV411" s="218">
        <v>100</v>
      </c>
      <c r="AW411" s="218">
        <v>200</v>
      </c>
      <c r="AX411" s="218"/>
      <c r="AY411" s="218"/>
      <c r="AZ411" s="218"/>
      <c r="BB411" s="218"/>
      <c r="BC411" s="128">
        <v>554484</v>
      </c>
      <c r="BD411" s="128">
        <v>280000</v>
      </c>
      <c r="CI411" s="128" t="s">
        <v>376</v>
      </c>
      <c r="CJ411" s="128" t="s">
        <v>387</v>
      </c>
      <c r="CK411" s="128" t="s">
        <v>377</v>
      </c>
    </row>
    <row r="412" s="128" customFormat="1" ht="39" customHeight="1" spans="1:92">
      <c r="A412" s="272">
        <v>333</v>
      </c>
      <c r="C412" s="171">
        <v>45566</v>
      </c>
      <c r="D412" s="286" t="s">
        <v>5415</v>
      </c>
      <c r="F412" s="287" t="s">
        <v>5416</v>
      </c>
      <c r="G412" s="284" t="s">
        <v>5417</v>
      </c>
      <c r="H412" s="1017" t="s">
        <v>5418</v>
      </c>
      <c r="I412" s="276" t="s">
        <v>5419</v>
      </c>
      <c r="J412" s="179">
        <v>138.52</v>
      </c>
      <c r="K412" s="128">
        <v>138.52</v>
      </c>
      <c r="L412" s="128">
        <f>M412/K412</f>
        <v>5753.82616228703</v>
      </c>
      <c r="M412" s="307">
        <v>797020</v>
      </c>
      <c r="N412" s="332">
        <v>5753.826</v>
      </c>
      <c r="O412" s="309">
        <v>731211.01</v>
      </c>
      <c r="P412" s="286" t="s">
        <v>5420</v>
      </c>
      <c r="Q412" s="310">
        <v>45887</v>
      </c>
      <c r="R412" s="218"/>
      <c r="S412" s="219"/>
      <c r="T412" s="284"/>
      <c r="U412" s="278" t="s">
        <v>373</v>
      </c>
      <c r="V412" s="218">
        <v>20000</v>
      </c>
      <c r="W412" s="219" t="s">
        <v>5421</v>
      </c>
      <c r="X412" s="218">
        <v>111020</v>
      </c>
      <c r="Y412" s="219" t="s">
        <v>374</v>
      </c>
      <c r="Z412" s="214">
        <v>29000</v>
      </c>
      <c r="AA412" s="128" t="s">
        <v>5422</v>
      </c>
      <c r="AB412" s="218">
        <v>637000</v>
      </c>
      <c r="AC412" s="219" t="s">
        <v>510</v>
      </c>
      <c r="AH412" s="218">
        <f t="shared" si="56"/>
        <v>797020</v>
      </c>
      <c r="AK412" s="179">
        <f t="shared" si="62"/>
        <v>0</v>
      </c>
      <c r="AL412" s="287" t="s">
        <v>5423</v>
      </c>
      <c r="AM412" s="311" t="s">
        <v>5424</v>
      </c>
      <c r="AN412" s="312"/>
      <c r="AO412" s="128">
        <f t="shared" si="57"/>
        <v>797020</v>
      </c>
      <c r="AP412" s="173">
        <f>0.7%+0.04%+0.08%</f>
        <v>0.0082</v>
      </c>
      <c r="AQ412" s="275">
        <f t="shared" si="58"/>
        <v>300</v>
      </c>
      <c r="AR412" s="218"/>
      <c r="AS412" s="218">
        <v>100</v>
      </c>
      <c r="AT412" s="218">
        <v>100</v>
      </c>
      <c r="AU412" s="218"/>
      <c r="AV412" s="218">
        <v>100</v>
      </c>
      <c r="AW412" s="218"/>
      <c r="AX412" s="218"/>
      <c r="AY412" s="218"/>
      <c r="AZ412" s="218"/>
      <c r="BB412" s="218"/>
      <c r="BO412" s="128">
        <v>797020</v>
      </c>
      <c r="CI412" s="128" t="s">
        <v>376</v>
      </c>
      <c r="CK412" s="128" t="s">
        <v>377</v>
      </c>
    </row>
    <row r="413" s="128" customFormat="1" customHeight="1" spans="1:92">
      <c r="A413" s="272">
        <v>334</v>
      </c>
      <c r="C413" s="171">
        <v>45203</v>
      </c>
      <c r="D413" s="286" t="s">
        <v>5425</v>
      </c>
      <c r="F413" s="287" t="s">
        <v>5426</v>
      </c>
      <c r="G413" s="272" t="s">
        <v>5427</v>
      </c>
      <c r="H413" s="1017" t="s">
        <v>5428</v>
      </c>
      <c r="I413" s="273" t="s">
        <v>5429</v>
      </c>
      <c r="J413" s="128">
        <v>138.03</v>
      </c>
      <c r="K413" s="128">
        <v>138.03</v>
      </c>
      <c r="L413" s="128">
        <v>6072.83</v>
      </c>
      <c r="M413" s="307">
        <v>838233</v>
      </c>
      <c r="N413" s="308">
        <v>6072.83</v>
      </c>
      <c r="O413" s="168">
        <v>769021.1</v>
      </c>
      <c r="P413" s="286" t="s">
        <v>5430</v>
      </c>
      <c r="Q413" s="336">
        <v>45889</v>
      </c>
      <c r="R413" s="218"/>
      <c r="S413" s="337"/>
      <c r="T413" s="1017" t="s">
        <v>2082</v>
      </c>
      <c r="U413" s="219" t="s">
        <v>410</v>
      </c>
      <c r="V413" s="218">
        <v>10000</v>
      </c>
      <c r="W413" s="278" t="s">
        <v>2901</v>
      </c>
      <c r="X413" s="218">
        <v>10000</v>
      </c>
      <c r="Y413" s="337" t="s">
        <v>2633</v>
      </c>
      <c r="Z413" s="218">
        <v>50000</v>
      </c>
      <c r="AA413" s="337" t="s">
        <v>5431</v>
      </c>
      <c r="AB413" s="218">
        <v>50233</v>
      </c>
      <c r="AC413" s="337" t="s">
        <v>2916</v>
      </c>
      <c r="AD413" s="128">
        <v>48000</v>
      </c>
      <c r="AE413" s="128" t="s">
        <v>4576</v>
      </c>
      <c r="AF413" s="218">
        <v>670000</v>
      </c>
      <c r="AG413" s="337" t="s">
        <v>2409</v>
      </c>
      <c r="AH413" s="218">
        <f t="shared" si="56"/>
        <v>838233</v>
      </c>
      <c r="AK413" s="179">
        <f t="shared" si="62"/>
        <v>0</v>
      </c>
      <c r="AL413" s="287" t="s">
        <v>5432</v>
      </c>
      <c r="AM413" s="311"/>
      <c r="AN413" s="312"/>
      <c r="AO413" s="128">
        <f t="shared" si="57"/>
        <v>838233</v>
      </c>
      <c r="AP413" s="169">
        <f>0.7%+0.05%+0.12%</f>
        <v>0.0087</v>
      </c>
      <c r="AQ413" s="275">
        <f t="shared" si="58"/>
        <v>200</v>
      </c>
      <c r="AR413" s="218"/>
      <c r="AS413" s="218"/>
      <c r="AT413" s="218"/>
      <c r="AU413" s="218"/>
      <c r="AV413" s="218"/>
      <c r="AW413" s="218">
        <v>200</v>
      </c>
      <c r="AX413" s="218"/>
      <c r="AY413" s="218"/>
      <c r="AZ413" s="218"/>
      <c r="BB413" s="218">
        <v>168233</v>
      </c>
      <c r="BC413" s="128">
        <v>670000</v>
      </c>
      <c r="CI413" s="128" t="s">
        <v>376</v>
      </c>
      <c r="CJ413" s="128" t="s">
        <v>387</v>
      </c>
      <c r="CK413" s="128" t="s">
        <v>377</v>
      </c>
    </row>
    <row r="414" s="128" customFormat="1" ht="46" customHeight="1" spans="1:92">
      <c r="A414" s="272">
        <v>335</v>
      </c>
      <c r="C414" s="171">
        <v>45165</v>
      </c>
      <c r="D414" s="286" t="s">
        <v>5433</v>
      </c>
      <c r="F414" s="287" t="s">
        <v>5434</v>
      </c>
      <c r="G414" s="284" t="s">
        <v>5435</v>
      </c>
      <c r="H414" s="1017" t="s">
        <v>5436</v>
      </c>
      <c r="I414" s="276" t="s">
        <v>5437</v>
      </c>
      <c r="J414" s="179">
        <v>138.52</v>
      </c>
      <c r="K414" s="128">
        <v>138.52</v>
      </c>
      <c r="L414" s="128">
        <v>6082.75</v>
      </c>
      <c r="M414" s="307">
        <v>842587</v>
      </c>
      <c r="N414" s="308">
        <v>6082.75</v>
      </c>
      <c r="O414" s="168">
        <v>773015.6</v>
      </c>
      <c r="P414" s="286" t="s">
        <v>5438</v>
      </c>
      <c r="Q414" s="310">
        <v>45887</v>
      </c>
      <c r="R414" s="218"/>
      <c r="S414" s="219"/>
      <c r="T414" s="1018" t="s">
        <v>5439</v>
      </c>
      <c r="U414" s="278" t="s">
        <v>5440</v>
      </c>
      <c r="V414" s="218">
        <f>10000-10000</f>
        <v>0</v>
      </c>
      <c r="W414" s="219" t="s">
        <v>1808</v>
      </c>
      <c r="X414" s="218">
        <v>10000</v>
      </c>
      <c r="Y414" s="219" t="s">
        <v>2479</v>
      </c>
      <c r="Z414" s="218">
        <v>10000</v>
      </c>
      <c r="AA414" s="219" t="s">
        <v>2625</v>
      </c>
      <c r="AB414" s="218">
        <f>310000+112587+40000</f>
        <v>462587</v>
      </c>
      <c r="AC414" s="128" t="s">
        <v>2408</v>
      </c>
      <c r="AD414" s="218">
        <v>360000</v>
      </c>
      <c r="AE414" s="219" t="s">
        <v>4112</v>
      </c>
      <c r="AH414" s="218">
        <f t="shared" si="56"/>
        <v>842587</v>
      </c>
      <c r="AK414" s="179">
        <f t="shared" si="62"/>
        <v>0</v>
      </c>
      <c r="AL414" s="287" t="s">
        <v>5441</v>
      </c>
      <c r="AM414" s="311"/>
      <c r="AN414" s="312"/>
      <c r="AO414" s="128">
        <f t="shared" si="57"/>
        <v>842587</v>
      </c>
      <c r="AP414" s="169">
        <f>0.4%+0.02%+0.12%</f>
        <v>0.0054</v>
      </c>
      <c r="AQ414" s="275">
        <f t="shared" si="58"/>
        <v>300</v>
      </c>
      <c r="AR414" s="218"/>
      <c r="AS414" s="218">
        <v>100</v>
      </c>
      <c r="AT414" s="218"/>
      <c r="AU414" s="218"/>
      <c r="AV414" s="218"/>
      <c r="AW414" s="218">
        <v>200</v>
      </c>
      <c r="AX414" s="218"/>
      <c r="AY414" s="218"/>
      <c r="AZ414" s="218">
        <v>482587</v>
      </c>
      <c r="BB414" s="218"/>
      <c r="BG414" s="128">
        <v>360000</v>
      </c>
      <c r="CI414" s="128" t="s">
        <v>376</v>
      </c>
      <c r="CJ414" s="128" t="s">
        <v>387</v>
      </c>
      <c r="CK414" s="128" t="s">
        <v>377</v>
      </c>
    </row>
    <row r="415" s="128" customFormat="1" customHeight="1" spans="1:92">
      <c r="A415" s="272">
        <v>336</v>
      </c>
      <c r="C415" s="171">
        <v>45203</v>
      </c>
      <c r="D415" s="287" t="s">
        <v>5442</v>
      </c>
      <c r="F415" s="287" t="s">
        <v>5443</v>
      </c>
      <c r="G415" s="284" t="s">
        <v>5444</v>
      </c>
      <c r="H415" s="1017" t="s">
        <v>5445</v>
      </c>
      <c r="I415" s="273" t="s">
        <v>5446</v>
      </c>
      <c r="J415" s="128">
        <v>138.03</v>
      </c>
      <c r="K415" s="128">
        <v>138.03</v>
      </c>
      <c r="L415" s="128">
        <v>6101.75</v>
      </c>
      <c r="M415" s="307">
        <v>842224</v>
      </c>
      <c r="N415" s="308">
        <v>6101.75</v>
      </c>
      <c r="O415" s="168">
        <v>772682.57</v>
      </c>
      <c r="P415" s="286" t="s">
        <v>5447</v>
      </c>
      <c r="Q415" s="310">
        <v>45887</v>
      </c>
      <c r="R415" s="218"/>
      <c r="S415" s="219"/>
      <c r="T415" s="1018" t="s">
        <v>5448</v>
      </c>
      <c r="U415" s="278" t="s">
        <v>410</v>
      </c>
      <c r="V415" s="218">
        <v>10000</v>
      </c>
      <c r="W415" s="278" t="s">
        <v>2901</v>
      </c>
      <c r="X415" s="218">
        <v>10000</v>
      </c>
      <c r="Y415" s="219" t="s">
        <v>2633</v>
      </c>
      <c r="Z415" s="218">
        <v>50000</v>
      </c>
      <c r="AA415" s="219" t="s">
        <v>563</v>
      </c>
      <c r="AB415" s="218">
        <v>50224</v>
      </c>
      <c r="AC415" s="128" t="s">
        <v>2916</v>
      </c>
      <c r="AD415" s="218">
        <v>49000</v>
      </c>
      <c r="AE415" s="219" t="s">
        <v>589</v>
      </c>
      <c r="AF415" s="128">
        <v>673000</v>
      </c>
      <c r="AG415" s="128" t="s">
        <v>2409</v>
      </c>
      <c r="AH415" s="218">
        <f t="shared" si="56"/>
        <v>842224</v>
      </c>
      <c r="AK415" s="179">
        <f t="shared" si="62"/>
        <v>0</v>
      </c>
      <c r="AL415" s="287" t="s">
        <v>5449</v>
      </c>
      <c r="AM415" s="311"/>
      <c r="AN415" s="312"/>
      <c r="AO415" s="128">
        <f t="shared" si="57"/>
        <v>842224</v>
      </c>
      <c r="AP415" s="169">
        <f>0.7%+0.05%+0.12%</f>
        <v>0.0087</v>
      </c>
      <c r="AQ415" s="275">
        <f t="shared" si="58"/>
        <v>300</v>
      </c>
      <c r="AR415" s="218"/>
      <c r="AS415" s="218"/>
      <c r="AT415" s="218">
        <v>100</v>
      </c>
      <c r="AU415" s="218"/>
      <c r="AV415" s="218"/>
      <c r="AW415" s="218">
        <v>200</v>
      </c>
      <c r="AX415" s="218"/>
      <c r="AY415" s="218"/>
      <c r="AZ415" s="218"/>
      <c r="BB415" s="218"/>
      <c r="BC415" s="128">
        <v>842224</v>
      </c>
      <c r="CI415" s="128" t="s">
        <v>376</v>
      </c>
      <c r="CJ415" s="128" t="s">
        <v>387</v>
      </c>
      <c r="CK415" s="128" t="s">
        <v>377</v>
      </c>
    </row>
    <row r="416" s="128" customFormat="1" ht="44" customHeight="1" spans="1:92">
      <c r="A416" s="272">
        <v>337</v>
      </c>
      <c r="C416" s="171">
        <v>45247</v>
      </c>
      <c r="D416" s="128">
        <v>20230009950</v>
      </c>
      <c r="F416" s="287" t="s">
        <v>5450</v>
      </c>
      <c r="G416" s="284" t="s">
        <v>5451</v>
      </c>
      <c r="H416" s="1017" t="s">
        <v>5452</v>
      </c>
      <c r="I416" s="276" t="s">
        <v>5453</v>
      </c>
      <c r="J416" s="179">
        <v>138.52</v>
      </c>
      <c r="K416" s="128">
        <v>138.52</v>
      </c>
      <c r="L416" s="128">
        <v>6050</v>
      </c>
      <c r="M416" s="307">
        <f>K416*L416</f>
        <v>838046</v>
      </c>
      <c r="N416" s="218">
        <f>6104.48-54.48</f>
        <v>6050</v>
      </c>
      <c r="O416" s="168">
        <v>768849.54</v>
      </c>
      <c r="P416" s="1016" t="s">
        <v>5454</v>
      </c>
      <c r="Q416" s="211">
        <v>45887</v>
      </c>
      <c r="R416" s="218"/>
      <c r="S416" s="219"/>
      <c r="T416" s="284" t="s">
        <v>5455</v>
      </c>
      <c r="U416" s="278" t="s">
        <v>5456</v>
      </c>
      <c r="V416" s="218">
        <v>10000</v>
      </c>
      <c r="W416" s="219" t="s">
        <v>2555</v>
      </c>
      <c r="X416" s="218">
        <v>40000</v>
      </c>
      <c r="Y416" s="219" t="s">
        <v>945</v>
      </c>
      <c r="Z416" s="128">
        <v>108046</v>
      </c>
      <c r="AA416" s="171" t="s">
        <v>5457</v>
      </c>
      <c r="AB416" s="218">
        <v>90000</v>
      </c>
      <c r="AC416" s="128" t="s">
        <v>4562</v>
      </c>
      <c r="AD416" s="218">
        <v>600000</v>
      </c>
      <c r="AE416" s="219" t="s">
        <v>4860</v>
      </c>
      <c r="AF416" s="128">
        <v>-10000</v>
      </c>
      <c r="AG416" s="171">
        <v>46042</v>
      </c>
      <c r="AH416" s="218">
        <f t="shared" si="56"/>
        <v>838046</v>
      </c>
      <c r="AK416" s="179">
        <f t="shared" si="62"/>
        <v>0</v>
      </c>
      <c r="AL416" s="287" t="s">
        <v>5458</v>
      </c>
      <c r="AM416" s="311" t="s">
        <v>3402</v>
      </c>
      <c r="AN416" s="321"/>
      <c r="AO416" s="128">
        <f t="shared" si="57"/>
        <v>838046</v>
      </c>
      <c r="AP416" s="169">
        <f>0.5%+0.02%+0.08%</f>
        <v>0.006</v>
      </c>
      <c r="AQ416" s="275">
        <f t="shared" si="58"/>
        <v>100</v>
      </c>
      <c r="AR416" s="218"/>
      <c r="AS416" s="218"/>
      <c r="AT416" s="218">
        <v>100</v>
      </c>
      <c r="AU416" s="218"/>
      <c r="AV416" s="218"/>
      <c r="AW416" s="218"/>
      <c r="AX416" s="218"/>
      <c r="AY416" s="218"/>
      <c r="AZ416" s="218"/>
      <c r="BB416" s="218"/>
      <c r="BC416" s="128">
        <v>238046</v>
      </c>
      <c r="BD416" s="128">
        <v>600000</v>
      </c>
      <c r="CI416" s="128" t="s">
        <v>376</v>
      </c>
      <c r="CJ416" s="128" t="s">
        <v>387</v>
      </c>
      <c r="CK416" s="128" t="s">
        <v>377</v>
      </c>
    </row>
    <row r="417" s="128" customFormat="1" customHeight="1" spans="1:89">
      <c r="A417" s="272">
        <v>338</v>
      </c>
      <c r="C417" s="171">
        <v>45177</v>
      </c>
      <c r="D417" s="128">
        <v>20230007694</v>
      </c>
      <c r="F417" s="287" t="s">
        <v>5459</v>
      </c>
      <c r="G417" s="284" t="s">
        <v>5460</v>
      </c>
      <c r="H417" s="284"/>
      <c r="I417" s="273" t="s">
        <v>5461</v>
      </c>
      <c r="J417" s="128">
        <v>138.03</v>
      </c>
      <c r="K417" s="128">
        <v>138.03</v>
      </c>
      <c r="L417" s="128">
        <v>6073.48</v>
      </c>
      <c r="M417" s="307">
        <v>838322</v>
      </c>
      <c r="N417" s="218">
        <f>6123.48-50</f>
        <v>6073.48</v>
      </c>
      <c r="O417" s="168">
        <v>769102.75</v>
      </c>
      <c r="P417" s="287" t="s">
        <v>5462</v>
      </c>
      <c r="Q417" s="211">
        <v>45887</v>
      </c>
      <c r="R417" s="218"/>
      <c r="S417" s="219"/>
      <c r="T417" s="272"/>
      <c r="U417" s="219" t="s">
        <v>410</v>
      </c>
      <c r="V417" s="218">
        <f>30000+198322</f>
        <v>228322</v>
      </c>
      <c r="W417" s="219" t="s">
        <v>2000</v>
      </c>
      <c r="X417" s="218">
        <v>110000</v>
      </c>
      <c r="Y417" s="219" t="s">
        <v>5463</v>
      </c>
      <c r="Z417" s="218">
        <v>500000</v>
      </c>
      <c r="AA417" s="219" t="s">
        <v>2409</v>
      </c>
      <c r="AB417" s="218"/>
      <c r="AH417" s="218">
        <f t="shared" si="56"/>
        <v>838322</v>
      </c>
      <c r="AK417" s="179">
        <f t="shared" si="62"/>
        <v>0</v>
      </c>
      <c r="AL417" s="287"/>
      <c r="AM417" s="311" t="s">
        <v>3402</v>
      </c>
      <c r="AN417" s="321"/>
      <c r="AO417" s="128">
        <f t="shared" si="57"/>
        <v>838322</v>
      </c>
      <c r="AP417" s="169">
        <f>0.6%+0.04%+0.12%</f>
        <v>0.0076</v>
      </c>
      <c r="AQ417" s="275">
        <f t="shared" si="58"/>
        <v>0</v>
      </c>
      <c r="AR417" s="218"/>
      <c r="AS417" s="218"/>
      <c r="AT417" s="218"/>
      <c r="AU417" s="218"/>
      <c r="AV417" s="218"/>
      <c r="AW417" s="218"/>
      <c r="AX417" s="218"/>
      <c r="AY417" s="218"/>
      <c r="AZ417" s="218"/>
      <c r="BB417" s="218">
        <v>338322</v>
      </c>
      <c r="BC417" s="128">
        <v>500000</v>
      </c>
      <c r="CI417" s="128" t="s">
        <v>376</v>
      </c>
      <c r="CJ417" s="128" t="s">
        <v>387</v>
      </c>
      <c r="CK417" s="128" t="s">
        <v>377</v>
      </c>
    </row>
    <row r="418" s="128" customFormat="1" customHeight="1" spans="1:89">
      <c r="A418" s="272">
        <v>339</v>
      </c>
      <c r="C418" s="171">
        <v>45476</v>
      </c>
      <c r="D418" s="286" t="s">
        <v>5464</v>
      </c>
      <c r="F418" s="287" t="s">
        <v>5465</v>
      </c>
      <c r="G418" s="272" t="s">
        <v>5466</v>
      </c>
      <c r="H418" s="1017" t="s">
        <v>5467</v>
      </c>
      <c r="I418" s="276" t="s">
        <v>5468</v>
      </c>
      <c r="J418" s="179">
        <v>138.52</v>
      </c>
      <c r="K418" s="128">
        <v>138.52</v>
      </c>
      <c r="L418" s="128">
        <v>7200</v>
      </c>
      <c r="M418" s="307">
        <v>997344</v>
      </c>
      <c r="N418" s="308">
        <v>7112.59</v>
      </c>
      <c r="O418" s="309">
        <v>914994.5</v>
      </c>
      <c r="P418" s="286" t="s">
        <v>5469</v>
      </c>
      <c r="Q418" s="310">
        <v>45889</v>
      </c>
      <c r="R418" s="218"/>
      <c r="S418" s="219"/>
      <c r="T418" s="272"/>
      <c r="U418" s="219" t="s">
        <v>677</v>
      </c>
      <c r="V418" s="218">
        <v>20000</v>
      </c>
      <c r="W418" s="219" t="s">
        <v>4612</v>
      </c>
      <c r="X418" s="218">
        <v>277344</v>
      </c>
      <c r="Y418" s="219" t="s">
        <v>4944</v>
      </c>
      <c r="Z418" s="218">
        <v>700000</v>
      </c>
      <c r="AA418" s="219" t="s">
        <v>3800</v>
      </c>
      <c r="AB418" s="218"/>
      <c r="AC418" s="171"/>
      <c r="AD418" s="171"/>
      <c r="AE418" s="171"/>
      <c r="AF418" s="171"/>
      <c r="AG418" s="171"/>
      <c r="AH418" s="218">
        <f t="shared" si="56"/>
        <v>997344</v>
      </c>
      <c r="AK418" s="179">
        <f t="shared" si="62"/>
        <v>0</v>
      </c>
      <c r="AL418" s="287" t="s">
        <v>5470</v>
      </c>
      <c r="AM418" s="311"/>
      <c r="AN418" s="312"/>
      <c r="AO418" s="128">
        <f t="shared" si="57"/>
        <v>997344</v>
      </c>
      <c r="AP418" s="173">
        <f>0.7%+0.02%+0.08%</f>
        <v>0.008</v>
      </c>
      <c r="AQ418" s="275">
        <f t="shared" si="58"/>
        <v>0</v>
      </c>
      <c r="AR418" s="218"/>
      <c r="AS418" s="218"/>
      <c r="AT418" s="218"/>
      <c r="AU418" s="218"/>
      <c r="AV418" s="218"/>
      <c r="AW418" s="218"/>
      <c r="AX418" s="218"/>
      <c r="AY418" s="218"/>
      <c r="AZ418" s="218"/>
      <c r="BB418" s="218"/>
      <c r="BK418" s="128">
        <v>297344</v>
      </c>
      <c r="BL418" s="128">
        <v>700000</v>
      </c>
      <c r="CI418" s="128" t="s">
        <v>376</v>
      </c>
      <c r="CJ418" s="128" t="s">
        <v>387</v>
      </c>
      <c r="CK418" s="128" t="s">
        <v>377</v>
      </c>
    </row>
    <row r="419" s="128" customFormat="1" customHeight="1" spans="1:89">
      <c r="A419" s="272">
        <v>340</v>
      </c>
      <c r="B419" s="128"/>
      <c r="C419" s="171">
        <v>45623</v>
      </c>
      <c r="D419" s="128">
        <v>20240006840</v>
      </c>
      <c r="F419" s="287" t="s">
        <v>5471</v>
      </c>
      <c r="G419" s="272" t="s">
        <v>5472</v>
      </c>
      <c r="H419" s="1017" t="s">
        <v>5473</v>
      </c>
      <c r="I419" s="273" t="s">
        <v>5474</v>
      </c>
      <c r="J419" s="128">
        <v>138.03</v>
      </c>
      <c r="K419" s="128">
        <v>138.03</v>
      </c>
      <c r="L419" s="128">
        <v>6820</v>
      </c>
      <c r="M419" s="307">
        <v>941365</v>
      </c>
      <c r="N419" s="218">
        <v>6820</v>
      </c>
      <c r="O419" s="168">
        <v>863637.61</v>
      </c>
      <c r="P419" s="287" t="s">
        <v>5475</v>
      </c>
      <c r="Q419" s="211">
        <v>45887</v>
      </c>
      <c r="R419" s="218"/>
      <c r="S419" s="219"/>
      <c r="T419" s="272"/>
      <c r="U419" s="219" t="s">
        <v>2278</v>
      </c>
      <c r="V419" s="218">
        <v>11365</v>
      </c>
      <c r="W419" s="219" t="s">
        <v>508</v>
      </c>
      <c r="X419" s="218">
        <v>190000</v>
      </c>
      <c r="Y419" s="219" t="s">
        <v>4548</v>
      </c>
      <c r="Z419" s="128">
        <v>740000</v>
      </c>
      <c r="AA419" s="171" t="s">
        <v>525</v>
      </c>
      <c r="AB419" s="218"/>
      <c r="AH419" s="218">
        <f t="shared" si="56"/>
        <v>941365</v>
      </c>
      <c r="AK419" s="179">
        <f t="shared" si="62"/>
        <v>0</v>
      </c>
      <c r="AL419" s="287" t="s">
        <v>5476</v>
      </c>
      <c r="AM419" s="311" t="s">
        <v>3402</v>
      </c>
      <c r="AN419" s="321"/>
      <c r="AO419" s="128">
        <f t="shared" si="57"/>
        <v>941365</v>
      </c>
      <c r="AP419" s="169">
        <f>0.6%+0.02%+0.08%+0.03%</f>
        <v>0.0073</v>
      </c>
      <c r="AQ419" s="275">
        <f t="shared" si="58"/>
        <v>0</v>
      </c>
      <c r="AR419" s="218"/>
      <c r="AS419" s="218"/>
      <c r="AT419" s="218"/>
      <c r="AU419" s="218"/>
      <c r="AV419" s="218"/>
      <c r="AW419" s="218"/>
      <c r="AX419" s="218"/>
      <c r="AY419" s="218"/>
      <c r="AZ419" s="218"/>
      <c r="BB419" s="218"/>
      <c r="BR419" s="128">
        <v>941365</v>
      </c>
      <c r="CI419" s="128" t="s">
        <v>376</v>
      </c>
      <c r="CK419" s="128" t="s">
        <v>377</v>
      </c>
    </row>
    <row r="420" s="128" customFormat="1" ht="50" customHeight="1" spans="1:89">
      <c r="A420" s="272">
        <v>341</v>
      </c>
      <c r="C420" s="171">
        <v>45353</v>
      </c>
      <c r="D420" s="128">
        <v>20240001110</v>
      </c>
      <c r="F420" s="287" t="s">
        <v>5477</v>
      </c>
      <c r="G420" s="177" t="s">
        <v>5478</v>
      </c>
      <c r="H420" s="1016" t="s">
        <v>5479</v>
      </c>
      <c r="I420" s="276" t="s">
        <v>5480</v>
      </c>
      <c r="J420" s="128">
        <v>122.85</v>
      </c>
      <c r="K420" s="128">
        <v>122.85</v>
      </c>
      <c r="L420" s="128">
        <v>7374.85</v>
      </c>
      <c r="M420" s="307">
        <v>906000</v>
      </c>
      <c r="N420" s="218">
        <v>7374.59</v>
      </c>
      <c r="O420" s="168">
        <v>831192.66</v>
      </c>
      <c r="P420" s="287" t="s">
        <v>5481</v>
      </c>
      <c r="Q420" s="211">
        <v>45887</v>
      </c>
      <c r="R420" s="218"/>
      <c r="S420" s="278"/>
      <c r="T420" s="284"/>
      <c r="U420" s="278" t="s">
        <v>400</v>
      </c>
      <c r="V420" s="218">
        <v>20000</v>
      </c>
      <c r="W420" s="278" t="s">
        <v>479</v>
      </c>
      <c r="X420" s="128">
        <f>206000+50000</f>
        <v>256000</v>
      </c>
      <c r="Y420" s="128" t="s">
        <v>3819</v>
      </c>
      <c r="Z420" s="218">
        <v>630000</v>
      </c>
      <c r="AA420" s="278" t="s">
        <v>5272</v>
      </c>
      <c r="AB420" s="218"/>
      <c r="AH420" s="218">
        <f t="shared" si="56"/>
        <v>906000</v>
      </c>
      <c r="AK420" s="179">
        <f t="shared" ref="AK420:AK425" si="63">M420-AH420</f>
        <v>0</v>
      </c>
      <c r="AL420" s="287" t="s">
        <v>5482</v>
      </c>
      <c r="AM420" s="311"/>
      <c r="AO420" s="128">
        <f t="shared" si="57"/>
        <v>906000</v>
      </c>
      <c r="AP420" s="173">
        <f>0.6%+0.04%+0.14%</f>
        <v>0.0078</v>
      </c>
      <c r="AQ420" s="275">
        <f t="shared" si="58"/>
        <v>200</v>
      </c>
      <c r="AR420" s="218"/>
      <c r="AS420" s="218"/>
      <c r="AT420" s="218">
        <f>100+100</f>
        <v>200</v>
      </c>
      <c r="AU420" s="218"/>
      <c r="AV420" s="218"/>
      <c r="AW420" s="218"/>
      <c r="AX420" s="218"/>
      <c r="AY420" s="218"/>
      <c r="AZ420" s="218"/>
      <c r="BB420" s="218"/>
      <c r="BG420" s="128">
        <v>276000</v>
      </c>
      <c r="BM420" s="128">
        <v>630000</v>
      </c>
      <c r="CI420" s="128" t="s">
        <v>376</v>
      </c>
      <c r="CJ420" s="128" t="s">
        <v>387</v>
      </c>
      <c r="CK420" s="128" t="s">
        <v>377</v>
      </c>
    </row>
    <row r="421" s="128" customFormat="1" ht="47" customHeight="1" spans="1:89">
      <c r="A421" s="272">
        <v>342</v>
      </c>
      <c r="C421" s="171">
        <v>45301</v>
      </c>
      <c r="D421" s="128">
        <v>20240000219</v>
      </c>
      <c r="F421" s="287" t="s">
        <v>5483</v>
      </c>
      <c r="G421" s="177" t="s">
        <v>5484</v>
      </c>
      <c r="H421" s="1016" t="s">
        <v>5485</v>
      </c>
      <c r="I421" s="273" t="s">
        <v>5486</v>
      </c>
      <c r="J421" s="128">
        <v>150.17</v>
      </c>
      <c r="K421" s="128">
        <v>150.17</v>
      </c>
      <c r="L421" s="128">
        <v>7384.59</v>
      </c>
      <c r="M421" s="307">
        <v>1108944</v>
      </c>
      <c r="N421" s="218">
        <v>7384.59</v>
      </c>
      <c r="O421" s="168">
        <v>1017379.82</v>
      </c>
      <c r="P421" s="287" t="s">
        <v>5487</v>
      </c>
      <c r="Q421" s="211">
        <v>45894</v>
      </c>
      <c r="R421" s="218"/>
      <c r="S421" s="219"/>
      <c r="T421" s="1018" t="s">
        <v>5488</v>
      </c>
      <c r="U421" s="278" t="s">
        <v>5489</v>
      </c>
      <c r="V421" s="218">
        <f>10000-10000</f>
        <v>0</v>
      </c>
      <c r="W421" s="219" t="s">
        <v>1590</v>
      </c>
      <c r="X421" s="218">
        <v>10000</v>
      </c>
      <c r="Y421" s="219" t="s">
        <v>1208</v>
      </c>
      <c r="Z421" s="218">
        <v>10000</v>
      </c>
      <c r="AA421" s="219" t="s">
        <v>2633</v>
      </c>
      <c r="AB421" s="218">
        <v>80000</v>
      </c>
      <c r="AC421" s="219" t="s">
        <v>2719</v>
      </c>
      <c r="AD421" s="218">
        <v>100944</v>
      </c>
      <c r="AE421" s="219" t="s">
        <v>403</v>
      </c>
      <c r="AF421" s="218">
        <f>18000+90000+800000</f>
        <v>908000</v>
      </c>
      <c r="AG421" s="278" t="s">
        <v>5490</v>
      </c>
      <c r="AH421" s="218">
        <f t="shared" si="56"/>
        <v>1108944</v>
      </c>
      <c r="AK421" s="179">
        <f t="shared" si="63"/>
        <v>0</v>
      </c>
      <c r="AL421" s="287" t="s">
        <v>5491</v>
      </c>
      <c r="AM421" s="311"/>
      <c r="AO421" s="128">
        <f t="shared" si="57"/>
        <v>1108944</v>
      </c>
      <c r="AP421" s="169">
        <f>0.4%+0.02%+0.12%</f>
        <v>0.0054</v>
      </c>
      <c r="AQ421" s="275">
        <f t="shared" si="58"/>
        <v>300</v>
      </c>
      <c r="AR421" s="218"/>
      <c r="AS421" s="218">
        <v>100</v>
      </c>
      <c r="AT421" s="218"/>
      <c r="AU421" s="218"/>
      <c r="AV421" s="218"/>
      <c r="AW421" s="218">
        <v>200</v>
      </c>
      <c r="AX421" s="218"/>
      <c r="AY421" s="218"/>
      <c r="AZ421" s="218"/>
      <c r="BB421" s="218"/>
      <c r="BG421" s="128">
        <v>308944</v>
      </c>
      <c r="BI421" s="128">
        <v>800000</v>
      </c>
      <c r="CI421" s="128" t="s">
        <v>376</v>
      </c>
      <c r="CJ421" s="128" t="s">
        <v>387</v>
      </c>
      <c r="CK421" s="128" t="s">
        <v>377</v>
      </c>
    </row>
    <row r="422" s="128" customFormat="1" customHeight="1" spans="1:89">
      <c r="A422" s="272">
        <v>343</v>
      </c>
      <c r="B422" s="128"/>
      <c r="C422" s="171">
        <v>45641</v>
      </c>
      <c r="D422" s="128">
        <v>20240007219</v>
      </c>
      <c r="F422" s="287" t="s">
        <v>5492</v>
      </c>
      <c r="G422" s="128" t="s">
        <v>5493</v>
      </c>
      <c r="I422" s="276" t="s">
        <v>5494</v>
      </c>
      <c r="J422" s="128">
        <v>138.03</v>
      </c>
      <c r="K422" s="128">
        <v>138.03</v>
      </c>
      <c r="L422" s="128">
        <v>5723.39</v>
      </c>
      <c r="M422" s="307">
        <v>790000</v>
      </c>
      <c r="N422" s="218">
        <v>5723.39</v>
      </c>
      <c r="O422" s="309">
        <v>724770.64</v>
      </c>
      <c r="P422" s="287" t="s">
        <v>5495</v>
      </c>
      <c r="Q422" s="211">
        <v>45894</v>
      </c>
      <c r="R422" s="218"/>
      <c r="S422" s="219"/>
      <c r="T422" s="272"/>
      <c r="U422" s="219" t="s">
        <v>524</v>
      </c>
      <c r="V422" s="218">
        <v>20000</v>
      </c>
      <c r="W422" s="219">
        <v>45538</v>
      </c>
      <c r="X422" s="218">
        <v>100000</v>
      </c>
      <c r="Y422" s="219" t="s">
        <v>5496</v>
      </c>
      <c r="Z422" s="218">
        <v>670000</v>
      </c>
      <c r="AA422" s="219" t="s">
        <v>4696</v>
      </c>
      <c r="AB422" s="218"/>
      <c r="AH422" s="218">
        <f t="shared" si="56"/>
        <v>790000</v>
      </c>
      <c r="AK422" s="179">
        <f t="shared" si="63"/>
        <v>0</v>
      </c>
      <c r="AL422" s="287"/>
      <c r="AM422" s="311" t="s">
        <v>5360</v>
      </c>
      <c r="AO422" s="128">
        <f t="shared" si="57"/>
        <v>790000</v>
      </c>
      <c r="AP422" s="169">
        <f>0.5%+0.04%+0.1%</f>
        <v>0.0064</v>
      </c>
      <c r="AQ422" s="275">
        <f t="shared" si="58"/>
        <v>100</v>
      </c>
      <c r="AR422" s="218"/>
      <c r="AS422" s="218"/>
      <c r="AT422" s="218"/>
      <c r="AU422" s="218"/>
      <c r="AV422" s="218">
        <v>100</v>
      </c>
      <c r="AW422" s="218"/>
      <c r="AX422" s="218"/>
      <c r="AY422" s="218"/>
      <c r="AZ422" s="218"/>
      <c r="BB422" s="218"/>
      <c r="BP422" s="128">
        <v>120000</v>
      </c>
      <c r="BQ422" s="128">
        <v>670000</v>
      </c>
      <c r="BR422" s="128"/>
      <c r="BS422" s="128"/>
      <c r="BT422" s="128"/>
      <c r="BU422" s="128"/>
      <c r="BV422" s="128"/>
      <c r="CI422" s="128" t="s">
        <v>376</v>
      </c>
      <c r="CK422" s="128" t="s">
        <v>377</v>
      </c>
    </row>
    <row r="423" s="128" customFormat="1" customHeight="1" spans="1:89">
      <c r="A423" s="272">
        <v>344</v>
      </c>
      <c r="B423" s="128"/>
      <c r="C423" s="171">
        <v>45593</v>
      </c>
      <c r="D423" s="128">
        <v>20240006325</v>
      </c>
      <c r="F423" s="287" t="s">
        <v>5497</v>
      </c>
      <c r="G423" s="128" t="s">
        <v>5498</v>
      </c>
      <c r="H423" s="1016" t="s">
        <v>5499</v>
      </c>
      <c r="I423" s="273" t="s">
        <v>5500</v>
      </c>
      <c r="J423" s="128">
        <v>147.25</v>
      </c>
      <c r="K423" s="128">
        <v>147.25</v>
      </c>
      <c r="L423" s="128">
        <v>5691</v>
      </c>
      <c r="M423" s="307">
        <v>838000</v>
      </c>
      <c r="N423" s="218">
        <v>5757.82</v>
      </c>
      <c r="O423" s="309">
        <v>768807.34</v>
      </c>
      <c r="P423" s="287" t="s">
        <v>5501</v>
      </c>
      <c r="Q423" s="211">
        <v>45894</v>
      </c>
      <c r="R423" s="218"/>
      <c r="S423" s="219"/>
      <c r="T423" s="272"/>
      <c r="U423" s="219" t="s">
        <v>524</v>
      </c>
      <c r="V423" s="218">
        <v>20000</v>
      </c>
      <c r="W423" s="219" t="s">
        <v>708</v>
      </c>
      <c r="X423" s="218">
        <v>388000</v>
      </c>
      <c r="Y423" s="318" t="s">
        <v>497</v>
      </c>
      <c r="Z423" s="218">
        <v>430000</v>
      </c>
      <c r="AA423" s="219" t="s">
        <v>3382</v>
      </c>
      <c r="AB423" s="218"/>
      <c r="AH423" s="218">
        <f t="shared" si="56"/>
        <v>838000</v>
      </c>
      <c r="AK423" s="179">
        <f t="shared" si="63"/>
        <v>0</v>
      </c>
      <c r="AL423" s="287" t="s">
        <v>5502</v>
      </c>
      <c r="AM423" s="311" t="s">
        <v>3402</v>
      </c>
      <c r="AO423" s="128">
        <f t="shared" si="57"/>
        <v>838000</v>
      </c>
      <c r="AP423" s="169">
        <f>0.6%+0.02%+0.08%</f>
        <v>0.007</v>
      </c>
      <c r="AQ423" s="275">
        <f t="shared" si="58"/>
        <v>0</v>
      </c>
      <c r="AR423" s="218"/>
      <c r="AS423" s="218"/>
      <c r="AT423" s="218"/>
      <c r="AU423" s="218"/>
      <c r="AV423" s="218"/>
      <c r="AW423" s="218"/>
      <c r="AX423" s="218"/>
      <c r="AY423" s="218"/>
      <c r="AZ423" s="218"/>
      <c r="BB423" s="218"/>
      <c r="BO423" s="128">
        <v>838000</v>
      </c>
      <c r="CI423" s="128" t="s">
        <v>376</v>
      </c>
      <c r="CK423" s="128" t="s">
        <v>377</v>
      </c>
    </row>
    <row r="424" s="128" customFormat="1" ht="49" customHeight="1" spans="1:89">
      <c r="A424" s="272">
        <v>345</v>
      </c>
      <c r="C424" s="171">
        <v>45159</v>
      </c>
      <c r="D424" s="128">
        <v>20230007093</v>
      </c>
      <c r="F424" s="287" t="s">
        <v>5503</v>
      </c>
      <c r="G424" s="128" t="s">
        <v>5504</v>
      </c>
      <c r="H424" s="1016" t="s">
        <v>5505</v>
      </c>
      <c r="I424" s="276" t="s">
        <v>5506</v>
      </c>
      <c r="J424" s="128">
        <v>138.03</v>
      </c>
      <c r="K424" s="128">
        <v>138.03</v>
      </c>
      <c r="L424" s="128">
        <v>5827.4</v>
      </c>
      <c r="M424" s="307">
        <v>804356</v>
      </c>
      <c r="N424" s="218">
        <v>5827.4</v>
      </c>
      <c r="O424" s="168">
        <v>737941.28</v>
      </c>
      <c r="P424" s="287" t="s">
        <v>5507</v>
      </c>
      <c r="Q424" s="211">
        <v>45894</v>
      </c>
      <c r="R424" s="218"/>
      <c r="S424" s="219"/>
      <c r="T424" s="1017" t="s">
        <v>2502</v>
      </c>
      <c r="U424" s="219" t="s">
        <v>410</v>
      </c>
      <c r="V424" s="218">
        <v>10000</v>
      </c>
      <c r="W424" s="318" t="s">
        <v>1035</v>
      </c>
      <c r="X424" s="218">
        <v>10000</v>
      </c>
      <c r="Y424" s="219" t="s">
        <v>2625</v>
      </c>
      <c r="Z424" s="128">
        <v>224356</v>
      </c>
      <c r="AA424" s="128" t="s">
        <v>1900</v>
      </c>
      <c r="AB424" s="218">
        <v>560000</v>
      </c>
      <c r="AC424" s="219" t="s">
        <v>1618</v>
      </c>
      <c r="AH424" s="218">
        <f t="shared" si="56"/>
        <v>804356</v>
      </c>
      <c r="AK424" s="179">
        <f t="shared" si="63"/>
        <v>0</v>
      </c>
      <c r="AL424" s="287" t="s">
        <v>5508</v>
      </c>
      <c r="AM424" s="311"/>
      <c r="AO424" s="128">
        <f t="shared" si="57"/>
        <v>804356</v>
      </c>
      <c r="AP424" s="169">
        <f>0.7%+0.05%+0.12%</f>
        <v>0.0087</v>
      </c>
      <c r="AQ424" s="275">
        <f t="shared" si="58"/>
        <v>200</v>
      </c>
      <c r="AR424" s="218"/>
      <c r="AS424" s="218"/>
      <c r="AT424" s="218"/>
      <c r="AU424" s="218"/>
      <c r="AV424" s="218"/>
      <c r="AW424" s="218">
        <v>200</v>
      </c>
      <c r="AX424" s="218"/>
      <c r="AY424" s="218"/>
      <c r="AZ424" s="218"/>
      <c r="BB424" s="218"/>
      <c r="BC424" s="128">
        <v>804356</v>
      </c>
      <c r="CI424" s="128" t="s">
        <v>376</v>
      </c>
      <c r="CJ424" s="128" t="s">
        <v>387</v>
      </c>
      <c r="CK424" s="128" t="s">
        <v>377</v>
      </c>
    </row>
    <row r="425" s="128" customFormat="1" customHeight="1" spans="1:89">
      <c r="A425" s="272">
        <v>346</v>
      </c>
      <c r="C425" s="171">
        <v>45472</v>
      </c>
      <c r="D425" s="128">
        <v>20240003721</v>
      </c>
      <c r="F425" s="287" t="s">
        <v>5509</v>
      </c>
      <c r="G425" s="177" t="s">
        <v>5510</v>
      </c>
      <c r="H425" s="1016" t="s">
        <v>5511</v>
      </c>
      <c r="I425" s="276" t="s">
        <v>5512</v>
      </c>
      <c r="J425" s="128">
        <v>147.25</v>
      </c>
      <c r="K425" s="128">
        <v>147.25</v>
      </c>
      <c r="L425" s="128">
        <f>M425/K425</f>
        <v>5512.46859083192</v>
      </c>
      <c r="M425" s="307">
        <v>811711</v>
      </c>
      <c r="N425" s="277">
        <v>5700</v>
      </c>
      <c r="O425" s="168">
        <v>744688.99</v>
      </c>
      <c r="P425" s="287" t="s">
        <v>5513</v>
      </c>
      <c r="Q425" s="211">
        <v>45908</v>
      </c>
      <c r="R425" s="218"/>
      <c r="S425" s="278"/>
      <c r="T425" s="284"/>
      <c r="U425" s="278" t="s">
        <v>373</v>
      </c>
      <c r="V425" s="218">
        <v>20000</v>
      </c>
      <c r="W425" s="278" t="s">
        <v>3954</v>
      </c>
      <c r="X425" s="218">
        <v>151711</v>
      </c>
      <c r="Y425" s="278" t="s">
        <v>472</v>
      </c>
      <c r="Z425" s="128">
        <v>40000</v>
      </c>
      <c r="AA425" s="128" t="s">
        <v>883</v>
      </c>
      <c r="AB425" s="218">
        <v>600000</v>
      </c>
      <c r="AC425" s="278" t="s">
        <v>5514</v>
      </c>
      <c r="AH425" s="218">
        <f t="shared" si="56"/>
        <v>811711</v>
      </c>
      <c r="AK425" s="179">
        <f t="shared" si="63"/>
        <v>0</v>
      </c>
      <c r="AL425" s="287" t="s">
        <v>5515</v>
      </c>
      <c r="AM425" s="311" t="s">
        <v>5516</v>
      </c>
      <c r="AO425" s="128">
        <f t="shared" si="57"/>
        <v>811711</v>
      </c>
      <c r="AP425" s="169">
        <f>0.6%+0.03%+0.08%</f>
        <v>0.0071</v>
      </c>
      <c r="AQ425" s="275">
        <f t="shared" si="58"/>
        <v>300</v>
      </c>
      <c r="AR425" s="218"/>
      <c r="AS425" s="218"/>
      <c r="AT425" s="218">
        <v>100</v>
      </c>
      <c r="AU425" s="218"/>
      <c r="AV425" s="218">
        <f>100+100</f>
        <v>200</v>
      </c>
      <c r="AW425" s="218"/>
      <c r="AX425" s="218"/>
      <c r="AY425" s="218"/>
      <c r="AZ425" s="218"/>
      <c r="BB425" s="218"/>
      <c r="BO425" s="128">
        <v>811711</v>
      </c>
      <c r="CI425" s="128" t="s">
        <v>376</v>
      </c>
      <c r="CJ425" s="128" t="s">
        <v>387</v>
      </c>
      <c r="CK425" s="128" t="s">
        <v>377</v>
      </c>
    </row>
    <row r="426" s="128" customFormat="1" customHeight="1" spans="1:89">
      <c r="A426" s="272">
        <v>347</v>
      </c>
      <c r="C426" s="171">
        <v>45198</v>
      </c>
      <c r="D426" s="128">
        <v>20230008193</v>
      </c>
      <c r="F426" s="287" t="s">
        <v>5517</v>
      </c>
      <c r="G426" s="128" t="s">
        <v>5518</v>
      </c>
      <c r="H426" s="1016" t="s">
        <v>5519</v>
      </c>
      <c r="I426" s="276" t="s">
        <v>5520</v>
      </c>
      <c r="J426" s="128">
        <v>138.03</v>
      </c>
      <c r="K426" s="128">
        <v>138.03</v>
      </c>
      <c r="L426" s="128">
        <v>5860.01</v>
      </c>
      <c r="M426" s="307">
        <v>808857</v>
      </c>
      <c r="N426" s="218">
        <v>5860.01</v>
      </c>
      <c r="O426" s="168">
        <v>742070.64</v>
      </c>
      <c r="P426" s="287" t="s">
        <v>5521</v>
      </c>
      <c r="Q426" s="211">
        <v>45910</v>
      </c>
      <c r="R426" s="218"/>
      <c r="S426" s="219"/>
      <c r="T426" s="272"/>
      <c r="U426" s="219" t="s">
        <v>677</v>
      </c>
      <c r="V426" s="218">
        <v>20000</v>
      </c>
      <c r="W426" s="219" t="s">
        <v>1742</v>
      </c>
      <c r="X426" s="218">
        <v>50000</v>
      </c>
      <c r="Y426" s="219" t="s">
        <v>2633</v>
      </c>
      <c r="Z426" s="218">
        <v>91857</v>
      </c>
      <c r="AA426" s="219" t="s">
        <v>2987</v>
      </c>
      <c r="AB426" s="218">
        <v>647000</v>
      </c>
      <c r="AC426" s="219" t="s">
        <v>3981</v>
      </c>
      <c r="AH426" s="218">
        <f t="shared" si="56"/>
        <v>808857</v>
      </c>
      <c r="AK426" s="179">
        <f t="shared" ref="AK426:AK441" si="64">M426-AH426</f>
        <v>0</v>
      </c>
      <c r="AL426" s="287" t="s">
        <v>5522</v>
      </c>
      <c r="AM426" s="311"/>
      <c r="AO426" s="128">
        <f t="shared" si="57"/>
        <v>808857</v>
      </c>
      <c r="AP426" s="169">
        <f>0.7%+0.05%+0.12%</f>
        <v>0.0087</v>
      </c>
      <c r="AQ426" s="275">
        <f t="shared" si="58"/>
        <v>0</v>
      </c>
      <c r="AR426" s="218"/>
      <c r="AS426" s="218"/>
      <c r="AT426" s="218"/>
      <c r="AU426" s="218"/>
      <c r="AV426" s="218"/>
      <c r="AW426" s="218"/>
      <c r="AX426" s="218"/>
      <c r="AY426" s="218"/>
      <c r="AZ426" s="218"/>
      <c r="BB426" s="218">
        <v>161857</v>
      </c>
      <c r="BD426" s="128">
        <v>647000</v>
      </c>
      <c r="CI426" s="128" t="s">
        <v>376</v>
      </c>
      <c r="CJ426" s="128" t="s">
        <v>387</v>
      </c>
      <c r="CK426" s="128" t="s">
        <v>377</v>
      </c>
    </row>
    <row r="427" s="128" customFormat="1" customHeight="1" spans="1:89">
      <c r="A427" s="272">
        <v>348</v>
      </c>
      <c r="B427" s="128"/>
      <c r="C427" s="171">
        <v>45599</v>
      </c>
      <c r="D427" s="128">
        <v>20240006415</v>
      </c>
      <c r="F427" s="287" t="s">
        <v>5523</v>
      </c>
      <c r="G427" s="128" t="s">
        <v>5524</v>
      </c>
      <c r="H427" s="1016" t="s">
        <v>5525</v>
      </c>
      <c r="I427" s="276" t="s">
        <v>5526</v>
      </c>
      <c r="J427" s="128">
        <v>147.25</v>
      </c>
      <c r="K427" s="128">
        <v>147.25</v>
      </c>
      <c r="L427" s="128">
        <v>5855.93</v>
      </c>
      <c r="M427" s="307">
        <v>862285</v>
      </c>
      <c r="N427" s="218">
        <v>5848.08</v>
      </c>
      <c r="O427" s="168">
        <v>791087.16</v>
      </c>
      <c r="P427" s="287" t="s">
        <v>5527</v>
      </c>
      <c r="Q427" s="211">
        <v>45847</v>
      </c>
      <c r="R427" s="218"/>
      <c r="S427" s="219"/>
      <c r="T427" s="272"/>
      <c r="U427" s="219" t="s">
        <v>410</v>
      </c>
      <c r="V427" s="218">
        <v>20000</v>
      </c>
      <c r="W427" s="219">
        <v>45542</v>
      </c>
      <c r="X427" s="218">
        <v>104285</v>
      </c>
      <c r="Y427" s="219" t="s">
        <v>2240</v>
      </c>
      <c r="Z427" s="128">
        <v>64000</v>
      </c>
      <c r="AA427" s="128" t="s">
        <v>5528</v>
      </c>
      <c r="AB427" s="218">
        <v>674000</v>
      </c>
      <c r="AC427" s="219" t="s">
        <v>4548</v>
      </c>
      <c r="AH427" s="218">
        <f t="shared" si="56"/>
        <v>862285</v>
      </c>
      <c r="AK427" s="179">
        <f t="shared" si="64"/>
        <v>0</v>
      </c>
      <c r="AL427" s="287" t="s">
        <v>5529</v>
      </c>
      <c r="AM427" s="311" t="s">
        <v>4676</v>
      </c>
      <c r="AO427" s="128">
        <f t="shared" si="57"/>
        <v>862285</v>
      </c>
      <c r="AP427" s="173">
        <f>0.7%+0.1%</f>
        <v>0.008</v>
      </c>
      <c r="AQ427" s="275">
        <f t="shared" si="58"/>
        <v>100</v>
      </c>
      <c r="AR427" s="218"/>
      <c r="AS427" s="218"/>
      <c r="AT427" s="218"/>
      <c r="AU427" s="218">
        <v>100</v>
      </c>
      <c r="AV427" s="218"/>
      <c r="AW427" s="218"/>
      <c r="AX427" s="218"/>
      <c r="AY427" s="218"/>
      <c r="AZ427" s="218"/>
      <c r="BB427" s="218"/>
      <c r="BO427" s="128">
        <v>188285</v>
      </c>
      <c r="BP427" s="128">
        <v>674000</v>
      </c>
      <c r="BQ427" s="128"/>
      <c r="BR427" s="128"/>
      <c r="BS427" s="128"/>
      <c r="BT427" s="128"/>
      <c r="BU427" s="128"/>
      <c r="BV427" s="128"/>
      <c r="CI427" s="128" t="s">
        <v>376</v>
      </c>
      <c r="CK427" s="128" t="s">
        <v>377</v>
      </c>
    </row>
    <row r="428" s="128" customFormat="1" ht="47" customHeight="1" spans="1:89">
      <c r="A428" s="272">
        <v>349</v>
      </c>
      <c r="C428" s="171">
        <v>45165</v>
      </c>
      <c r="D428" s="128">
        <v>20230007324</v>
      </c>
      <c r="F428" s="287" t="s">
        <v>5530</v>
      </c>
      <c r="G428" s="177" t="s">
        <v>5531</v>
      </c>
      <c r="H428" s="1016" t="s">
        <v>5532</v>
      </c>
      <c r="I428" s="276" t="s">
        <v>5533</v>
      </c>
      <c r="J428" s="128">
        <v>138.03</v>
      </c>
      <c r="K428" s="128">
        <v>138.03</v>
      </c>
      <c r="L428" s="128">
        <v>5934.35</v>
      </c>
      <c r="M428" s="307">
        <v>819119</v>
      </c>
      <c r="N428" s="218">
        <v>5934.35</v>
      </c>
      <c r="O428" s="168">
        <v>751485.32</v>
      </c>
      <c r="P428" s="287" t="s">
        <v>5534</v>
      </c>
      <c r="Q428" s="211">
        <v>45908</v>
      </c>
      <c r="R428" s="218"/>
      <c r="S428" s="219"/>
      <c r="T428" s="1018" t="s">
        <v>5535</v>
      </c>
      <c r="U428" s="278" t="s">
        <v>2725</v>
      </c>
      <c r="V428" s="218">
        <f>10000-10000</f>
        <v>0</v>
      </c>
      <c r="W428" s="219" t="s">
        <v>2122</v>
      </c>
      <c r="X428" s="218">
        <v>10000</v>
      </c>
      <c r="Y428" s="318" t="s">
        <v>2625</v>
      </c>
      <c r="Z428" s="128">
        <f>95000+54119</f>
        <v>149119</v>
      </c>
      <c r="AA428" s="128" t="s">
        <v>2408</v>
      </c>
      <c r="AB428" s="218">
        <v>10000</v>
      </c>
      <c r="AC428" s="219" t="s">
        <v>5536</v>
      </c>
      <c r="AD428" s="218">
        <v>3000</v>
      </c>
      <c r="AE428" s="219" t="s">
        <v>2830</v>
      </c>
      <c r="AF428" s="218">
        <v>647000</v>
      </c>
      <c r="AG428" s="219" t="s">
        <v>5094</v>
      </c>
      <c r="AH428" s="218">
        <f t="shared" si="56"/>
        <v>819119</v>
      </c>
      <c r="AK428" s="179">
        <f t="shared" si="64"/>
        <v>0</v>
      </c>
      <c r="AL428" s="287" t="s">
        <v>5537</v>
      </c>
      <c r="AM428" s="311"/>
      <c r="AO428" s="128">
        <f t="shared" si="57"/>
        <v>819119</v>
      </c>
      <c r="AP428" s="169">
        <f>0.7%+0.12%</f>
        <v>0.0082</v>
      </c>
      <c r="AQ428" s="275">
        <f t="shared" si="58"/>
        <v>200</v>
      </c>
      <c r="AR428" s="218"/>
      <c r="AS428" s="218"/>
      <c r="AT428" s="218"/>
      <c r="AU428" s="218"/>
      <c r="AV428" s="218"/>
      <c r="AW428" s="218">
        <v>200</v>
      </c>
      <c r="AX428" s="218"/>
      <c r="AY428" s="218"/>
      <c r="AZ428" s="218">
        <v>169119</v>
      </c>
      <c r="BB428" s="218"/>
      <c r="BF428" s="128">
        <v>650000</v>
      </c>
      <c r="CI428" s="128" t="s">
        <v>376</v>
      </c>
      <c r="CJ428" s="128" t="s">
        <v>387</v>
      </c>
      <c r="CK428" s="128" t="s">
        <v>377</v>
      </c>
    </row>
    <row r="429" s="128" customFormat="1" ht="49" customHeight="1" spans="1:89">
      <c r="A429" s="272">
        <v>350</v>
      </c>
      <c r="C429" s="171">
        <v>45160</v>
      </c>
      <c r="D429" s="128">
        <v>20230007103</v>
      </c>
      <c r="F429" s="287" t="s">
        <v>5538</v>
      </c>
      <c r="G429" s="177" t="s">
        <v>5539</v>
      </c>
      <c r="H429" s="1016" t="s">
        <v>3912</v>
      </c>
      <c r="I429" s="276" t="s">
        <v>5540</v>
      </c>
      <c r="J429" s="128">
        <v>147.25</v>
      </c>
      <c r="K429" s="128">
        <v>147.25</v>
      </c>
      <c r="L429" s="128">
        <v>5919.44</v>
      </c>
      <c r="M429" s="307">
        <v>871637</v>
      </c>
      <c r="N429" s="218">
        <v>5919.43</v>
      </c>
      <c r="O429" s="168">
        <v>799666.97</v>
      </c>
      <c r="P429" s="287" t="s">
        <v>5541</v>
      </c>
      <c r="Q429" s="211">
        <v>45910</v>
      </c>
      <c r="R429" s="218"/>
      <c r="S429" s="219"/>
      <c r="T429" s="1018" t="s">
        <v>5542</v>
      </c>
      <c r="U429" s="278" t="s">
        <v>5543</v>
      </c>
      <c r="V429" s="218">
        <f>10000-10000</f>
        <v>0</v>
      </c>
      <c r="W429" s="219" t="s">
        <v>2087</v>
      </c>
      <c r="X429" s="218">
        <v>10000</v>
      </c>
      <c r="Y429" s="219" t="s">
        <v>2044</v>
      </c>
      <c r="Z429" s="218">
        <v>1637</v>
      </c>
      <c r="AA429" s="219" t="s">
        <v>1900</v>
      </c>
      <c r="AB429" s="218">
        <v>210000</v>
      </c>
      <c r="AC429" s="219" t="s">
        <v>4576</v>
      </c>
      <c r="AD429" s="218">
        <v>650000</v>
      </c>
      <c r="AE429" s="219" t="s">
        <v>945</v>
      </c>
      <c r="AH429" s="218">
        <f t="shared" si="56"/>
        <v>871637</v>
      </c>
      <c r="AK429" s="179">
        <f t="shared" si="64"/>
        <v>0</v>
      </c>
      <c r="AL429" s="287" t="s">
        <v>5544</v>
      </c>
      <c r="AM429" s="311"/>
      <c r="AO429" s="128">
        <f t="shared" si="57"/>
        <v>871637</v>
      </c>
      <c r="AP429" s="169">
        <f>0.7%+0.12%</f>
        <v>0.0082</v>
      </c>
      <c r="AQ429" s="275">
        <f t="shared" si="58"/>
        <v>300</v>
      </c>
      <c r="AR429" s="275">
        <v>100</v>
      </c>
      <c r="AS429" s="218"/>
      <c r="AT429" s="218"/>
      <c r="AU429" s="218"/>
      <c r="AV429" s="218"/>
      <c r="AW429" s="218">
        <v>200</v>
      </c>
      <c r="AX429" s="218"/>
      <c r="AY429" s="218"/>
      <c r="AZ429" s="218"/>
      <c r="BB429" s="218">
        <v>221637</v>
      </c>
      <c r="BC429" s="128">
        <v>650000</v>
      </c>
      <c r="CI429" s="128" t="s">
        <v>376</v>
      </c>
      <c r="CJ429" s="128" t="s">
        <v>387</v>
      </c>
      <c r="CK429" s="128" t="s">
        <v>377</v>
      </c>
    </row>
    <row r="430" s="128" customFormat="1" ht="43" customHeight="1" spans="1:89">
      <c r="A430" s="272">
        <v>351</v>
      </c>
      <c r="C430" s="171">
        <v>45159</v>
      </c>
      <c r="D430" s="128">
        <v>20230007075</v>
      </c>
      <c r="F430" s="287" t="s">
        <v>5545</v>
      </c>
      <c r="G430" s="128" t="s">
        <v>5546</v>
      </c>
      <c r="H430" s="1016" t="s">
        <v>4138</v>
      </c>
      <c r="I430" s="276" t="s">
        <v>5547</v>
      </c>
      <c r="J430" s="128">
        <v>138.03</v>
      </c>
      <c r="K430" s="128">
        <v>138.03</v>
      </c>
      <c r="L430" s="128">
        <v>6003.27</v>
      </c>
      <c r="M430" s="307">
        <v>828632</v>
      </c>
      <c r="N430" s="218">
        <v>6003.27</v>
      </c>
      <c r="O430" s="168">
        <v>760212.84</v>
      </c>
      <c r="P430" s="287" t="s">
        <v>5548</v>
      </c>
      <c r="Q430" s="211">
        <v>45910</v>
      </c>
      <c r="R430" s="218"/>
      <c r="S430" s="219"/>
      <c r="T430" s="272"/>
      <c r="U430" s="219" t="s">
        <v>486</v>
      </c>
      <c r="V430" s="218">
        <v>20000</v>
      </c>
      <c r="W430" s="171" t="s">
        <v>1740</v>
      </c>
      <c r="X430" s="218">
        <f>128632+100000</f>
        <v>228632</v>
      </c>
      <c r="Y430" s="219" t="s">
        <v>1900</v>
      </c>
      <c r="Z430" s="218">
        <v>580000</v>
      </c>
      <c r="AA430" s="219" t="s">
        <v>2409</v>
      </c>
      <c r="AB430" s="218"/>
      <c r="AH430" s="218">
        <f t="shared" si="56"/>
        <v>828632</v>
      </c>
      <c r="AK430" s="179">
        <f t="shared" si="64"/>
        <v>0</v>
      </c>
      <c r="AL430" s="128">
        <v>18999000856</v>
      </c>
      <c r="AM430" s="311"/>
      <c r="AO430" s="128">
        <f t="shared" si="57"/>
        <v>828632</v>
      </c>
      <c r="AP430" s="169">
        <f>0.6%+0.04%+0.12%</f>
        <v>0.0076</v>
      </c>
      <c r="AQ430" s="275">
        <f t="shared" si="58"/>
        <v>0</v>
      </c>
      <c r="AR430" s="218"/>
      <c r="AS430" s="218"/>
      <c r="AT430" s="218"/>
      <c r="AU430" s="218"/>
      <c r="AV430" s="218"/>
      <c r="AW430" s="218"/>
      <c r="AX430" s="218"/>
      <c r="AY430" s="218"/>
      <c r="AZ430" s="218">
        <v>248632</v>
      </c>
      <c r="BB430" s="218"/>
      <c r="BC430" s="128">
        <v>580000</v>
      </c>
      <c r="CI430" s="128" t="s">
        <v>376</v>
      </c>
      <c r="CJ430" s="128" t="s">
        <v>387</v>
      </c>
      <c r="CK430" s="128" t="s">
        <v>377</v>
      </c>
    </row>
    <row r="431" s="128" customFormat="1" ht="43" customHeight="1" spans="1:89">
      <c r="A431" s="272">
        <v>352</v>
      </c>
      <c r="C431" s="171">
        <v>45178</v>
      </c>
      <c r="D431" s="128">
        <v>20230007748</v>
      </c>
      <c r="F431" s="287" t="s">
        <v>5549</v>
      </c>
      <c r="G431" s="128" t="s">
        <v>5550</v>
      </c>
      <c r="H431" s="1016" t="s">
        <v>4111</v>
      </c>
      <c r="I431" s="276" t="s">
        <v>5551</v>
      </c>
      <c r="J431" s="128">
        <v>147.25</v>
      </c>
      <c r="K431" s="128">
        <v>147.25</v>
      </c>
      <c r="L431" s="128">
        <v>5988.35</v>
      </c>
      <c r="M431" s="307">
        <v>881785</v>
      </c>
      <c r="N431" s="218">
        <v>5988.34</v>
      </c>
      <c r="O431" s="168">
        <v>808977.06</v>
      </c>
      <c r="P431" s="287" t="s">
        <v>5552</v>
      </c>
      <c r="Q431" s="211">
        <v>45910</v>
      </c>
      <c r="R431" s="218"/>
      <c r="S431" s="219"/>
      <c r="T431" s="1017" t="s">
        <v>2381</v>
      </c>
      <c r="U431" s="219" t="s">
        <v>383</v>
      </c>
      <c r="V431" s="218">
        <v>10000</v>
      </c>
      <c r="W431" s="219" t="s">
        <v>1359</v>
      </c>
      <c r="X431" s="218">
        <v>1785</v>
      </c>
      <c r="Y431" s="318" t="s">
        <v>2633</v>
      </c>
      <c r="Z431" s="218">
        <v>370000</v>
      </c>
      <c r="AA431" s="219" t="s">
        <v>2112</v>
      </c>
      <c r="AB431" s="218">
        <v>240000</v>
      </c>
      <c r="AC431" s="219" t="s">
        <v>459</v>
      </c>
      <c r="AD431" s="218">
        <v>150000</v>
      </c>
      <c r="AE431" s="219" t="s">
        <v>4493</v>
      </c>
      <c r="AF431" s="128">
        <v>110000</v>
      </c>
      <c r="AG431" s="128" t="s">
        <v>863</v>
      </c>
      <c r="AH431" s="218">
        <f t="shared" si="56"/>
        <v>881785</v>
      </c>
      <c r="AK431" s="179">
        <f t="shared" si="64"/>
        <v>0</v>
      </c>
      <c r="AL431" s="287" t="s">
        <v>5553</v>
      </c>
      <c r="AM431" s="311"/>
      <c r="AO431" s="128">
        <f t="shared" si="57"/>
        <v>881785</v>
      </c>
      <c r="AP431" s="169">
        <f>0.5%+0.12%</f>
        <v>0.0062</v>
      </c>
      <c r="AQ431" s="275">
        <f t="shared" si="58"/>
        <v>300</v>
      </c>
      <c r="AR431" s="218"/>
      <c r="AS431" s="218"/>
      <c r="AT431" s="218"/>
      <c r="AU431" s="218"/>
      <c r="AV431" s="218"/>
      <c r="AW431" s="218">
        <f>100+200</f>
        <v>300</v>
      </c>
      <c r="AX431" s="218"/>
      <c r="AY431" s="218"/>
      <c r="AZ431" s="218"/>
      <c r="BB431" s="218"/>
      <c r="BD431" s="128">
        <v>621785</v>
      </c>
      <c r="BI431" s="128">
        <v>260000</v>
      </c>
      <c r="CI431" s="128" t="s">
        <v>376</v>
      </c>
      <c r="CJ431" s="128" t="s">
        <v>387</v>
      </c>
      <c r="CK431" s="128" t="s">
        <v>377</v>
      </c>
    </row>
    <row r="432" s="128" customFormat="1" ht="56" customHeight="1" spans="1:89">
      <c r="A432" s="272">
        <v>353</v>
      </c>
      <c r="C432" s="171">
        <v>45166</v>
      </c>
      <c r="D432" s="128">
        <v>20230007351</v>
      </c>
      <c r="F432" s="287" t="s">
        <v>5554</v>
      </c>
      <c r="G432" s="177" t="s">
        <v>5555</v>
      </c>
      <c r="I432" s="276" t="s">
        <v>5556</v>
      </c>
      <c r="J432" s="128">
        <v>138.03</v>
      </c>
      <c r="K432" s="128">
        <v>138.03</v>
      </c>
      <c r="L432" s="128">
        <v>5952.18</v>
      </c>
      <c r="M432" s="307">
        <v>821580</v>
      </c>
      <c r="N432" s="218">
        <f>6052.18-100</f>
        <v>5952.18</v>
      </c>
      <c r="O432" s="168">
        <v>753743.12</v>
      </c>
      <c r="P432" s="287" t="s">
        <v>5557</v>
      </c>
      <c r="Q432" s="211">
        <v>45910</v>
      </c>
      <c r="R432" s="218"/>
      <c r="S432" s="219"/>
      <c r="T432" s="1018" t="s">
        <v>5558</v>
      </c>
      <c r="U432" s="278" t="s">
        <v>5559</v>
      </c>
      <c r="V432" s="218">
        <f>10000-10000</f>
        <v>0</v>
      </c>
      <c r="W432" s="219" t="s">
        <v>2087</v>
      </c>
      <c r="X432" s="218">
        <v>20000</v>
      </c>
      <c r="Y432" s="219" t="s">
        <v>2633</v>
      </c>
      <c r="Z432" s="128">
        <v>271580</v>
      </c>
      <c r="AA432" s="128" t="s">
        <v>562</v>
      </c>
      <c r="AB432" s="218">
        <v>530000</v>
      </c>
      <c r="AC432" s="219" t="s">
        <v>4605</v>
      </c>
      <c r="AH432" s="218">
        <f t="shared" si="56"/>
        <v>821580</v>
      </c>
      <c r="AK432" s="179">
        <f t="shared" si="64"/>
        <v>0</v>
      </c>
      <c r="AL432" s="287"/>
      <c r="AM432" s="311"/>
      <c r="AO432" s="128">
        <f t="shared" si="57"/>
        <v>821580</v>
      </c>
      <c r="AP432" s="169">
        <f>0.4%+0.02%+0.12%</f>
        <v>0.0054</v>
      </c>
      <c r="AQ432" s="275">
        <f t="shared" si="58"/>
        <v>100</v>
      </c>
      <c r="AR432" s="275">
        <v>100</v>
      </c>
      <c r="AS432" s="218"/>
      <c r="AT432" s="218"/>
      <c r="AU432" s="218"/>
      <c r="AV432" s="218"/>
      <c r="AW432" s="218"/>
      <c r="AX432" s="218"/>
      <c r="AY432" s="218"/>
      <c r="AZ432" s="218">
        <v>291580</v>
      </c>
      <c r="BB432" s="218"/>
      <c r="BF432" s="128">
        <v>530000</v>
      </c>
      <c r="CI432" s="128" t="s">
        <v>376</v>
      </c>
      <c r="CJ432" s="128" t="s">
        <v>387</v>
      </c>
      <c r="CK432" s="128" t="s">
        <v>377</v>
      </c>
    </row>
    <row r="433" s="128" customFormat="1" ht="55" customHeight="1" spans="1:93">
      <c r="A433" s="272">
        <v>354</v>
      </c>
      <c r="C433" s="171">
        <v>45373</v>
      </c>
      <c r="D433" s="128">
        <v>20240001563</v>
      </c>
      <c r="F433" s="287" t="s">
        <v>5560</v>
      </c>
      <c r="G433" s="177" t="s">
        <v>5561</v>
      </c>
      <c r="H433" s="1016" t="s">
        <v>5562</v>
      </c>
      <c r="I433" s="276" t="s">
        <v>5563</v>
      </c>
      <c r="J433" s="128">
        <v>147.25</v>
      </c>
      <c r="K433" s="128">
        <v>147.25</v>
      </c>
      <c r="L433" s="128">
        <f>M433/K433</f>
        <v>6037.35144312394</v>
      </c>
      <c r="M433" s="307">
        <v>889000</v>
      </c>
      <c r="N433" s="218">
        <v>6037.26</v>
      </c>
      <c r="O433" s="168">
        <v>815596.33</v>
      </c>
      <c r="P433" s="287" t="s">
        <v>5564</v>
      </c>
      <c r="Q433" s="211">
        <v>45910</v>
      </c>
      <c r="R433" s="218"/>
      <c r="S433" s="219"/>
      <c r="T433" s="284" t="s">
        <v>5565</v>
      </c>
      <c r="U433" s="278" t="s">
        <v>5566</v>
      </c>
      <c r="V433" s="218">
        <f>10000-10000</f>
        <v>0</v>
      </c>
      <c r="W433" s="219" t="s">
        <v>2087</v>
      </c>
      <c r="X433" s="218">
        <f>16000-16000</f>
        <v>0</v>
      </c>
      <c r="Y433" s="219" t="s">
        <v>1900</v>
      </c>
      <c r="Z433" s="218">
        <v>20000</v>
      </c>
      <c r="AA433" s="219" t="s">
        <v>2924</v>
      </c>
      <c r="AB433" s="218">
        <v>179000</v>
      </c>
      <c r="AC433" s="128" t="s">
        <v>4206</v>
      </c>
      <c r="AD433" s="218">
        <v>690000</v>
      </c>
      <c r="AE433" s="219" t="s">
        <v>4042</v>
      </c>
      <c r="AH433" s="218">
        <f t="shared" si="56"/>
        <v>889000</v>
      </c>
      <c r="AK433" s="179">
        <f t="shared" si="64"/>
        <v>0</v>
      </c>
      <c r="AL433" s="287" t="s">
        <v>5567</v>
      </c>
      <c r="AM433" s="311"/>
      <c r="AO433" s="128">
        <f t="shared" si="57"/>
        <v>889000</v>
      </c>
      <c r="AP433" s="173">
        <f>0.7%+0.04%+0.12%</f>
        <v>0.0086</v>
      </c>
      <c r="AQ433" s="275">
        <f t="shared" si="58"/>
        <v>300</v>
      </c>
      <c r="AR433" s="275">
        <v>100</v>
      </c>
      <c r="AS433" s="218"/>
      <c r="AT433" s="218"/>
      <c r="AU433" s="218"/>
      <c r="AV433" s="218"/>
      <c r="AW433" s="218">
        <v>200</v>
      </c>
      <c r="AX433" s="218"/>
      <c r="AY433" s="218"/>
      <c r="AZ433" s="218"/>
      <c r="BB433" s="218"/>
      <c r="BG433" s="128">
        <v>199000</v>
      </c>
      <c r="BJ433" s="128">
        <v>690000</v>
      </c>
      <c r="CI433" s="128" t="s">
        <v>376</v>
      </c>
      <c r="CJ433" s="128" t="s">
        <v>387</v>
      </c>
      <c r="CK433" s="128" t="s">
        <v>377</v>
      </c>
      <c r="CN433" s="128">
        <f>CL433-CM433</f>
        <v>0</v>
      </c>
    </row>
    <row r="434" s="128" customFormat="1" ht="59" customHeight="1" spans="1:93">
      <c r="A434" s="272">
        <v>355</v>
      </c>
      <c r="C434" s="171">
        <v>45374</v>
      </c>
      <c r="D434" s="177" t="s">
        <v>5568</v>
      </c>
      <c r="F434" s="287" t="s">
        <v>5569</v>
      </c>
      <c r="G434" s="177" t="s">
        <v>5570</v>
      </c>
      <c r="H434" s="1016" t="s">
        <v>5571</v>
      </c>
      <c r="I434" s="276" t="s">
        <v>5572</v>
      </c>
      <c r="J434" s="128">
        <v>138.03</v>
      </c>
      <c r="K434" s="128">
        <v>138.03</v>
      </c>
      <c r="L434" s="128">
        <v>6079.35</v>
      </c>
      <c r="M434" s="307">
        <v>839133</v>
      </c>
      <c r="N434" s="218">
        <v>6079.35</v>
      </c>
      <c r="O434" s="168">
        <v>769846.79</v>
      </c>
      <c r="P434" s="287" t="s">
        <v>5573</v>
      </c>
      <c r="Q434" s="211">
        <v>45908</v>
      </c>
      <c r="R434" s="218"/>
      <c r="S434" s="219"/>
      <c r="T434" s="1018" t="s">
        <v>5574</v>
      </c>
      <c r="U434" s="278" t="s">
        <v>5575</v>
      </c>
      <c r="V434" s="218">
        <f>10000-10000</f>
        <v>0</v>
      </c>
      <c r="W434" s="219" t="s">
        <v>3042</v>
      </c>
      <c r="X434" s="218">
        <v>10000</v>
      </c>
      <c r="Y434" s="318" t="s">
        <v>5576</v>
      </c>
      <c r="Z434" s="218">
        <v>33133</v>
      </c>
      <c r="AA434" s="219" t="s">
        <v>2625</v>
      </c>
      <c r="AB434" s="218">
        <v>146000</v>
      </c>
      <c r="AC434" s="219" t="s">
        <v>4412</v>
      </c>
      <c r="AD434" s="218">
        <v>650000</v>
      </c>
      <c r="AE434" s="219" t="s">
        <v>672</v>
      </c>
      <c r="AH434" s="218">
        <f t="shared" si="56"/>
        <v>839133</v>
      </c>
      <c r="AK434" s="179">
        <f t="shared" si="64"/>
        <v>0</v>
      </c>
      <c r="AL434" s="287" t="s">
        <v>5577</v>
      </c>
      <c r="AM434" s="311"/>
      <c r="AO434" s="128">
        <f t="shared" si="57"/>
        <v>839133</v>
      </c>
      <c r="AP434" s="169">
        <f>0.7%+0.05%+0.12%</f>
        <v>0.0087</v>
      </c>
      <c r="AQ434" s="275">
        <f t="shared" si="58"/>
        <v>300</v>
      </c>
      <c r="AR434" s="275">
        <v>100</v>
      </c>
      <c r="AS434" s="218"/>
      <c r="AT434" s="218"/>
      <c r="AU434" s="218"/>
      <c r="AV434" s="218"/>
      <c r="AW434" s="218">
        <v>200</v>
      </c>
      <c r="AX434" s="218"/>
      <c r="AY434" s="218"/>
      <c r="AZ434" s="218"/>
      <c r="BB434" s="218"/>
      <c r="BH434" s="128">
        <v>189133</v>
      </c>
      <c r="BI434" s="128">
        <v>650000</v>
      </c>
      <c r="CI434" s="128" t="s">
        <v>376</v>
      </c>
      <c r="CJ434" s="128" t="s">
        <v>387</v>
      </c>
      <c r="CK434" s="128" t="s">
        <v>377</v>
      </c>
    </row>
    <row r="435" s="128" customFormat="1" customHeight="1" spans="1:93">
      <c r="A435" s="272">
        <v>356</v>
      </c>
      <c r="C435" s="171">
        <v>45373</v>
      </c>
      <c r="D435" s="128">
        <v>20240001566</v>
      </c>
      <c r="F435" s="287" t="s">
        <v>5578</v>
      </c>
      <c r="G435" s="128" t="s">
        <v>5579</v>
      </c>
      <c r="I435" s="276" t="s">
        <v>5580</v>
      </c>
      <c r="J435" s="128">
        <v>147.25</v>
      </c>
      <c r="K435" s="128">
        <v>147.25</v>
      </c>
      <c r="L435" s="128">
        <v>6064.43</v>
      </c>
      <c r="M435" s="307">
        <v>892988</v>
      </c>
      <c r="N435" s="218">
        <v>6064.43</v>
      </c>
      <c r="O435" s="168">
        <v>819255.05</v>
      </c>
      <c r="P435" s="287" t="s">
        <v>5581</v>
      </c>
      <c r="Q435" s="211">
        <v>45910</v>
      </c>
      <c r="R435" s="218"/>
      <c r="S435" s="219"/>
      <c r="T435" s="272"/>
      <c r="U435" s="219" t="s">
        <v>400</v>
      </c>
      <c r="V435" s="218">
        <v>194988</v>
      </c>
      <c r="W435" s="219" t="s">
        <v>4206</v>
      </c>
      <c r="X435" s="218">
        <v>698000</v>
      </c>
      <c r="Y435" s="219" t="s">
        <v>822</v>
      </c>
      <c r="AB435" s="218"/>
      <c r="AH435" s="218">
        <f t="shared" si="56"/>
        <v>892988</v>
      </c>
      <c r="AK435" s="179">
        <f t="shared" si="64"/>
        <v>0</v>
      </c>
      <c r="AL435" s="287"/>
      <c r="AM435" s="311"/>
      <c r="AO435" s="128">
        <f t="shared" si="57"/>
        <v>892988</v>
      </c>
      <c r="AP435" s="173">
        <f>0.7%+0.04%+0.12%</f>
        <v>0.0086</v>
      </c>
      <c r="AQ435" s="275">
        <f t="shared" si="58"/>
        <v>300</v>
      </c>
      <c r="AR435" s="275">
        <v>100</v>
      </c>
      <c r="AS435" s="218"/>
      <c r="AT435" s="218"/>
      <c r="AU435" s="218"/>
      <c r="AV435" s="218">
        <v>200</v>
      </c>
      <c r="AW435" s="218"/>
      <c r="AX435" s="218"/>
      <c r="AY435" s="218"/>
      <c r="AZ435" s="218"/>
      <c r="BB435" s="218"/>
      <c r="BG435" s="128">
        <v>194988</v>
      </c>
      <c r="BJ435" s="128">
        <v>698000</v>
      </c>
      <c r="CI435" s="128" t="s">
        <v>376</v>
      </c>
      <c r="CJ435" s="128" t="s">
        <v>387</v>
      </c>
      <c r="CK435" s="128" t="s">
        <v>377</v>
      </c>
      <c r="CN435" s="128">
        <f>CL435-CM435</f>
        <v>0</v>
      </c>
    </row>
    <row r="436" s="128" customFormat="1" ht="45" customHeight="1" spans="1:93">
      <c r="A436" s="272">
        <v>357</v>
      </c>
      <c r="C436" s="171">
        <v>45169</v>
      </c>
      <c r="D436" s="128">
        <v>20230007467</v>
      </c>
      <c r="F436" s="287" t="s">
        <v>5582</v>
      </c>
      <c r="G436" s="128" t="s">
        <v>5583</v>
      </c>
      <c r="H436" s="1016" t="s">
        <v>5584</v>
      </c>
      <c r="I436" s="276" t="s">
        <v>5585</v>
      </c>
      <c r="J436" s="128">
        <v>138.03</v>
      </c>
      <c r="K436" s="128">
        <v>138.03</v>
      </c>
      <c r="L436" s="128">
        <v>6108.27</v>
      </c>
      <c r="M436" s="307">
        <v>843124</v>
      </c>
      <c r="N436" s="218">
        <v>6108.27</v>
      </c>
      <c r="O436" s="168">
        <v>773508.26</v>
      </c>
      <c r="P436" s="287" t="s">
        <v>5586</v>
      </c>
      <c r="Q436" s="211">
        <v>45910</v>
      </c>
      <c r="R436" s="218"/>
      <c r="S436" s="219"/>
      <c r="T436" s="272"/>
      <c r="U436" s="219" t="s">
        <v>486</v>
      </c>
      <c r="V436" s="218">
        <v>10000</v>
      </c>
      <c r="W436" s="219" t="s">
        <v>2625</v>
      </c>
      <c r="X436" s="218">
        <v>10000</v>
      </c>
      <c r="Y436" s="219" t="s">
        <v>2887</v>
      </c>
      <c r="Z436" s="218">
        <v>283124</v>
      </c>
      <c r="AA436" s="219" t="s">
        <v>5431</v>
      </c>
      <c r="AB436" s="218">
        <v>4000</v>
      </c>
      <c r="AC436" s="219" t="s">
        <v>1499</v>
      </c>
      <c r="AD436" s="128">
        <v>236000</v>
      </c>
      <c r="AE436" s="128" t="s">
        <v>1499</v>
      </c>
      <c r="AF436" s="128">
        <v>300000</v>
      </c>
      <c r="AG436" s="128" t="s">
        <v>1618</v>
      </c>
      <c r="AH436" s="218">
        <f t="shared" si="56"/>
        <v>843124</v>
      </c>
      <c r="AK436" s="179">
        <f t="shared" si="64"/>
        <v>0</v>
      </c>
      <c r="AL436" s="287" t="s">
        <v>5587</v>
      </c>
      <c r="AM436" s="311"/>
      <c r="AO436" s="128">
        <f t="shared" si="57"/>
        <v>843124</v>
      </c>
      <c r="AP436" s="169">
        <f>0.6%+0.04%+0.12%</f>
        <v>0.0076</v>
      </c>
      <c r="AQ436" s="275">
        <f t="shared" si="58"/>
        <v>300</v>
      </c>
      <c r="AR436" s="218"/>
      <c r="AS436" s="218"/>
      <c r="AT436" s="218">
        <v>100</v>
      </c>
      <c r="AU436" s="218"/>
      <c r="AV436" s="218"/>
      <c r="AW436" s="218">
        <v>200</v>
      </c>
      <c r="AX436" s="218"/>
      <c r="AY436" s="218"/>
      <c r="AZ436" s="218"/>
      <c r="BB436" s="218"/>
      <c r="BC436" s="128">
        <v>843124</v>
      </c>
      <c r="CI436" s="128" t="s">
        <v>376</v>
      </c>
      <c r="CJ436" s="128" t="s">
        <v>387</v>
      </c>
      <c r="CK436" s="128" t="s">
        <v>377</v>
      </c>
    </row>
    <row r="437" s="128" customFormat="1" ht="46" customHeight="1" spans="1:93">
      <c r="A437" s="272">
        <v>358</v>
      </c>
      <c r="C437" s="171">
        <v>45383</v>
      </c>
      <c r="D437" s="128">
        <v>20240001789</v>
      </c>
      <c r="F437" s="287" t="s">
        <v>5588</v>
      </c>
      <c r="G437" s="177" t="s">
        <v>5589</v>
      </c>
      <c r="H437" s="1016" t="s">
        <v>5590</v>
      </c>
      <c r="I437" s="276" t="s">
        <v>5591</v>
      </c>
      <c r="J437" s="128">
        <v>147.25</v>
      </c>
      <c r="K437" s="128">
        <v>147.25</v>
      </c>
      <c r="L437" s="128">
        <v>6100</v>
      </c>
      <c r="M437" s="307">
        <v>898225</v>
      </c>
      <c r="N437" s="218">
        <v>6093.34</v>
      </c>
      <c r="O437" s="168">
        <v>824059.63</v>
      </c>
      <c r="P437" s="287" t="s">
        <v>5592</v>
      </c>
      <c r="Q437" s="211">
        <v>45910</v>
      </c>
      <c r="R437" s="218"/>
      <c r="S437" s="219"/>
      <c r="T437" s="1018" t="s">
        <v>5593</v>
      </c>
      <c r="U437" s="278" t="s">
        <v>5594</v>
      </c>
      <c r="V437" s="218">
        <f>10000-10000</f>
        <v>0</v>
      </c>
      <c r="W437" s="171" t="s">
        <v>2087</v>
      </c>
      <c r="X437" s="218">
        <f>10000-10000</f>
        <v>0</v>
      </c>
      <c r="Y437" s="219" t="s">
        <v>447</v>
      </c>
      <c r="Z437" s="218">
        <f>10000-10000</f>
        <v>0</v>
      </c>
      <c r="AA437" s="219" t="s">
        <v>2625</v>
      </c>
      <c r="AB437" s="218">
        <v>10000</v>
      </c>
      <c r="AC437" s="219" t="s">
        <v>4112</v>
      </c>
      <c r="AD437" s="218">
        <f>150000+225+60000</f>
        <v>210225</v>
      </c>
      <c r="AE437" s="219" t="s">
        <v>670</v>
      </c>
      <c r="AF437" s="218">
        <v>678000</v>
      </c>
      <c r="AG437" s="219" t="s">
        <v>3793</v>
      </c>
      <c r="AH437" s="218">
        <f t="shared" si="56"/>
        <v>898225</v>
      </c>
      <c r="AK437" s="179">
        <f t="shared" si="64"/>
        <v>0</v>
      </c>
      <c r="AL437" s="287" t="s">
        <v>5595</v>
      </c>
      <c r="AM437" s="311"/>
      <c r="AO437" s="128">
        <f t="shared" si="57"/>
        <v>898225</v>
      </c>
      <c r="AP437" s="173">
        <f>0.5%+0.04%+0.12%</f>
        <v>0.0066</v>
      </c>
      <c r="AQ437" s="275">
        <f t="shared" si="58"/>
        <v>300</v>
      </c>
      <c r="AR437" s="275">
        <v>100</v>
      </c>
      <c r="AS437" s="218"/>
      <c r="AT437" s="218"/>
      <c r="AU437" s="218"/>
      <c r="AV437" s="218"/>
      <c r="AW437" s="218">
        <v>200</v>
      </c>
      <c r="AX437" s="218"/>
      <c r="AY437" s="218"/>
      <c r="AZ437" s="218"/>
      <c r="BB437" s="218"/>
      <c r="BH437" s="128">
        <v>220225</v>
      </c>
      <c r="BJ437" s="128">
        <v>678000</v>
      </c>
      <c r="CI437" s="128" t="s">
        <v>376</v>
      </c>
      <c r="CJ437" s="128" t="s">
        <v>387</v>
      </c>
      <c r="CK437" s="128" t="s">
        <v>377</v>
      </c>
      <c r="CN437" s="128">
        <f>CL437-CM437</f>
        <v>0</v>
      </c>
    </row>
    <row r="438" s="128" customFormat="1" ht="50" customHeight="1" spans="1:93">
      <c r="A438" s="272">
        <v>359</v>
      </c>
      <c r="C438" s="171">
        <v>45164</v>
      </c>
      <c r="D438" s="128">
        <v>20230007286</v>
      </c>
      <c r="F438" s="287" t="s">
        <v>5596</v>
      </c>
      <c r="G438" s="177" t="s">
        <v>5597</v>
      </c>
      <c r="H438" s="1016" t="s">
        <v>4090</v>
      </c>
      <c r="I438" s="276" t="s">
        <v>5598</v>
      </c>
      <c r="J438" s="128">
        <v>138.03</v>
      </c>
      <c r="K438" s="128">
        <v>138.03</v>
      </c>
      <c r="L438" s="128">
        <v>6130.01</v>
      </c>
      <c r="M438" s="307">
        <v>846126</v>
      </c>
      <c r="N438" s="218">
        <v>6130.01</v>
      </c>
      <c r="O438" s="168">
        <v>776262.39</v>
      </c>
      <c r="P438" s="287" t="s">
        <v>5599</v>
      </c>
      <c r="Q438" s="211">
        <v>45910</v>
      </c>
      <c r="R438" s="218"/>
      <c r="S438" s="219"/>
      <c r="T438" s="284" t="s">
        <v>5600</v>
      </c>
      <c r="U438" s="278" t="s">
        <v>5601</v>
      </c>
      <c r="V438" s="218">
        <f>10000-10000</f>
        <v>0</v>
      </c>
      <c r="W438" s="219" t="s">
        <v>457</v>
      </c>
      <c r="X438" s="218">
        <v>20000</v>
      </c>
      <c r="Y438" s="219" t="s">
        <v>1900</v>
      </c>
      <c r="Z438" s="128">
        <f>152126+4000</f>
        <v>156126</v>
      </c>
      <c r="AA438" s="128" t="s">
        <v>2573</v>
      </c>
      <c r="AB438" s="218">
        <v>670000</v>
      </c>
      <c r="AC438" s="219" t="s">
        <v>945</v>
      </c>
      <c r="AH438" s="218">
        <f t="shared" si="56"/>
        <v>846126</v>
      </c>
      <c r="AK438" s="179">
        <f t="shared" si="64"/>
        <v>0</v>
      </c>
      <c r="AL438" s="287" t="s">
        <v>5602</v>
      </c>
      <c r="AM438" s="311"/>
      <c r="AO438" s="128">
        <f t="shared" si="57"/>
        <v>846126</v>
      </c>
      <c r="AP438" s="169">
        <f>0.6%+0.04%+0.12%</f>
        <v>0.0076</v>
      </c>
      <c r="AQ438" s="275">
        <f t="shared" si="58"/>
        <v>100</v>
      </c>
      <c r="AR438" s="218"/>
      <c r="AS438" s="218"/>
      <c r="AT438" s="218"/>
      <c r="AU438" s="218">
        <v>100</v>
      </c>
      <c r="AV438" s="218"/>
      <c r="AW438" s="218"/>
      <c r="AX438" s="218"/>
      <c r="AY438" s="218"/>
      <c r="AZ438" s="218">
        <v>176126</v>
      </c>
      <c r="BB438" s="218"/>
      <c r="BC438" s="128">
        <v>670000</v>
      </c>
      <c r="CI438" s="128" t="s">
        <v>376</v>
      </c>
      <c r="CJ438" s="128" t="s">
        <v>387</v>
      </c>
      <c r="CK438" s="128" t="s">
        <v>377</v>
      </c>
    </row>
    <row r="439" s="128" customFormat="1" ht="43" customHeight="1" spans="1:93">
      <c r="A439" s="272">
        <v>360</v>
      </c>
      <c r="C439" s="171">
        <v>45449</v>
      </c>
      <c r="D439" s="128">
        <v>20240003336</v>
      </c>
      <c r="F439" s="287" t="s">
        <v>5603</v>
      </c>
      <c r="G439" s="177" t="s">
        <v>5604</v>
      </c>
      <c r="H439" s="1016" t="s">
        <v>5605</v>
      </c>
      <c r="I439" s="276" t="s">
        <v>5606</v>
      </c>
      <c r="J439" s="128">
        <v>147.25</v>
      </c>
      <c r="K439" s="128">
        <v>147.25</v>
      </c>
      <c r="L439" s="128">
        <f>M439/K439</f>
        <v>6132.42784380306</v>
      </c>
      <c r="M439" s="307">
        <v>903000</v>
      </c>
      <c r="N439" s="218">
        <v>6115.08</v>
      </c>
      <c r="O439" s="168">
        <v>828440.37</v>
      </c>
      <c r="P439" s="287" t="s">
        <v>5607</v>
      </c>
      <c r="Q439" s="211">
        <v>45910</v>
      </c>
      <c r="R439" s="218"/>
      <c r="S439" s="219"/>
      <c r="T439" s="284" t="s">
        <v>5608</v>
      </c>
      <c r="U439" s="278" t="s">
        <v>3948</v>
      </c>
      <c r="V439" s="218">
        <f>10000-10000</f>
        <v>0</v>
      </c>
      <c r="W439" s="219" t="s">
        <v>2087</v>
      </c>
      <c r="X439" s="218">
        <v>3000</v>
      </c>
      <c r="Y439" s="219" t="s">
        <v>3825</v>
      </c>
      <c r="Z439" s="218">
        <v>450000</v>
      </c>
      <c r="AA439" s="219" t="s">
        <v>3794</v>
      </c>
      <c r="AB439" s="218">
        <v>450000</v>
      </c>
      <c r="AC439" s="219" t="s">
        <v>3116</v>
      </c>
      <c r="AH439" s="218">
        <f t="shared" si="56"/>
        <v>903000</v>
      </c>
      <c r="AK439" s="179">
        <f t="shared" si="64"/>
        <v>0</v>
      </c>
      <c r="AL439" s="287" t="s">
        <v>5609</v>
      </c>
      <c r="AM439" s="311"/>
      <c r="AO439" s="128">
        <f t="shared" si="57"/>
        <v>903000</v>
      </c>
      <c r="AP439" s="169">
        <f>0.4%+0.02%+0.08%</f>
        <v>0.005</v>
      </c>
      <c r="AQ439" s="275">
        <f t="shared" si="58"/>
        <v>100</v>
      </c>
      <c r="AR439" s="275">
        <v>100</v>
      </c>
      <c r="AS439" s="218"/>
      <c r="AT439" s="218"/>
      <c r="AU439" s="218"/>
      <c r="AV439" s="218"/>
      <c r="AW439" s="218"/>
      <c r="AX439" s="218"/>
      <c r="AY439" s="218"/>
      <c r="AZ439" s="218"/>
      <c r="BB439" s="218"/>
      <c r="BJ439" s="128">
        <v>453000</v>
      </c>
      <c r="BK439" s="128">
        <v>450000</v>
      </c>
      <c r="CI439" s="128" t="s">
        <v>376</v>
      </c>
      <c r="CJ439" s="128" t="s">
        <v>387</v>
      </c>
      <c r="CK439" s="128" t="s">
        <v>377</v>
      </c>
    </row>
    <row r="440" s="128" customFormat="1" ht="14.25" spans="1:93">
      <c r="A440" s="272">
        <v>361</v>
      </c>
      <c r="B440" s="128"/>
      <c r="C440" s="171">
        <v>45706</v>
      </c>
      <c r="D440" s="128">
        <v>20250000690</v>
      </c>
      <c r="F440" s="287" t="s">
        <v>5610</v>
      </c>
      <c r="G440" s="128" t="s">
        <v>5611</v>
      </c>
      <c r="H440" s="1016" t="s">
        <v>5612</v>
      </c>
      <c r="I440" s="276" t="s">
        <v>5613</v>
      </c>
      <c r="J440" s="128">
        <v>138.03</v>
      </c>
      <c r="K440" s="128">
        <v>138.03</v>
      </c>
      <c r="L440" s="128">
        <v>6882.56</v>
      </c>
      <c r="M440" s="307">
        <v>950000</v>
      </c>
      <c r="N440" s="218">
        <v>7139.59</v>
      </c>
      <c r="O440" s="168">
        <v>871559.63</v>
      </c>
      <c r="P440" s="287" t="s">
        <v>5614</v>
      </c>
      <c r="Q440" s="211">
        <v>45910</v>
      </c>
      <c r="R440" s="218"/>
      <c r="S440" s="219"/>
      <c r="T440" s="272"/>
      <c r="U440" s="219" t="s">
        <v>410</v>
      </c>
      <c r="V440" s="218">
        <v>10000</v>
      </c>
      <c r="W440" s="219" t="s">
        <v>508</v>
      </c>
      <c r="X440" s="218">
        <v>10000</v>
      </c>
      <c r="Y440" s="219" t="s">
        <v>1045</v>
      </c>
      <c r="Z440" s="128">
        <f>356000+15000+9000</f>
        <v>380000</v>
      </c>
      <c r="AA440" s="128" t="s">
        <v>3444</v>
      </c>
      <c r="AB440" s="218">
        <v>550000</v>
      </c>
      <c r="AC440" s="219" t="s">
        <v>2793</v>
      </c>
      <c r="AH440" s="218">
        <f t="shared" si="56"/>
        <v>950000</v>
      </c>
      <c r="AK440" s="179">
        <f t="shared" si="64"/>
        <v>0</v>
      </c>
      <c r="AL440" s="287" t="s">
        <v>5615</v>
      </c>
      <c r="AM440" s="311" t="s">
        <v>3585</v>
      </c>
      <c r="AO440" s="128">
        <f t="shared" si="57"/>
        <v>950000</v>
      </c>
      <c r="AP440" s="173">
        <f>0.6%+0.08%+0.03%</f>
        <v>0.0071</v>
      </c>
      <c r="AQ440" s="275">
        <f t="shared" si="58"/>
        <v>100</v>
      </c>
      <c r="AR440" s="218"/>
      <c r="AS440" s="218"/>
      <c r="AT440" s="218"/>
      <c r="AU440" s="218">
        <v>100</v>
      </c>
      <c r="AV440" s="218"/>
      <c r="AW440" s="218"/>
      <c r="AX440" s="218"/>
      <c r="AY440" s="218"/>
      <c r="AZ440" s="218"/>
      <c r="BB440" s="218"/>
      <c r="BR440" s="128">
        <v>400000</v>
      </c>
      <c r="BS440" s="128">
        <v>550000</v>
      </c>
      <c r="CI440" s="128" t="s">
        <v>376</v>
      </c>
      <c r="CK440" s="128" t="s">
        <v>377</v>
      </c>
    </row>
    <row r="441" s="128" customFormat="1" ht="14.25" spans="1:93">
      <c r="A441" s="272">
        <v>362</v>
      </c>
      <c r="C441" s="171">
        <v>45570</v>
      </c>
      <c r="D441" s="128">
        <v>20240005902</v>
      </c>
      <c r="F441" s="287" t="s">
        <v>5616</v>
      </c>
      <c r="G441" s="128" t="s">
        <v>5617</v>
      </c>
      <c r="H441" s="1016" t="s">
        <v>5618</v>
      </c>
      <c r="I441" s="276" t="s">
        <v>5619</v>
      </c>
      <c r="J441" s="128">
        <v>147.25</v>
      </c>
      <c r="K441" s="128">
        <v>147.25</v>
      </c>
      <c r="L441" s="128">
        <v>7164</v>
      </c>
      <c r="M441" s="307">
        <f>K441*L441</f>
        <v>1054899</v>
      </c>
      <c r="N441" s="218">
        <v>7155.59</v>
      </c>
      <c r="O441" s="168">
        <v>967797.25</v>
      </c>
      <c r="P441" s="287" t="s">
        <v>5620</v>
      </c>
      <c r="Q441" s="211">
        <v>45910</v>
      </c>
      <c r="R441" s="218"/>
      <c r="S441" s="219"/>
      <c r="T441" s="272"/>
      <c r="U441" s="219" t="s">
        <v>2278</v>
      </c>
      <c r="V441" s="218">
        <v>20000</v>
      </c>
      <c r="W441" s="219" t="s">
        <v>1999</v>
      </c>
      <c r="X441" s="218">
        <v>100000</v>
      </c>
      <c r="Y441" s="219" t="s">
        <v>413</v>
      </c>
      <c r="Z441" s="218">
        <v>91899</v>
      </c>
      <c r="AA441" s="219" t="s">
        <v>516</v>
      </c>
      <c r="AB441" s="218">
        <v>843000</v>
      </c>
      <c r="AC441" s="219" t="s">
        <v>3205</v>
      </c>
      <c r="AH441" s="218">
        <f t="shared" si="56"/>
        <v>1054899</v>
      </c>
      <c r="AK441" s="179">
        <f t="shared" si="64"/>
        <v>0</v>
      </c>
      <c r="AL441" s="287" t="s">
        <v>5621</v>
      </c>
      <c r="AM441" s="311"/>
      <c r="AO441" s="128">
        <f t="shared" si="57"/>
        <v>1054899</v>
      </c>
      <c r="AP441" s="169">
        <f>0.6%+0.03%+0.14%</f>
        <v>0.0077</v>
      </c>
      <c r="AQ441" s="275">
        <f t="shared" si="58"/>
        <v>0</v>
      </c>
      <c r="AR441" s="218"/>
      <c r="AS441" s="218"/>
      <c r="AT441" s="218"/>
      <c r="AU441" s="218"/>
      <c r="AV441" s="218"/>
      <c r="AW441" s="218"/>
      <c r="AX441" s="218"/>
      <c r="AY441" s="218"/>
      <c r="AZ441" s="218"/>
      <c r="BB441" s="218"/>
      <c r="BN441" s="128">
        <v>211899</v>
      </c>
      <c r="BS441" s="128">
        <v>843000</v>
      </c>
      <c r="CI441" s="128" t="s">
        <v>376</v>
      </c>
      <c r="CK441" s="128" t="s">
        <v>377</v>
      </c>
    </row>
    <row r="442" s="187" customFormat="1" ht="14.25" spans="1:93">
      <c r="A442" s="338" t="s">
        <v>70</v>
      </c>
      <c r="B442" s="187">
        <f>SUM(B4:B441)</f>
        <v>0</v>
      </c>
      <c r="I442" s="339"/>
      <c r="J442" s="340">
        <f t="shared" ref="J442:O442" si="65">SUM(J4:J441)</f>
        <v>48346.4099999999</v>
      </c>
      <c r="K442" s="340">
        <f t="shared" si="65"/>
        <v>41277.07</v>
      </c>
      <c r="L442" s="340"/>
      <c r="M442" s="341">
        <f>SUM(M4:M441)</f>
        <v>239411329</v>
      </c>
      <c r="N442" s="342"/>
      <c r="O442" s="156">
        <f t="shared" si="65"/>
        <v>216408910.68</v>
      </c>
      <c r="P442" s="340"/>
      <c r="Q442" s="343"/>
      <c r="R442" s="156">
        <f>SUM(R4:R441)</f>
        <v>0</v>
      </c>
      <c r="S442" s="344"/>
      <c r="T442" s="338"/>
      <c r="U442" s="344"/>
      <c r="V442" s="156">
        <f>SUM(V4:V441)</f>
        <v>17832522.27</v>
      </c>
      <c r="W442" s="340"/>
      <c r="X442" s="156">
        <f>SUM(X4:X441)</f>
        <v>51579383</v>
      </c>
      <c r="Y442" s="156"/>
      <c r="Z442" s="156">
        <f>SUM(Z4:Z441)</f>
        <v>77549233</v>
      </c>
      <c r="AA442" s="340"/>
      <c r="AB442" s="156">
        <f>SUM(AB4:AB441)</f>
        <v>57610215.73</v>
      </c>
      <c r="AC442" s="156"/>
      <c r="AD442" s="156">
        <f>SUM(AD4:AD441)</f>
        <v>21245069</v>
      </c>
      <c r="AE442" s="156"/>
      <c r="AF442" s="156">
        <f>SUM(AF4:AF441)</f>
        <v>12733046</v>
      </c>
      <c r="AG442" s="156"/>
      <c r="AH442" s="156">
        <f>SUM(AH4:AH441)</f>
        <v>238549469</v>
      </c>
      <c r="AI442" s="340">
        <f>SUM(AI4:AI441)</f>
        <v>0</v>
      </c>
      <c r="AJ442" s="340">
        <f>SUM(AJ4:AJ441)</f>
        <v>0</v>
      </c>
      <c r="AK442" s="156">
        <f>SUM(AK4:AK441)</f>
        <v>861860</v>
      </c>
      <c r="AL442" s="340"/>
      <c r="AM442" s="345"/>
      <c r="AN442" s="340"/>
      <c r="AO442" s="156">
        <f>SUM(AO4:AO441)</f>
        <v>223807639</v>
      </c>
      <c r="AP442" s="156"/>
      <c r="AQ442" s="156">
        <f t="shared" ref="AP442:BW442" si="66">SUM(AQ4:AQ441)</f>
        <v>18500</v>
      </c>
      <c r="AR442" s="156">
        <f t="shared" si="66"/>
        <v>2100</v>
      </c>
      <c r="AS442" s="156">
        <f t="shared" si="66"/>
        <v>1300</v>
      </c>
      <c r="AT442" s="156">
        <f t="shared" si="66"/>
        <v>2300</v>
      </c>
      <c r="AU442" s="156">
        <f t="shared" si="66"/>
        <v>1000</v>
      </c>
      <c r="AV442" s="156">
        <f t="shared" si="66"/>
        <v>4200</v>
      </c>
      <c r="AW442" s="156">
        <f t="shared" si="66"/>
        <v>5200</v>
      </c>
      <c r="AX442" s="156">
        <f t="shared" si="66"/>
        <v>2200</v>
      </c>
      <c r="AY442" s="156">
        <f t="shared" si="66"/>
        <v>200</v>
      </c>
      <c r="AZ442" s="156">
        <f t="shared" si="66"/>
        <v>3758483</v>
      </c>
      <c r="BA442" s="156">
        <f t="shared" si="66"/>
        <v>773388</v>
      </c>
      <c r="BB442" s="156">
        <f t="shared" si="66"/>
        <v>9516785</v>
      </c>
      <c r="BC442" s="156">
        <f t="shared" si="66"/>
        <v>18339412</v>
      </c>
      <c r="BD442" s="156">
        <f t="shared" si="66"/>
        <v>12008088</v>
      </c>
      <c r="BE442" s="156">
        <f t="shared" si="66"/>
        <v>13246008</v>
      </c>
      <c r="BF442" s="156">
        <f t="shared" si="66"/>
        <v>7592677</v>
      </c>
      <c r="BG442" s="156">
        <f t="shared" si="66"/>
        <v>23180507</v>
      </c>
      <c r="BH442" s="156">
        <f t="shared" si="66"/>
        <v>18611850</v>
      </c>
      <c r="BI442" s="156">
        <f t="shared" si="66"/>
        <v>13112872</v>
      </c>
      <c r="BJ442" s="156">
        <f t="shared" si="66"/>
        <v>10638643</v>
      </c>
      <c r="BK442" s="156">
        <f t="shared" si="66"/>
        <v>6570493</v>
      </c>
      <c r="BL442" s="156">
        <f t="shared" si="66"/>
        <v>7859000</v>
      </c>
      <c r="BM442" s="156">
        <f t="shared" si="66"/>
        <v>6178659</v>
      </c>
      <c r="BN442" s="156">
        <f t="shared" si="66"/>
        <v>6515819</v>
      </c>
      <c r="BO442" s="156">
        <f t="shared" si="66"/>
        <v>12502469</v>
      </c>
      <c r="BP442" s="156">
        <f t="shared" si="66"/>
        <v>5492687</v>
      </c>
      <c r="BQ442" s="156">
        <f t="shared" si="66"/>
        <v>4271049</v>
      </c>
      <c r="BR442" s="156">
        <f t="shared" si="66"/>
        <v>6087100</v>
      </c>
      <c r="BS442" s="156">
        <f t="shared" si="66"/>
        <v>9883571</v>
      </c>
      <c r="BT442" s="156">
        <f t="shared" si="66"/>
        <v>5413511</v>
      </c>
      <c r="BU442" s="156">
        <f t="shared" si="66"/>
        <v>5729381</v>
      </c>
      <c r="BV442" s="156">
        <f t="shared" si="66"/>
        <v>4002837</v>
      </c>
      <c r="BW442" s="156">
        <f t="shared" si="66"/>
        <v>3035430</v>
      </c>
      <c r="BX442" s="156">
        <f t="shared" ref="BX442:CE442" si="67">SUM(BX4:BX441)</f>
        <v>1254918</v>
      </c>
      <c r="BY442" s="156">
        <f t="shared" si="67"/>
        <v>156000</v>
      </c>
      <c r="BZ442" s="156">
        <f t="shared" si="67"/>
        <v>4017764</v>
      </c>
      <c r="CA442" s="156">
        <f t="shared" si="67"/>
        <v>1125238</v>
      </c>
      <c r="CB442" s="156">
        <f t="shared" si="67"/>
        <v>736000</v>
      </c>
      <c r="CC442" s="156">
        <f t="shared" si="67"/>
        <v>890000</v>
      </c>
      <c r="CD442" s="156">
        <f t="shared" si="67"/>
        <v>97000</v>
      </c>
      <c r="CE442" s="156">
        <f t="shared" si="67"/>
        <v>1210000</v>
      </c>
      <c r="CF442" s="156"/>
      <c r="CG442" s="156">
        <f>SUM(CG4:CG441)</f>
        <v>0</v>
      </c>
      <c r="CH442" s="156"/>
      <c r="CI442" s="156"/>
      <c r="CJ442" s="156"/>
      <c r="CK442" s="156">
        <f t="shared" ref="CK442:CO442" si="68">SUM(CK4:CK441)</f>
        <v>0</v>
      </c>
      <c r="CL442" s="342">
        <f t="shared" si="68"/>
        <v>0</v>
      </c>
      <c r="CM442" s="342"/>
      <c r="CN442" s="342"/>
      <c r="CO442" s="342">
        <f t="shared" si="68"/>
        <v>0</v>
      </c>
    </row>
    <row r="443" s="101" customFormat="1" ht="14.25" spans="1:93">
      <c r="A443" s="199"/>
      <c r="M443" s="235">
        <v>225343020</v>
      </c>
      <c r="N443" s="202"/>
      <c r="O443" s="158"/>
      <c r="Q443" s="205" t="s">
        <v>3289</v>
      </c>
      <c r="R443" s="202"/>
      <c r="S443" s="346"/>
      <c r="T443" s="346"/>
      <c r="U443" s="204"/>
      <c r="V443" s="202"/>
      <c r="X443" s="202"/>
      <c r="AB443" s="202"/>
      <c r="AH443" s="202"/>
      <c r="AK443" s="201"/>
      <c r="AM443" s="200"/>
      <c r="AP443" s="347"/>
      <c r="AQ443" s="202"/>
      <c r="AR443" s="202"/>
      <c r="AS443" s="202"/>
      <c r="AT443" s="202"/>
      <c r="AU443" s="202"/>
      <c r="AV443" s="202"/>
      <c r="AW443" s="202"/>
      <c r="AX443" s="202"/>
      <c r="AY443" s="202"/>
      <c r="AZ443" s="202"/>
      <c r="BB443" s="202"/>
      <c r="BR443" s="101">
        <f>BR442+'画堂春锦苑8#楼明细表'!AZ91+'画堂春锦苑住宅4#6#'!AV168</f>
        <v>9137591</v>
      </c>
    </row>
    <row r="444" s="101" customFormat="1" ht="14.25" spans="1:93">
      <c r="A444" s="199"/>
      <c r="M444" s="235"/>
      <c r="N444" s="202"/>
      <c r="O444" s="158"/>
      <c r="Q444" s="205" t="s">
        <v>94</v>
      </c>
      <c r="R444" s="202"/>
      <c r="S444" s="348"/>
      <c r="T444" s="349"/>
      <c r="U444" s="204"/>
      <c r="V444" s="202"/>
      <c r="X444" s="202"/>
      <c r="AB444" s="202"/>
      <c r="AH444" s="202"/>
      <c r="AK444" s="201"/>
      <c r="AM444" s="200"/>
      <c r="AP444" s="347"/>
      <c r="AQ444" s="202"/>
      <c r="AR444" s="202"/>
      <c r="AS444" s="202"/>
      <c r="AT444" s="202"/>
      <c r="AU444" s="202"/>
      <c r="AV444" s="202"/>
      <c r="AW444" s="202"/>
      <c r="AX444" s="202"/>
      <c r="AY444" s="202"/>
      <c r="AZ444" s="202"/>
      <c r="BB444" s="202"/>
    </row>
    <row r="445" s="101" customFormat="1" ht="14.25" spans="1:93">
      <c r="A445" s="199"/>
      <c r="D445" s="350" t="s">
        <v>3291</v>
      </c>
      <c r="E445" s="350" t="s">
        <v>3292</v>
      </c>
      <c r="F445" s="350"/>
      <c r="H445" s="350"/>
      <c r="M445" s="235"/>
      <c r="N445" s="202"/>
      <c r="O445" s="158"/>
      <c r="Q445" s="205" t="s">
        <v>73</v>
      </c>
      <c r="R445" s="297"/>
      <c r="S445" s="289"/>
      <c r="T445" s="199"/>
      <c r="U445" s="204"/>
      <c r="V445" s="202"/>
      <c r="X445" s="202"/>
      <c r="AB445" s="202"/>
      <c r="AH445" s="202"/>
      <c r="AK445" s="201"/>
      <c r="AM445" s="200"/>
      <c r="AP445" s="347"/>
      <c r="AQ445" s="202"/>
      <c r="AR445" s="202"/>
      <c r="AS445" s="202"/>
      <c r="AT445" s="202"/>
      <c r="AU445" s="202"/>
      <c r="AV445" s="202"/>
      <c r="AW445" s="202"/>
      <c r="AX445" s="202"/>
      <c r="AY445" s="202"/>
      <c r="AZ445" s="202"/>
      <c r="BB445" s="202"/>
    </row>
    <row r="446" s="101" customFormat="1" ht="14.25" spans="1:93">
      <c r="A446" s="199"/>
      <c r="C446" s="200"/>
      <c r="D446" s="350"/>
      <c r="E446" s="351" t="s">
        <v>3294</v>
      </c>
      <c r="F446" s="350" t="s">
        <v>3295</v>
      </c>
      <c r="G446" s="101" t="s">
        <v>3296</v>
      </c>
      <c r="H446" s="350" t="s">
        <v>3297</v>
      </c>
      <c r="M446" s="235"/>
      <c r="N446" s="202"/>
      <c r="O446" s="158"/>
      <c r="Q446" s="205" t="s">
        <v>5622</v>
      </c>
      <c r="R446" s="202"/>
      <c r="S446" s="204"/>
      <c r="T446" s="199"/>
      <c r="U446" s="204"/>
      <c r="V446" s="202"/>
      <c r="X446" s="202"/>
      <c r="AB446" s="202"/>
      <c r="AH446" s="202"/>
      <c r="AK446" s="201"/>
      <c r="AM446" s="200"/>
      <c r="AP446" s="347"/>
      <c r="AQ446" s="202"/>
      <c r="AR446" s="202"/>
      <c r="AS446" s="202"/>
      <c r="AT446" s="202"/>
      <c r="AU446" s="202"/>
      <c r="AV446" s="202"/>
      <c r="AW446" s="202"/>
      <c r="AX446" s="202"/>
      <c r="AY446" s="202"/>
      <c r="AZ446" s="202"/>
      <c r="BB446" s="202"/>
    </row>
    <row r="447" s="101" customFormat="1" ht="14.25" spans="1:93">
      <c r="A447" s="199"/>
      <c r="C447" s="200"/>
      <c r="D447" s="350"/>
      <c r="E447" s="351"/>
      <c r="F447" s="350"/>
      <c r="H447" s="350"/>
      <c r="M447" s="235"/>
      <c r="N447" s="202"/>
      <c r="O447" s="158"/>
      <c r="Q447" s="205" t="s">
        <v>9</v>
      </c>
      <c r="R447" s="202"/>
      <c r="S447" s="204"/>
      <c r="T447" s="199"/>
      <c r="U447" s="204"/>
      <c r="V447" s="202"/>
      <c r="X447" s="202"/>
      <c r="AB447" s="202"/>
      <c r="AH447" s="202"/>
      <c r="AK447" s="201"/>
      <c r="AM447" s="200"/>
      <c r="AP447" s="347"/>
      <c r="AQ447" s="202"/>
      <c r="AR447" s="202"/>
      <c r="AS447" s="202"/>
      <c r="AT447" s="202"/>
      <c r="AU447" s="202"/>
      <c r="AV447" s="202"/>
      <c r="AW447" s="202"/>
      <c r="AX447" s="202"/>
      <c r="AY447" s="202"/>
      <c r="AZ447" s="202"/>
      <c r="BB447" s="202"/>
    </row>
    <row r="448" s="101" customFormat="1" ht="14.25" spans="1:93">
      <c r="A448" s="199"/>
      <c r="M448" s="235"/>
      <c r="N448" s="202"/>
      <c r="O448" s="158"/>
      <c r="Q448" s="205" t="s">
        <v>73</v>
      </c>
      <c r="R448" s="202"/>
      <c r="S448" s="352"/>
      <c r="T448" s="353"/>
      <c r="U448" s="352"/>
      <c r="V448" s="202"/>
      <c r="X448" s="202"/>
      <c r="AB448" s="202"/>
      <c r="AH448" s="202"/>
      <c r="AK448" s="201"/>
      <c r="AM448" s="200"/>
      <c r="AP448" s="347"/>
      <c r="AQ448" s="202"/>
      <c r="AR448" s="202"/>
      <c r="AS448" s="202"/>
      <c r="AT448" s="202"/>
      <c r="AU448" s="202"/>
      <c r="AV448" s="202"/>
      <c r="AW448" s="202"/>
      <c r="AX448" s="202"/>
      <c r="AY448" s="202"/>
      <c r="AZ448" s="202"/>
      <c r="BB448" s="202"/>
    </row>
    <row r="449" s="101" customFormat="1" ht="14.25" spans="1:85">
      <c r="A449" s="199"/>
      <c r="M449" s="235"/>
      <c r="N449" s="236"/>
      <c r="O449" s="158"/>
      <c r="Q449" s="205"/>
      <c r="R449" s="202"/>
      <c r="T449" s="199"/>
      <c r="U449" s="204"/>
      <c r="V449" s="202"/>
      <c r="X449" s="202"/>
      <c r="AB449" s="202"/>
      <c r="AH449" s="202"/>
      <c r="AK449" s="201"/>
      <c r="AM449" s="200"/>
      <c r="AP449" s="347"/>
      <c r="AQ449" s="202"/>
      <c r="AR449" s="202"/>
      <c r="AS449" s="202"/>
      <c r="AT449" s="202"/>
      <c r="AU449" s="202"/>
      <c r="AV449" s="202"/>
      <c r="AW449" s="202"/>
      <c r="AX449" s="202"/>
      <c r="AY449" s="202"/>
      <c r="AZ449" s="202"/>
      <c r="BB449" s="202"/>
      <c r="BL449" s="101">
        <f>BL442+'[2]8#楼明细表'!AT71</f>
        <v>11646691</v>
      </c>
    </row>
    <row r="450" s="101" customFormat="1" ht="14.25" spans="1:85">
      <c r="A450" s="199"/>
      <c r="M450" s="235"/>
      <c r="N450" s="236"/>
      <c r="O450" s="158"/>
      <c r="Q450" s="205"/>
      <c r="R450" s="202"/>
      <c r="S450" s="204"/>
      <c r="T450" s="199"/>
      <c r="U450" s="204"/>
      <c r="V450" s="202"/>
      <c r="X450" s="202"/>
      <c r="AB450" s="202"/>
      <c r="AH450" s="202"/>
      <c r="AK450" s="201"/>
      <c r="AM450" s="200"/>
      <c r="AP450" s="347"/>
      <c r="AQ450" s="202"/>
      <c r="AR450" s="202"/>
      <c r="AS450" s="202"/>
      <c r="AT450" s="202"/>
      <c r="AU450" s="202"/>
      <c r="AV450" s="202"/>
      <c r="AW450" s="202"/>
      <c r="AX450" s="202"/>
      <c r="AY450" s="202"/>
      <c r="AZ450" s="202"/>
      <c r="BB450" s="202"/>
      <c r="BU450" s="101">
        <f>BU442+'画堂春锦苑8#楼明细表'!BC91+'画堂春锦苑住宅4#6#'!AY168</f>
        <v>11560820</v>
      </c>
    </row>
    <row r="451" s="101" customFormat="1" ht="14.25" spans="1:85">
      <c r="A451" s="199"/>
      <c r="M451" s="235"/>
      <c r="N451" s="236"/>
      <c r="O451" s="158"/>
      <c r="Q451" s="205"/>
      <c r="R451" s="101"/>
      <c r="S451" s="204"/>
      <c r="T451" s="199"/>
      <c r="U451" s="204"/>
      <c r="V451" s="202"/>
      <c r="X451" s="202"/>
      <c r="AB451" s="202"/>
      <c r="AH451" s="202"/>
      <c r="AK451" s="201"/>
      <c r="AM451" s="200"/>
      <c r="AP451" s="347"/>
      <c r="AQ451" s="202"/>
      <c r="AR451" s="202"/>
      <c r="AS451" s="202"/>
      <c r="AT451" s="202"/>
      <c r="AU451" s="202"/>
      <c r="AV451" s="202"/>
      <c r="AW451" s="202"/>
      <c r="AX451" s="202"/>
      <c r="AY451" s="202"/>
      <c r="AZ451" s="202"/>
      <c r="BB451" s="202"/>
    </row>
    <row r="452" s="101" customFormat="1" ht="14.25" spans="1:85">
      <c r="A452" s="199"/>
      <c r="M452" s="235"/>
      <c r="N452" s="236"/>
      <c r="O452" s="158"/>
      <c r="Q452" s="205"/>
      <c r="R452" s="101"/>
      <c r="S452" s="204"/>
      <c r="T452" s="199"/>
      <c r="U452" s="204"/>
      <c r="V452" s="202"/>
      <c r="X452" s="202"/>
      <c r="AB452" s="202"/>
      <c r="AH452" s="202"/>
      <c r="AK452" s="201"/>
      <c r="AM452" s="200"/>
      <c r="AP452" s="347"/>
      <c r="AQ452" s="202"/>
      <c r="AR452" s="202"/>
      <c r="AS452" s="202"/>
      <c r="AT452" s="202"/>
      <c r="AU452" s="202"/>
      <c r="AV452" s="202"/>
      <c r="AW452" s="202"/>
      <c r="AX452" s="202"/>
      <c r="AY452" s="202"/>
      <c r="AZ452" s="202"/>
      <c r="BB452" s="202"/>
    </row>
    <row r="453" s="101" customFormat="1" ht="14.25" spans="1:85">
      <c r="A453" s="199"/>
      <c r="M453" s="235"/>
      <c r="N453" s="236"/>
      <c r="O453" s="158"/>
      <c r="Q453" s="205"/>
      <c r="S453" s="204"/>
      <c r="T453" s="199"/>
      <c r="U453" s="204"/>
      <c r="V453" s="202"/>
      <c r="X453" s="202"/>
      <c r="AB453" s="202"/>
      <c r="AH453" s="202"/>
      <c r="AK453" s="201"/>
      <c r="AM453" s="200"/>
      <c r="AP453" s="347"/>
      <c r="AQ453" s="202"/>
      <c r="AR453" s="202"/>
      <c r="AS453" s="202"/>
      <c r="AT453" s="202"/>
      <c r="AU453" s="202"/>
      <c r="AV453" s="202"/>
      <c r="AW453" s="202"/>
      <c r="AX453" s="202"/>
      <c r="AY453" s="202"/>
      <c r="AZ453" s="202"/>
      <c r="BB453" s="202"/>
      <c r="CF453" s="101" t="s">
        <v>269</v>
      </c>
      <c r="CG453" s="101">
        <f>CG5+CG392</f>
        <v>0</v>
      </c>
    </row>
    <row r="454" s="101" customFormat="1" ht="14.25" spans="1:85">
      <c r="A454" s="199"/>
      <c r="M454" s="235"/>
      <c r="N454" s="236"/>
      <c r="O454" s="158"/>
      <c r="Q454" s="205"/>
      <c r="R454" s="202"/>
      <c r="S454" s="204"/>
      <c r="T454" s="199"/>
      <c r="U454" s="204"/>
      <c r="V454" s="202"/>
      <c r="X454" s="202"/>
      <c r="AB454" s="202"/>
      <c r="AH454" s="202"/>
      <c r="AK454" s="201"/>
      <c r="AM454" s="200"/>
      <c r="AP454" s="347"/>
      <c r="AQ454" s="202"/>
      <c r="AR454" s="202"/>
      <c r="AS454" s="202"/>
      <c r="AT454" s="202"/>
      <c r="AU454" s="202"/>
      <c r="AV454" s="202"/>
      <c r="AW454" s="202"/>
      <c r="AX454" s="202"/>
      <c r="AY454" s="202"/>
      <c r="AZ454" s="202"/>
      <c r="BB454" s="202"/>
      <c r="CF454" s="101" t="s">
        <v>3294</v>
      </c>
      <c r="CG454" s="101">
        <f>CG73+CG74</f>
        <v>0</v>
      </c>
    </row>
    <row r="455" s="101" customFormat="1" ht="14.25" spans="1:85">
      <c r="A455" s="199"/>
      <c r="M455" s="235"/>
      <c r="N455" s="236"/>
      <c r="O455" s="158"/>
      <c r="Q455" s="205"/>
      <c r="R455" s="202"/>
      <c r="S455" s="204"/>
      <c r="T455" s="199"/>
      <c r="U455" s="204"/>
      <c r="V455" s="202"/>
      <c r="X455" s="202"/>
      <c r="AB455" s="202"/>
      <c r="AH455" s="202"/>
      <c r="AK455" s="201"/>
      <c r="AM455" s="200"/>
      <c r="AP455" s="347"/>
      <c r="AQ455" s="202"/>
      <c r="AR455" s="202"/>
      <c r="AS455" s="202"/>
      <c r="AT455" s="202"/>
      <c r="AU455" s="202"/>
      <c r="AV455" s="202"/>
      <c r="AW455" s="202"/>
      <c r="AX455" s="202"/>
      <c r="AY455" s="202"/>
      <c r="AZ455" s="202"/>
      <c r="BB455" s="202"/>
    </row>
    <row r="456" s="101" customFormat="1" customHeight="1" spans="1:85">
      <c r="A456" s="199"/>
      <c r="M456" s="235"/>
      <c r="N456" s="236"/>
      <c r="O456" s="158"/>
      <c r="Q456" s="205"/>
      <c r="R456" s="202"/>
      <c r="S456" s="204"/>
      <c r="T456" s="199"/>
      <c r="U456" s="204"/>
      <c r="V456" s="202"/>
      <c r="X456" s="202"/>
      <c r="AB456" s="202"/>
      <c r="AH456" s="202"/>
      <c r="AK456" s="201"/>
      <c r="AM456" s="200"/>
      <c r="AP456" s="347"/>
      <c r="AQ456" s="202"/>
      <c r="AR456" s="202"/>
      <c r="AS456" s="202"/>
      <c r="AT456" s="202"/>
      <c r="AU456" s="202"/>
      <c r="AV456" s="202"/>
      <c r="AW456" s="202"/>
      <c r="AX456" s="202"/>
      <c r="AY456" s="202"/>
      <c r="AZ456" s="202"/>
      <c r="BB456" s="202"/>
    </row>
    <row r="457" s="101" customFormat="1" customHeight="1" spans="1:85">
      <c r="A457" s="199"/>
      <c r="M457" s="235"/>
      <c r="N457" s="236"/>
      <c r="O457" s="158"/>
      <c r="Q457" s="205"/>
      <c r="R457" s="202"/>
      <c r="S457" s="204"/>
      <c r="T457" s="199"/>
      <c r="U457" s="204"/>
      <c r="V457" s="202"/>
      <c r="X457" s="202"/>
      <c r="AB457" s="202"/>
      <c r="AH457" s="202"/>
      <c r="AK457" s="201"/>
      <c r="AM457" s="200"/>
      <c r="AP457" s="347"/>
      <c r="AQ457" s="202"/>
      <c r="AR457" s="202"/>
      <c r="AS457" s="202"/>
      <c r="AT457" s="202"/>
      <c r="AU457" s="202"/>
      <c r="AV457" s="202"/>
      <c r="AW457" s="202"/>
      <c r="AX457" s="202"/>
      <c r="AY457" s="202"/>
      <c r="AZ457" s="202"/>
      <c r="BB457" s="202"/>
    </row>
    <row r="458" s="101" customFormat="1" customHeight="1" spans="1:85">
      <c r="A458" s="199"/>
      <c r="M458" s="235"/>
      <c r="N458" s="236"/>
      <c r="O458" s="158"/>
      <c r="Q458" s="205"/>
      <c r="R458" s="202"/>
      <c r="S458" s="204"/>
      <c r="T458" s="199"/>
      <c r="U458" s="204"/>
      <c r="V458" s="202"/>
      <c r="X458" s="202"/>
      <c r="AB458" s="202"/>
      <c r="AH458" s="202"/>
      <c r="AK458" s="201"/>
      <c r="AM458" s="200"/>
      <c r="AP458" s="347"/>
      <c r="AQ458" s="202"/>
      <c r="AR458" s="202"/>
      <c r="AS458" s="202"/>
      <c r="AT458" s="202"/>
      <c r="AU458" s="202"/>
      <c r="AV458" s="202"/>
      <c r="AW458" s="202"/>
      <c r="AX458" s="202"/>
      <c r="AY458" s="202"/>
      <c r="AZ458" s="202"/>
      <c r="BB458" s="202"/>
    </row>
    <row r="459" s="101" customFormat="1" customHeight="1" spans="1:85">
      <c r="A459" s="199"/>
      <c r="M459" s="235"/>
      <c r="N459" s="236"/>
      <c r="O459" s="158"/>
      <c r="Q459" s="205"/>
      <c r="R459" s="202"/>
      <c r="S459" s="204"/>
      <c r="T459" s="199"/>
      <c r="U459" s="204"/>
      <c r="V459" s="202"/>
      <c r="X459" s="202"/>
      <c r="AB459" s="202"/>
      <c r="AH459" s="202"/>
      <c r="AK459" s="201"/>
      <c r="AM459" s="200"/>
      <c r="AP459" s="347"/>
      <c r="AQ459" s="202"/>
      <c r="AR459" s="202"/>
      <c r="AS459" s="202"/>
      <c r="AT459" s="202"/>
      <c r="AU459" s="202"/>
      <c r="AV459" s="202"/>
      <c r="AW459" s="202"/>
      <c r="AX459" s="202"/>
      <c r="AY459" s="202"/>
      <c r="AZ459" s="202"/>
      <c r="BB459" s="202"/>
    </row>
    <row r="460" s="101" customFormat="1" customHeight="1" spans="1:85">
      <c r="A460" s="199"/>
      <c r="M460" s="235"/>
      <c r="N460" s="236"/>
      <c r="O460" s="158"/>
      <c r="Q460" s="205"/>
      <c r="R460" s="202"/>
      <c r="S460" s="204"/>
      <c r="T460" s="199"/>
      <c r="U460" s="204"/>
      <c r="V460" s="202"/>
      <c r="X460" s="202"/>
      <c r="AB460" s="202"/>
      <c r="AH460" s="202"/>
      <c r="AK460" s="201"/>
      <c r="AM460" s="200"/>
      <c r="AP460" s="347"/>
      <c r="AQ460" s="202"/>
      <c r="AR460" s="202"/>
      <c r="AS460" s="202"/>
      <c r="AT460" s="202"/>
      <c r="AU460" s="202"/>
      <c r="AV460" s="202"/>
      <c r="AW460" s="202"/>
      <c r="AX460" s="202"/>
      <c r="AY460" s="202"/>
      <c r="AZ460" s="202"/>
      <c r="BB460" s="202"/>
    </row>
  </sheetData>
  <autoFilter xmlns:etc="http://www.wps.cn/officeDocument/2017/etCustomData" ref="A3:CP454" etc:filterBottomFollowUsedRange="0">
    <extLst/>
  </autoFilter>
  <sortState ref="CI2">
    <sortCondition ref="CI2"/>
  </sortState>
  <mergeCells count="78">
    <mergeCell ref="A1:AN1"/>
    <mergeCell ref="O2:Q2"/>
    <mergeCell ref="V2:AG2"/>
    <mergeCell ref="E445:H445"/>
    <mergeCell ref="A2:A3"/>
    <mergeCell ref="B2:B3"/>
    <mergeCell ref="C2:C3"/>
    <mergeCell ref="D2:D3"/>
    <mergeCell ref="D445:D446"/>
    <mergeCell ref="F2:F3"/>
    <mergeCell ref="G2:G3"/>
    <mergeCell ref="H2:H3"/>
    <mergeCell ref="H151:H152"/>
    <mergeCell ref="I2:I3"/>
    <mergeCell ref="J2:J3"/>
    <mergeCell ref="J151:J152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G2:CG3"/>
    <mergeCell ref="CI2:CI3"/>
    <mergeCell ref="CJ2:CJ3"/>
    <mergeCell ref="CN2:CN3"/>
    <mergeCell ref="CK2:CM3"/>
  </mergeCells>
  <conditionalFormatting sqref="I10">
    <cfRule type="expression" dxfId="0" priority="212" stopIfTrue="1">
      <formula>P10&lt;&gt;0</formula>
    </cfRule>
  </conditionalFormatting>
  <conditionalFormatting sqref="I58">
    <cfRule type="expression" dxfId="0" priority="224" stopIfTrue="1">
      <formula>P58&lt;&gt;0</formula>
    </cfRule>
  </conditionalFormatting>
  <conditionalFormatting sqref="I125">
    <cfRule type="expression" dxfId="0" priority="6" stopIfTrue="1">
      <formula>P125&lt;&gt;0</formula>
    </cfRule>
  </conditionalFormatting>
  <conditionalFormatting sqref="I137">
    <cfRule type="expression" dxfId="0" priority="216" stopIfTrue="1">
      <formula>P137&lt;&gt;0</formula>
    </cfRule>
  </conditionalFormatting>
  <conditionalFormatting sqref="I157">
    <cfRule type="expression" dxfId="0" priority="16" stopIfTrue="1">
      <formula>P157&lt;&gt;0</formula>
    </cfRule>
  </conditionalFormatting>
  <conditionalFormatting sqref="I189">
    <cfRule type="expression" dxfId="0" priority="24" stopIfTrue="1">
      <formula>P189&lt;&gt;0</formula>
    </cfRule>
  </conditionalFormatting>
  <conditionalFormatting sqref="J196">
    <cfRule type="expression" dxfId="1" priority="305" stopIfTrue="1">
      <formula>$F196&lt;&gt;0</formula>
    </cfRule>
  </conditionalFormatting>
  <conditionalFormatting sqref="J197">
    <cfRule type="expression" dxfId="1" priority="295" stopIfTrue="1">
      <formula>$F197&lt;&gt;0</formula>
    </cfRule>
  </conditionalFormatting>
  <conditionalFormatting sqref="J248">
    <cfRule type="expression" dxfId="1" priority="299" stopIfTrue="1">
      <formula>$F248&lt;&gt;0</formula>
    </cfRule>
  </conditionalFormatting>
  <conditionalFormatting sqref="J249">
    <cfRule type="expression" dxfId="1" priority="289" stopIfTrue="1">
      <formula>$F249&lt;&gt;0</formula>
    </cfRule>
  </conditionalFormatting>
  <conditionalFormatting sqref="J250">
    <cfRule type="expression" dxfId="1" priority="297" stopIfTrue="1">
      <formula>$F250&lt;&gt;0</formula>
    </cfRule>
  </conditionalFormatting>
  <conditionalFormatting sqref="J251">
    <cfRule type="expression" dxfId="1" priority="287" stopIfTrue="1">
      <formula>$F251&lt;&gt;0</formula>
    </cfRule>
  </conditionalFormatting>
  <conditionalFormatting sqref="J257">
    <cfRule type="expression" dxfId="1" priority="285" stopIfTrue="1">
      <formula>$F257&lt;&gt;0</formula>
    </cfRule>
  </conditionalFormatting>
  <conditionalFormatting sqref="J258">
    <cfRule type="expression" dxfId="1" priority="269" stopIfTrue="1">
      <formula>$F258&lt;&gt;0</formula>
    </cfRule>
  </conditionalFormatting>
  <conditionalFormatting sqref="J259">
    <cfRule type="expression" dxfId="1" priority="283" stopIfTrue="1">
      <formula>$F259&lt;&gt;0</formula>
    </cfRule>
  </conditionalFormatting>
  <conditionalFormatting sqref="J260">
    <cfRule type="expression" dxfId="1" priority="267" stopIfTrue="1">
      <formula>$F260&lt;&gt;0</formula>
    </cfRule>
  </conditionalFormatting>
  <conditionalFormatting sqref="I261">
    <cfRule type="expression" dxfId="0" priority="124" stopIfTrue="1">
      <formula>P180&lt;&gt;0</formula>
    </cfRule>
  </conditionalFormatting>
  <conditionalFormatting sqref="J261">
    <cfRule type="expression" dxfId="1" priority="251" stopIfTrue="1">
      <formula>$F261&lt;&gt;0</formula>
    </cfRule>
  </conditionalFormatting>
  <conditionalFormatting sqref="J262">
    <cfRule type="expression" dxfId="1" priority="279" stopIfTrue="1">
      <formula>$F262&lt;&gt;0</formula>
    </cfRule>
  </conditionalFormatting>
  <conditionalFormatting sqref="J263">
    <cfRule type="expression" dxfId="1" priority="261" stopIfTrue="1">
      <formula>$F263&lt;&gt;0</formula>
    </cfRule>
  </conditionalFormatting>
  <conditionalFormatting sqref="I264">
    <cfRule type="expression" dxfId="0" priority="505" stopIfTrue="1">
      <formula>P186&lt;&gt;0</formula>
    </cfRule>
  </conditionalFormatting>
  <conditionalFormatting sqref="J264">
    <cfRule type="expression" dxfId="1" priority="277" stopIfTrue="1">
      <formula>$F264&lt;&gt;0</formula>
    </cfRule>
  </conditionalFormatting>
  <conditionalFormatting sqref="J265">
    <cfRule type="expression" dxfId="1" priority="259" stopIfTrue="1">
      <formula>$F265&lt;&gt;0</formula>
    </cfRule>
  </conditionalFormatting>
  <conditionalFormatting sqref="J266">
    <cfRule type="expression" dxfId="1" priority="275" stopIfTrue="1">
      <formula>$F266&lt;&gt;0</formula>
    </cfRule>
  </conditionalFormatting>
  <conditionalFormatting sqref="J267">
    <cfRule type="expression" dxfId="1" priority="257" stopIfTrue="1">
      <formula>$F267&lt;&gt;0</formula>
    </cfRule>
  </conditionalFormatting>
  <conditionalFormatting sqref="J268">
    <cfRule type="expression" dxfId="1" priority="273" stopIfTrue="1">
      <formula>$F268&lt;&gt;0</formula>
    </cfRule>
  </conditionalFormatting>
  <conditionalFormatting sqref="J269">
    <cfRule type="expression" dxfId="1" priority="255" stopIfTrue="1">
      <formula>$F269&lt;&gt;0</formula>
    </cfRule>
  </conditionalFormatting>
  <conditionalFormatting sqref="J270">
    <cfRule type="expression" dxfId="1" priority="271" stopIfTrue="1">
      <formula>$F270&lt;&gt;0</formula>
    </cfRule>
  </conditionalFormatting>
  <conditionalFormatting sqref="J271">
    <cfRule type="expression" dxfId="1" priority="253" stopIfTrue="1">
      <formula>$F271&lt;&gt;0</formula>
    </cfRule>
  </conditionalFormatting>
  <conditionalFormatting sqref="I293">
    <cfRule type="expression" dxfId="0" priority="234" stopIfTrue="1">
      <formula>P188&lt;&gt;0</formula>
    </cfRule>
  </conditionalFormatting>
  <conditionalFormatting sqref="J294">
    <cfRule type="expression" dxfId="1" priority="475" stopIfTrue="1">
      <formula>$F294&lt;&gt;0</formula>
    </cfRule>
  </conditionalFormatting>
  <conditionalFormatting sqref="J295">
    <cfRule type="expression" dxfId="1" priority="388" stopIfTrue="1">
      <formula>$F295&lt;&gt;0</formula>
    </cfRule>
  </conditionalFormatting>
  <conditionalFormatting sqref="I296">
    <cfRule type="expression" dxfId="0" priority="118" stopIfTrue="1">
      <formula>P248&lt;&gt;0</formula>
    </cfRule>
  </conditionalFormatting>
  <conditionalFormatting sqref="J296">
    <cfRule type="expression" dxfId="1" priority="371" stopIfTrue="1">
      <formula>$F296&lt;&gt;0</formula>
    </cfRule>
  </conditionalFormatting>
  <conditionalFormatting sqref="J297">
    <cfRule type="expression" dxfId="1" priority="386" stopIfTrue="1">
      <formula>$F297&lt;&gt;0</formula>
    </cfRule>
  </conditionalFormatting>
  <conditionalFormatting sqref="J298">
    <cfRule type="expression" dxfId="1" priority="370" stopIfTrue="1">
      <formula>$F298&lt;&gt;0</formula>
    </cfRule>
  </conditionalFormatting>
  <conditionalFormatting sqref="I299">
    <cfRule type="expression" dxfId="0" priority="495" stopIfTrue="1">
      <formula>P251&lt;&gt;0</formula>
    </cfRule>
  </conditionalFormatting>
  <conditionalFormatting sqref="J299">
    <cfRule type="expression" dxfId="1" priority="384" stopIfTrue="1">
      <formula>$F299&lt;&gt;0</formula>
    </cfRule>
  </conditionalFormatting>
  <conditionalFormatting sqref="I300">
    <cfRule type="expression" dxfId="0" priority="113" stopIfTrue="1">
      <formula>#REF!&lt;&gt;0</formula>
    </cfRule>
  </conditionalFormatting>
  <conditionalFormatting sqref="J300">
    <cfRule type="expression" dxfId="1" priority="369" stopIfTrue="1">
      <formula>$F300&lt;&gt;0</formula>
    </cfRule>
  </conditionalFormatting>
  <conditionalFormatting sqref="J301">
    <cfRule type="expression" dxfId="1" priority="382" stopIfTrue="1">
      <formula>$F301&lt;&gt;0</formula>
    </cfRule>
  </conditionalFormatting>
  <conditionalFormatting sqref="J302">
    <cfRule type="expression" dxfId="1" priority="367" stopIfTrue="1">
      <formula>$F302&lt;&gt;0</formula>
    </cfRule>
  </conditionalFormatting>
  <conditionalFormatting sqref="J303">
    <cfRule type="expression" dxfId="1" priority="380" stopIfTrue="1">
      <formula>$F303&lt;&gt;0</formula>
    </cfRule>
  </conditionalFormatting>
  <conditionalFormatting sqref="J304">
    <cfRule type="expression" dxfId="1" priority="365" stopIfTrue="1">
      <formula>$F304&lt;&gt;0</formula>
    </cfRule>
  </conditionalFormatting>
  <conditionalFormatting sqref="I305">
    <cfRule type="expression" dxfId="0" priority="107" stopIfTrue="1">
      <formula>P254&lt;&gt;0</formula>
    </cfRule>
  </conditionalFormatting>
  <conditionalFormatting sqref="J305">
    <cfRule type="expression" dxfId="1" priority="378" stopIfTrue="1">
      <formula>$F305&lt;&gt;0</formula>
    </cfRule>
  </conditionalFormatting>
  <conditionalFormatting sqref="I306">
    <cfRule type="expression" dxfId="0" priority="105" stopIfTrue="1">
      <formula>P256&lt;&gt;0</formula>
    </cfRule>
  </conditionalFormatting>
  <conditionalFormatting sqref="J306">
    <cfRule type="expression" dxfId="1" priority="363" stopIfTrue="1">
      <formula>$F306&lt;&gt;0</formula>
    </cfRule>
  </conditionalFormatting>
  <conditionalFormatting sqref="I307">
    <cfRule type="expression" dxfId="0" priority="237" stopIfTrue="1">
      <formula>P257&lt;&gt;0</formula>
    </cfRule>
  </conditionalFormatting>
  <conditionalFormatting sqref="J307">
    <cfRule type="expression" dxfId="1" priority="376" stopIfTrue="1">
      <formula>$F307&lt;&gt;0</formula>
    </cfRule>
  </conditionalFormatting>
  <conditionalFormatting sqref="J308">
    <cfRule type="expression" dxfId="1" priority="361" stopIfTrue="1">
      <formula>$F308&lt;&gt;0</formula>
    </cfRule>
  </conditionalFormatting>
  <conditionalFormatting sqref="J309">
    <cfRule type="expression" dxfId="1" priority="374" stopIfTrue="1">
      <formula>$F309&lt;&gt;0</formula>
    </cfRule>
  </conditionalFormatting>
  <conditionalFormatting sqref="J310">
    <cfRule type="expression" dxfId="1" priority="359" stopIfTrue="1">
      <formula>$F310&lt;&gt;0</formula>
    </cfRule>
  </conditionalFormatting>
  <conditionalFormatting sqref="J311">
    <cfRule type="expression" dxfId="1" priority="372" stopIfTrue="1">
      <formula>$F311&lt;&gt;0</formula>
    </cfRule>
  </conditionalFormatting>
  <conditionalFormatting sqref="J312">
    <cfRule type="expression" dxfId="1" priority="357" stopIfTrue="1">
      <formula>$F312&lt;&gt;0</formula>
    </cfRule>
  </conditionalFormatting>
  <conditionalFormatting sqref="I313">
    <cfRule type="expression" dxfId="0" priority="506" stopIfTrue="1">
      <formula>#REF!&lt;&gt;0</formula>
    </cfRule>
  </conditionalFormatting>
  <conditionalFormatting sqref="I314">
    <cfRule type="expression" dxfId="0" priority="101" stopIfTrue="1">
      <formula>P262&lt;&gt;0</formula>
    </cfRule>
  </conditionalFormatting>
  <conditionalFormatting sqref="J315">
    <cfRule type="expression" dxfId="1" priority="465" stopIfTrue="1">
      <formula>$F315&lt;&gt;0</formula>
    </cfRule>
  </conditionalFormatting>
  <conditionalFormatting sqref="J317">
    <cfRule type="expression" dxfId="1" priority="356" stopIfTrue="1">
      <formula>$F317&lt;&gt;0</formula>
    </cfRule>
  </conditionalFormatting>
  <conditionalFormatting sqref="J318">
    <cfRule type="expression" dxfId="1" priority="347" stopIfTrue="1">
      <formula>$F318&lt;&gt;0</formula>
    </cfRule>
  </conditionalFormatting>
  <conditionalFormatting sqref="I319">
    <cfRule type="expression" dxfId="0" priority="95" stopIfTrue="1">
      <formula>P267&lt;&gt;0</formula>
    </cfRule>
  </conditionalFormatting>
  <conditionalFormatting sqref="J319">
    <cfRule type="expression" dxfId="1" priority="355" stopIfTrue="1">
      <formula>$F319&lt;&gt;0</formula>
    </cfRule>
  </conditionalFormatting>
  <conditionalFormatting sqref="I320">
    <cfRule type="expression" dxfId="0" priority="93" stopIfTrue="1">
      <formula>P269&lt;&gt;0</formula>
    </cfRule>
  </conditionalFormatting>
  <conditionalFormatting sqref="J320">
    <cfRule type="expression" dxfId="1" priority="346" stopIfTrue="1">
      <formula>$F320&lt;&gt;0</formula>
    </cfRule>
  </conditionalFormatting>
  <conditionalFormatting sqref="J321">
    <cfRule type="expression" dxfId="1" priority="354" stopIfTrue="1">
      <formula>$F321&lt;&gt;0</formula>
    </cfRule>
  </conditionalFormatting>
  <conditionalFormatting sqref="J322">
    <cfRule type="expression" dxfId="1" priority="345" stopIfTrue="1">
      <formula>$F322&lt;&gt;0</formula>
    </cfRule>
  </conditionalFormatting>
  <conditionalFormatting sqref="J323">
    <cfRule type="expression" dxfId="1" priority="353" stopIfTrue="1">
      <formula>$F323&lt;&gt;0</formula>
    </cfRule>
  </conditionalFormatting>
  <conditionalFormatting sqref="J324">
    <cfRule type="expression" dxfId="1" priority="344" stopIfTrue="1">
      <formula>$F324&lt;&gt;0</formula>
    </cfRule>
  </conditionalFormatting>
  <conditionalFormatting sqref="J325">
    <cfRule type="expression" dxfId="1" priority="352" stopIfTrue="1">
      <formula>$F325&lt;&gt;0</formula>
    </cfRule>
  </conditionalFormatting>
  <conditionalFormatting sqref="J326">
    <cfRule type="expression" dxfId="1" priority="343" stopIfTrue="1">
      <formula>$F326&lt;&gt;0</formula>
    </cfRule>
  </conditionalFormatting>
  <conditionalFormatting sqref="J327">
    <cfRule type="expression" dxfId="1" priority="351" stopIfTrue="1">
      <formula>$F327&lt;&gt;0</formula>
    </cfRule>
  </conditionalFormatting>
  <conditionalFormatting sqref="J328">
    <cfRule type="expression" dxfId="1" priority="342" stopIfTrue="1">
      <formula>$F328&lt;&gt;0</formula>
    </cfRule>
  </conditionalFormatting>
  <conditionalFormatting sqref="J329">
    <cfRule type="expression" dxfId="1" priority="350" stopIfTrue="1">
      <formula>$F329&lt;&gt;0</formula>
    </cfRule>
  </conditionalFormatting>
  <conditionalFormatting sqref="J331">
    <cfRule type="expression" dxfId="1" priority="349" stopIfTrue="1">
      <formula>$F331&lt;&gt;0</formula>
    </cfRule>
  </conditionalFormatting>
  <conditionalFormatting sqref="J333">
    <cfRule type="expression" dxfId="1" priority="348" stopIfTrue="1">
      <formula>$F333&lt;&gt;0</formula>
    </cfRule>
  </conditionalFormatting>
  <conditionalFormatting sqref="J334">
    <cfRule type="expression" dxfId="1" priority="341" stopIfTrue="1">
      <formula>$F334&lt;&gt;0</formula>
    </cfRule>
  </conditionalFormatting>
  <conditionalFormatting sqref="J337">
    <cfRule type="expression" dxfId="1" priority="460" stopIfTrue="1">
      <formula>$F337&lt;&gt;0</formula>
    </cfRule>
  </conditionalFormatting>
  <conditionalFormatting sqref="J339">
    <cfRule type="expression" dxfId="1" priority="339" stopIfTrue="1">
      <formula>$F339&lt;&gt;0</formula>
    </cfRule>
  </conditionalFormatting>
  <conditionalFormatting sqref="J341">
    <cfRule type="expression" dxfId="1" priority="337" stopIfTrue="1">
      <formula>$F341&lt;&gt;0</formula>
    </cfRule>
  </conditionalFormatting>
  <conditionalFormatting sqref="J342">
    <cfRule type="expression" dxfId="1" priority="321" stopIfTrue="1">
      <formula>$F342&lt;&gt;0</formula>
    </cfRule>
  </conditionalFormatting>
  <conditionalFormatting sqref="J343">
    <cfRule type="expression" dxfId="1" priority="335" stopIfTrue="1">
      <formula>$F343&lt;&gt;0</formula>
    </cfRule>
  </conditionalFormatting>
  <conditionalFormatting sqref="J344">
    <cfRule type="expression" dxfId="1" priority="319" stopIfTrue="1">
      <formula>$F344&lt;&gt;0</formula>
    </cfRule>
  </conditionalFormatting>
  <conditionalFormatting sqref="J345">
    <cfRule type="expression" dxfId="1" priority="333" stopIfTrue="1">
      <formula>$F345&lt;&gt;0</formula>
    </cfRule>
  </conditionalFormatting>
  <conditionalFormatting sqref="J346">
    <cfRule type="expression" dxfId="1" priority="317" stopIfTrue="1">
      <formula>$F346&lt;&gt;0</formula>
    </cfRule>
  </conditionalFormatting>
  <conditionalFormatting sqref="J347">
    <cfRule type="expression" dxfId="1" priority="327" stopIfTrue="1">
      <formula>$F347&lt;&gt;0</formula>
    </cfRule>
  </conditionalFormatting>
  <conditionalFormatting sqref="J348">
    <cfRule type="expression" dxfId="1" priority="311" stopIfTrue="1">
      <formula>$F348&lt;&gt;0</formula>
    </cfRule>
  </conditionalFormatting>
  <conditionalFormatting sqref="J349">
    <cfRule type="expression" dxfId="1" priority="325" stopIfTrue="1">
      <formula>$F349&lt;&gt;0</formula>
    </cfRule>
  </conditionalFormatting>
  <conditionalFormatting sqref="J350">
    <cfRule type="expression" dxfId="1" priority="309" stopIfTrue="1">
      <formula>$F350&lt;&gt;0</formula>
    </cfRule>
  </conditionalFormatting>
  <conditionalFormatting sqref="J351">
    <cfRule type="expression" dxfId="1" priority="323" stopIfTrue="1">
      <formula>$F351&lt;&gt;0</formula>
    </cfRule>
  </conditionalFormatting>
  <conditionalFormatting sqref="J352">
    <cfRule type="expression" dxfId="1" priority="307" stopIfTrue="1">
      <formula>$F352&lt;&gt;0</formula>
    </cfRule>
  </conditionalFormatting>
  <conditionalFormatting sqref="I358">
    <cfRule type="expression" dxfId="0" priority="80" stopIfTrue="1">
      <formula>P286&lt;&gt;0</formula>
    </cfRule>
  </conditionalFormatting>
  <conditionalFormatting sqref="I359">
    <cfRule type="expression" dxfId="0" priority="78" stopIfTrue="1">
      <formula>P288&lt;&gt;0</formula>
    </cfRule>
  </conditionalFormatting>
  <conditionalFormatting sqref="I360">
    <cfRule type="expression" dxfId="0" priority="248" stopIfTrue="1">
      <formula>P291&lt;&gt;0</formula>
    </cfRule>
  </conditionalFormatting>
  <conditionalFormatting sqref="I364">
    <cfRule type="expression" dxfId="0" priority="1" stopIfTrue="1">
      <formula>P296&lt;&gt;0</formula>
    </cfRule>
  </conditionalFormatting>
  <conditionalFormatting sqref="J364">
    <cfRule type="expression" dxfId="1" priority="3" stopIfTrue="1">
      <formula>$F364&lt;&gt;0</formula>
    </cfRule>
  </conditionalFormatting>
  <conditionalFormatting sqref="I372">
    <cfRule type="expression" dxfId="0" priority="68" stopIfTrue="1">
      <formula>P304&lt;&gt;0</formula>
    </cfRule>
  </conditionalFormatting>
  <conditionalFormatting sqref="J381">
    <cfRule type="expression" dxfId="1" priority="442" stopIfTrue="1">
      <formula>$F381&lt;&gt;0</formula>
    </cfRule>
  </conditionalFormatting>
  <conditionalFormatting sqref="J382">
    <cfRule type="expression" dxfId="1" priority="452" stopIfTrue="1">
      <formula>$F382&lt;&gt;0</formula>
    </cfRule>
  </conditionalFormatting>
  <conditionalFormatting sqref="J383">
    <cfRule type="expression" dxfId="1" priority="440" stopIfTrue="1">
      <formula>$F383&lt;&gt;0</formula>
    </cfRule>
  </conditionalFormatting>
  <conditionalFormatting sqref="J384">
    <cfRule type="expression" dxfId="1" priority="451" stopIfTrue="1">
      <formula>$F384&lt;&gt;0</formula>
    </cfRule>
  </conditionalFormatting>
  <conditionalFormatting sqref="J385">
    <cfRule type="expression" dxfId="1" priority="438" stopIfTrue="1">
      <formula>$F385&lt;&gt;0</formula>
    </cfRule>
  </conditionalFormatting>
  <conditionalFormatting sqref="J386">
    <cfRule type="expression" dxfId="1" priority="450" stopIfTrue="1">
      <formula>$F386&lt;&gt;0</formula>
    </cfRule>
  </conditionalFormatting>
  <conditionalFormatting sqref="J387">
    <cfRule type="expression" dxfId="1" priority="436" stopIfTrue="1">
      <formula>$F387&lt;&gt;0</formula>
    </cfRule>
  </conditionalFormatting>
  <conditionalFormatting sqref="J388">
    <cfRule type="expression" dxfId="1" priority="449" stopIfTrue="1">
      <formula>$F388&lt;&gt;0</formula>
    </cfRule>
  </conditionalFormatting>
  <conditionalFormatting sqref="I389">
    <cfRule type="expression" dxfId="0" priority="243" stopIfTrue="1">
      <formula>P320&lt;&gt;0</formula>
    </cfRule>
  </conditionalFormatting>
  <conditionalFormatting sqref="J389">
    <cfRule type="expression" dxfId="1" priority="434" stopIfTrue="1">
      <formula>$F389&lt;&gt;0</formula>
    </cfRule>
  </conditionalFormatting>
  <conditionalFormatting sqref="J390">
    <cfRule type="expression" dxfId="1" priority="448" stopIfTrue="1">
      <formula>$F390&lt;&gt;0</formula>
    </cfRule>
  </conditionalFormatting>
  <conditionalFormatting sqref="J391">
    <cfRule type="expression" dxfId="1" priority="432" stopIfTrue="1">
      <formula>$F391&lt;&gt;0</formula>
    </cfRule>
  </conditionalFormatting>
  <conditionalFormatting sqref="J392">
    <cfRule type="expression" dxfId="1" priority="447" stopIfTrue="1">
      <formula>$F392&lt;&gt;0</formula>
    </cfRule>
  </conditionalFormatting>
  <conditionalFormatting sqref="J393">
    <cfRule type="expression" dxfId="1" priority="430" stopIfTrue="1">
      <formula>$F393&lt;&gt;0</formula>
    </cfRule>
  </conditionalFormatting>
  <conditionalFormatting sqref="J394">
    <cfRule type="expression" dxfId="1" priority="446" stopIfTrue="1">
      <formula>$F394&lt;&gt;0</formula>
    </cfRule>
  </conditionalFormatting>
  <conditionalFormatting sqref="J395">
    <cfRule type="expression" dxfId="1" priority="428" stopIfTrue="1">
      <formula>$F395&lt;&gt;0</formula>
    </cfRule>
  </conditionalFormatting>
  <conditionalFormatting sqref="J396">
    <cfRule type="expression" dxfId="1" priority="445" stopIfTrue="1">
      <formula>$F396&lt;&gt;0</formula>
    </cfRule>
  </conditionalFormatting>
  <conditionalFormatting sqref="J397">
    <cfRule type="expression" dxfId="1" priority="426" stopIfTrue="1">
      <formula>$F397&lt;&gt;0</formula>
    </cfRule>
  </conditionalFormatting>
  <conditionalFormatting sqref="I398">
    <cfRule type="expression" dxfId="0" priority="58" stopIfTrue="1">
      <formula>P360&lt;&gt;0</formula>
    </cfRule>
  </conditionalFormatting>
  <conditionalFormatting sqref="J398">
    <cfRule type="expression" dxfId="1" priority="417" stopIfTrue="1">
      <formula>$F363&lt;&gt;0</formula>
    </cfRule>
  </conditionalFormatting>
  <conditionalFormatting sqref="J399">
    <cfRule type="expression" dxfId="1" priority="409" stopIfTrue="1">
      <formula>$F364&lt;&gt;0</formula>
    </cfRule>
  </conditionalFormatting>
  <conditionalFormatting sqref="J400">
    <cfRule type="expression" dxfId="1" priority="416" stopIfTrue="1">
      <formula>$F365&lt;&gt;0</formula>
    </cfRule>
  </conditionalFormatting>
  <conditionalFormatting sqref="J401">
    <cfRule type="expression" dxfId="1" priority="408" stopIfTrue="1">
      <formula>$F366&lt;&gt;0</formula>
    </cfRule>
  </conditionalFormatting>
  <conditionalFormatting sqref="J402">
    <cfRule type="expression" dxfId="1" priority="415" stopIfTrue="1">
      <formula>$F367&lt;&gt;0</formula>
    </cfRule>
  </conditionalFormatting>
  <conditionalFormatting sqref="J403">
    <cfRule type="expression" dxfId="1" priority="407" stopIfTrue="1">
      <formula>$F368&lt;&gt;0</formula>
    </cfRule>
  </conditionalFormatting>
  <conditionalFormatting sqref="J404">
    <cfRule type="expression" dxfId="1" priority="414" stopIfTrue="1">
      <formula>$F369&lt;&gt;0</formula>
    </cfRule>
  </conditionalFormatting>
  <conditionalFormatting sqref="J405">
    <cfRule type="expression" dxfId="1" priority="406" stopIfTrue="1">
      <formula>$F370&lt;&gt;0</formula>
    </cfRule>
  </conditionalFormatting>
  <conditionalFormatting sqref="J406">
    <cfRule type="expression" dxfId="1" priority="463" stopIfTrue="1">
      <formula>$F396&lt;&gt;0</formula>
    </cfRule>
  </conditionalFormatting>
  <conditionalFormatting sqref="J408">
    <cfRule type="expression" dxfId="1" priority="480" stopIfTrue="1">
      <formula>$F397&lt;&gt;0</formula>
    </cfRule>
  </conditionalFormatting>
  <conditionalFormatting sqref="I409">
    <cfRule type="expression" dxfId="0" priority="56" stopIfTrue="1">
      <formula>P371&lt;&gt;0</formula>
    </cfRule>
  </conditionalFormatting>
  <conditionalFormatting sqref="I410">
    <cfRule type="expression" dxfId="0" priority="54" stopIfTrue="1">
      <formula>P373&lt;&gt;0</formula>
    </cfRule>
  </conditionalFormatting>
  <conditionalFormatting sqref="J410">
    <cfRule type="expression" dxfId="1" priority="405" stopIfTrue="1">
      <formula>#REF!&lt;&gt;0</formula>
    </cfRule>
  </conditionalFormatting>
  <conditionalFormatting sqref="I411">
    <cfRule type="expression" dxfId="0" priority="52" stopIfTrue="1">
      <formula>P376&lt;&gt;0</formula>
    </cfRule>
  </conditionalFormatting>
  <conditionalFormatting sqref="J411">
    <cfRule type="expression" dxfId="1" priority="396" stopIfTrue="1">
      <formula>#REF!&lt;&gt;0</formula>
    </cfRule>
  </conditionalFormatting>
  <conditionalFormatting sqref="J412">
    <cfRule type="expression" dxfId="1" priority="404" stopIfTrue="1">
      <formula>#REF!&lt;&gt;0</formula>
    </cfRule>
  </conditionalFormatting>
  <conditionalFormatting sqref="J413">
    <cfRule type="expression" dxfId="1" priority="395" stopIfTrue="1">
      <formula>#REF!&lt;&gt;0</formula>
    </cfRule>
  </conditionalFormatting>
  <conditionalFormatting sqref="J414">
    <cfRule type="expression" dxfId="1" priority="403" stopIfTrue="1">
      <formula>#REF!&lt;&gt;0</formula>
    </cfRule>
  </conditionalFormatting>
  <conditionalFormatting sqref="J415">
    <cfRule type="expression" dxfId="1" priority="394" stopIfTrue="1">
      <formula>#REF!&lt;&gt;0</formula>
    </cfRule>
  </conditionalFormatting>
  <conditionalFormatting sqref="J416">
    <cfRule type="expression" dxfId="1" priority="402" stopIfTrue="1">
      <formula>#REF!&lt;&gt;0</formula>
    </cfRule>
  </conditionalFormatting>
  <conditionalFormatting sqref="J417">
    <cfRule type="expression" dxfId="1" priority="393" stopIfTrue="1">
      <formula>#REF!&lt;&gt;0</formula>
    </cfRule>
  </conditionalFormatting>
  <conditionalFormatting sqref="J418">
    <cfRule type="expression" dxfId="1" priority="401" stopIfTrue="1">
      <formula>#REF!&lt;&gt;0</formula>
    </cfRule>
  </conditionalFormatting>
  <conditionalFormatting sqref="J419">
    <cfRule type="expression" dxfId="1" priority="392" stopIfTrue="1">
      <formula>#REF!&lt;&gt;0</formula>
    </cfRule>
  </conditionalFormatting>
  <conditionalFormatting sqref="J420">
    <cfRule type="expression" dxfId="1" priority="400" stopIfTrue="1">
      <formula>#REF!&lt;&gt;0</formula>
    </cfRule>
  </conditionalFormatting>
  <conditionalFormatting sqref="J422">
    <cfRule type="expression" dxfId="1" priority="399" stopIfTrue="1">
      <formula>#REF!&lt;&gt;0</formula>
    </cfRule>
  </conditionalFormatting>
  <conditionalFormatting sqref="I423">
    <cfRule type="expression" dxfId="0" priority="50" stopIfTrue="1">
      <formula>P389&lt;&gt;0</formula>
    </cfRule>
  </conditionalFormatting>
  <conditionalFormatting sqref="J424">
    <cfRule type="expression" dxfId="1" priority="398" stopIfTrue="1">
      <formula>#REF!&lt;&gt;0</formula>
    </cfRule>
  </conditionalFormatting>
  <conditionalFormatting sqref="J425">
    <cfRule type="expression" dxfId="1" priority="391" stopIfTrue="1">
      <formula>#REF!&lt;&gt;0</formula>
    </cfRule>
  </conditionalFormatting>
  <conditionalFormatting sqref="J426">
    <cfRule type="expression" dxfId="1" priority="397" stopIfTrue="1">
      <formula>$F399&lt;&gt;0</formula>
    </cfRule>
  </conditionalFormatting>
  <conditionalFormatting sqref="J427">
    <cfRule type="expression" dxfId="1" priority="390" stopIfTrue="1">
      <formula>#REF!&lt;&gt;0</formula>
    </cfRule>
  </conditionalFormatting>
  <conditionalFormatting sqref="I440">
    <cfRule type="expression" dxfId="0" priority="48" stopIfTrue="1">
      <formula>#REF!&lt;&gt;0</formula>
    </cfRule>
  </conditionalFormatting>
  <conditionalFormatting sqref="I4:I9">
    <cfRule type="expression" dxfId="0" priority="231" stopIfTrue="1">
      <formula>P4&lt;&gt;0</formula>
    </cfRule>
  </conditionalFormatting>
  <conditionalFormatting sqref="I11:I12">
    <cfRule type="expression" dxfId="0" priority="208" stopIfTrue="1">
      <formula>P11&lt;&gt;0</formula>
    </cfRule>
  </conditionalFormatting>
  <conditionalFormatting sqref="I13:I14">
    <cfRule type="expression" dxfId="0" priority="206" stopIfTrue="1">
      <formula>P13&lt;&gt;0</formula>
    </cfRule>
  </conditionalFormatting>
  <conditionalFormatting sqref="I15:I16">
    <cfRule type="expression" dxfId="0" priority="204" stopIfTrue="1">
      <formula>P15&lt;&gt;0</formula>
    </cfRule>
  </conditionalFormatting>
  <conditionalFormatting sqref="I17:I19">
    <cfRule type="expression" dxfId="0" priority="202" stopIfTrue="1">
      <formula>P17&lt;&gt;0</formula>
    </cfRule>
  </conditionalFormatting>
  <conditionalFormatting sqref="I25:I26">
    <cfRule type="expression" dxfId="0" priority="200" stopIfTrue="1">
      <formula>P25&lt;&gt;0</formula>
    </cfRule>
  </conditionalFormatting>
  <conditionalFormatting sqref="I27:I28">
    <cfRule type="expression" dxfId="0" priority="198" stopIfTrue="1">
      <formula>P27&lt;&gt;0</formula>
    </cfRule>
  </conditionalFormatting>
  <conditionalFormatting sqref="I29:I30">
    <cfRule type="expression" dxfId="0" priority="196" stopIfTrue="1">
      <formula>P29&lt;&gt;0</formula>
    </cfRule>
  </conditionalFormatting>
  <conditionalFormatting sqref="I31:I32">
    <cfRule type="expression" dxfId="0" priority="194" stopIfTrue="1">
      <formula>P31&lt;&gt;0</formula>
    </cfRule>
  </conditionalFormatting>
  <conditionalFormatting sqref="I33:I34">
    <cfRule type="expression" dxfId="0" priority="192" stopIfTrue="1">
      <formula>P33&lt;&gt;0</formula>
    </cfRule>
  </conditionalFormatting>
  <conditionalFormatting sqref="I35:I36">
    <cfRule type="expression" dxfId="0" priority="190" stopIfTrue="1">
      <formula>P35&lt;&gt;0</formula>
    </cfRule>
  </conditionalFormatting>
  <conditionalFormatting sqref="I38:I43">
    <cfRule type="expression" dxfId="0" priority="188" stopIfTrue="1">
      <formula>P38&lt;&gt;0</formula>
    </cfRule>
  </conditionalFormatting>
  <conditionalFormatting sqref="I44:I45">
    <cfRule type="expression" dxfId="0" priority="186" stopIfTrue="1">
      <formula>P44&lt;&gt;0</formula>
    </cfRule>
  </conditionalFormatting>
  <conditionalFormatting sqref="I46:I47">
    <cfRule type="expression" dxfId="0" priority="184" stopIfTrue="1">
      <formula>P46&lt;&gt;0</formula>
    </cfRule>
  </conditionalFormatting>
  <conditionalFormatting sqref="I48:I49">
    <cfRule type="expression" dxfId="0" priority="182" stopIfTrue="1">
      <formula>P48&lt;&gt;0</formula>
    </cfRule>
  </conditionalFormatting>
  <conditionalFormatting sqref="I50:I51">
    <cfRule type="expression" dxfId="0" priority="180" stopIfTrue="1">
      <formula>P50&lt;&gt;0</formula>
    </cfRule>
  </conditionalFormatting>
  <conditionalFormatting sqref="I52:I53">
    <cfRule type="expression" dxfId="0" priority="178" stopIfTrue="1">
      <formula>P52&lt;&gt;0</formula>
    </cfRule>
  </conditionalFormatting>
  <conditionalFormatting sqref="I59:I61">
    <cfRule type="expression" dxfId="0" priority="222" stopIfTrue="1">
      <formula>P59&lt;&gt;0</formula>
    </cfRule>
  </conditionalFormatting>
  <conditionalFormatting sqref="I62:I85">
    <cfRule type="expression" dxfId="0" priority="176" stopIfTrue="1">
      <formula>P62&lt;&gt;0</formula>
    </cfRule>
  </conditionalFormatting>
  <conditionalFormatting sqref="I86:I87">
    <cfRule type="expression" dxfId="0" priority="174" stopIfTrue="1">
      <formula>P86&lt;&gt;0</formula>
    </cfRule>
  </conditionalFormatting>
  <conditionalFormatting sqref="I88:I89">
    <cfRule type="expression" dxfId="0" priority="172" stopIfTrue="1">
      <formula>P88&lt;&gt;0</formula>
    </cfRule>
  </conditionalFormatting>
  <conditionalFormatting sqref="I90:I102">
    <cfRule type="expression" dxfId="0" priority="170" stopIfTrue="1">
      <formula>P90&lt;&gt;0</formula>
    </cfRule>
  </conditionalFormatting>
  <conditionalFormatting sqref="I103:I110">
    <cfRule type="expression" dxfId="0" priority="220" stopIfTrue="1">
      <formula>P103&lt;&gt;0</formula>
    </cfRule>
  </conditionalFormatting>
  <conditionalFormatting sqref="I111:I136">
    <cfRule type="expression" dxfId="0" priority="218" stopIfTrue="1">
      <formula>P111&lt;&gt;0</formula>
    </cfRule>
  </conditionalFormatting>
  <conditionalFormatting sqref="I125:I134">
    <cfRule type="expression" dxfId="0" priority="12" stopIfTrue="1">
      <formula>P125&lt;&gt;0</formula>
    </cfRule>
  </conditionalFormatting>
  <conditionalFormatting sqref="I125:I132">
    <cfRule type="expression" dxfId="0" priority="8" stopIfTrue="1">
      <formula>P55&lt;&gt;0</formula>
    </cfRule>
  </conditionalFormatting>
  <conditionalFormatting sqref="I126:I131">
    <cfRule type="expression" dxfId="0" priority="4" stopIfTrue="1">
      <formula>P56&lt;&gt;0</formula>
    </cfRule>
  </conditionalFormatting>
  <conditionalFormatting sqref="I133:I134">
    <cfRule type="expression" dxfId="0" priority="10" stopIfTrue="1">
      <formula>P103&lt;&gt;0</formula>
    </cfRule>
  </conditionalFormatting>
  <conditionalFormatting sqref="I138:I140">
    <cfRule type="expression" dxfId="0" priority="214" stopIfTrue="1">
      <formula>P138&lt;&gt;0</formula>
    </cfRule>
  </conditionalFormatting>
  <conditionalFormatting sqref="I141:I142">
    <cfRule type="expression" dxfId="0" priority="164" stopIfTrue="1">
      <formula>P141&lt;&gt;0</formula>
    </cfRule>
  </conditionalFormatting>
  <conditionalFormatting sqref="I143:I144">
    <cfRule type="expression" dxfId="0" priority="162" stopIfTrue="1">
      <formula>P143&lt;&gt;0</formula>
    </cfRule>
  </conditionalFormatting>
  <conditionalFormatting sqref="I145:I146">
    <cfRule type="expression" dxfId="0" priority="160" stopIfTrue="1">
      <formula>P145&lt;&gt;0</formula>
    </cfRule>
  </conditionalFormatting>
  <conditionalFormatting sqref="I147:I148">
    <cfRule type="expression" dxfId="0" priority="158" stopIfTrue="1">
      <formula>P147&lt;&gt;0</formula>
    </cfRule>
  </conditionalFormatting>
  <conditionalFormatting sqref="I149:I150">
    <cfRule type="expression" dxfId="0" priority="156" stopIfTrue="1">
      <formula>P149&lt;&gt;0</formula>
    </cfRule>
  </conditionalFormatting>
  <conditionalFormatting sqref="I151:I152">
    <cfRule type="expression" dxfId="0" priority="154" stopIfTrue="1">
      <formula>P151&lt;&gt;0</formula>
    </cfRule>
  </conditionalFormatting>
  <conditionalFormatting sqref="I153:I166">
    <cfRule type="expression" dxfId="0" priority="152" stopIfTrue="1">
      <formula>P153&lt;&gt;0</formula>
    </cfRule>
  </conditionalFormatting>
  <conditionalFormatting sqref="I157:I164">
    <cfRule type="expression" dxfId="0" priority="18" stopIfTrue="1">
      <formula>P107&lt;&gt;0</formula>
    </cfRule>
  </conditionalFormatting>
  <conditionalFormatting sqref="I158:I163">
    <cfRule type="expression" dxfId="0" priority="14" stopIfTrue="1">
      <formula>P108&lt;&gt;0</formula>
    </cfRule>
  </conditionalFormatting>
  <conditionalFormatting sqref="I165:I166">
    <cfRule type="expression" dxfId="0" priority="20" stopIfTrue="1">
      <formula>P135&lt;&gt;0</formula>
    </cfRule>
  </conditionalFormatting>
  <conditionalFormatting sqref="I167:I168">
    <cfRule type="expression" dxfId="0" priority="150" stopIfTrue="1">
      <formula>P167&lt;&gt;0</formula>
    </cfRule>
  </conditionalFormatting>
  <conditionalFormatting sqref="I169:I170">
    <cfRule type="expression" dxfId="0" priority="148" stopIfTrue="1">
      <formula>P169&lt;&gt;0</formula>
    </cfRule>
  </conditionalFormatting>
  <conditionalFormatting sqref="I171:I172">
    <cfRule type="expression" dxfId="0" priority="146" stopIfTrue="1">
      <formula>P171&lt;&gt;0</formula>
    </cfRule>
  </conditionalFormatting>
  <conditionalFormatting sqref="I173:I174">
    <cfRule type="expression" dxfId="0" priority="144" stopIfTrue="1">
      <formula>P173&lt;&gt;0</formula>
    </cfRule>
  </conditionalFormatting>
  <conditionalFormatting sqref="I175:I176">
    <cfRule type="expression" dxfId="0" priority="142" stopIfTrue="1">
      <formula>P175&lt;&gt;0</formula>
    </cfRule>
  </conditionalFormatting>
  <conditionalFormatting sqref="I177:I178">
    <cfRule type="expression" dxfId="0" priority="140" stopIfTrue="1">
      <formula>P177&lt;&gt;0</formula>
    </cfRule>
  </conditionalFormatting>
  <conditionalFormatting sqref="I180:I185">
    <cfRule type="expression" dxfId="0" priority="230" stopIfTrue="1">
      <formula>P140&lt;&gt;0</formula>
    </cfRule>
  </conditionalFormatting>
  <conditionalFormatting sqref="I186:I187">
    <cfRule type="expression" dxfId="0" priority="138" stopIfTrue="1">
      <formula>P146&lt;&gt;0</formula>
    </cfRule>
  </conditionalFormatting>
  <conditionalFormatting sqref="I188:I196">
    <cfRule type="expression" dxfId="0" priority="136" stopIfTrue="1">
      <formula>P148&lt;&gt;0</formula>
    </cfRule>
  </conditionalFormatting>
  <conditionalFormatting sqref="I190:I195">
    <cfRule type="expression" dxfId="0" priority="22" stopIfTrue="1">
      <formula>P150&lt;&gt;0</formula>
    </cfRule>
  </conditionalFormatting>
  <conditionalFormatting sqref="I232:I237">
    <cfRule type="expression" dxfId="0" priority="489" stopIfTrue="1">
      <formula>P192&lt;&gt;0</formula>
    </cfRule>
  </conditionalFormatting>
  <conditionalFormatting sqref="I238:I243">
    <cfRule type="expression" dxfId="0" priority="487" stopIfTrue="1">
      <formula>P188&lt;&gt;0</formula>
    </cfRule>
  </conditionalFormatting>
  <conditionalFormatting sqref="I244:I247">
    <cfRule type="expression" dxfId="0" priority="485" stopIfTrue="1">
      <formula>P174&lt;&gt;0</formula>
    </cfRule>
  </conditionalFormatting>
  <conditionalFormatting sqref="I248:I249">
    <cfRule type="expression" dxfId="0" priority="134" stopIfTrue="1">
      <formula>P152&lt;&gt;0</formula>
    </cfRule>
  </conditionalFormatting>
  <conditionalFormatting sqref="I250:I251">
    <cfRule type="expression" dxfId="0" priority="132" stopIfTrue="1">
      <formula>P154&lt;&gt;0</formula>
    </cfRule>
  </conditionalFormatting>
  <conditionalFormatting sqref="I252:I256">
    <cfRule type="expression" dxfId="0" priority="228" stopIfTrue="1">
      <formula>P169&lt;&gt;0</formula>
    </cfRule>
  </conditionalFormatting>
  <conditionalFormatting sqref="I257:I258">
    <cfRule type="expression" dxfId="0" priority="128" stopIfTrue="1">
      <formula>P176&lt;&gt;0</formula>
    </cfRule>
  </conditionalFormatting>
  <conditionalFormatting sqref="I259:I260">
    <cfRule type="expression" dxfId="0" priority="126" stopIfTrue="1">
      <formula>P178&lt;&gt;0</formula>
    </cfRule>
  </conditionalFormatting>
  <conditionalFormatting sqref="I262:I263">
    <cfRule type="expression" dxfId="0" priority="120" stopIfTrue="1">
      <formula>P184&lt;&gt;0</formula>
    </cfRule>
  </conditionalFormatting>
  <conditionalFormatting sqref="I265:I266">
    <cfRule type="expression" dxfId="0" priority="483" stopIfTrue="1">
      <formula>P187&lt;&gt;0</formula>
    </cfRule>
  </conditionalFormatting>
  <conditionalFormatting sqref="I267:I269">
    <cfRule type="expression" dxfId="0" priority="493" stopIfTrue="1">
      <formula>#REF!&lt;&gt;0</formula>
    </cfRule>
  </conditionalFormatting>
  <conditionalFormatting sqref="I270:I273">
    <cfRule type="expression" dxfId="0" priority="499" stopIfTrue="1">
      <formula>P248&lt;&gt;0</formula>
    </cfRule>
  </conditionalFormatting>
  <conditionalFormatting sqref="I274:I276">
    <cfRule type="expression" dxfId="0" priority="497" stopIfTrue="1">
      <formula>#REF!&lt;&gt;0</formula>
    </cfRule>
  </conditionalFormatting>
  <conditionalFormatting sqref="I277:I281">
    <cfRule type="expression" dxfId="0" priority="503" stopIfTrue="1">
      <formula>P252&lt;&gt;0</formula>
    </cfRule>
  </conditionalFormatting>
  <conditionalFormatting sqref="I282:I283">
    <cfRule type="expression" dxfId="0" priority="501" stopIfTrue="1">
      <formula>#REF!&lt;&gt;0</formula>
    </cfRule>
  </conditionalFormatting>
  <conditionalFormatting sqref="I284:I288">
    <cfRule type="expression" dxfId="0" priority="510" stopIfTrue="1">
      <formula>P257&lt;&gt;0</formula>
    </cfRule>
  </conditionalFormatting>
  <conditionalFormatting sqref="I289:I291">
    <cfRule type="expression" dxfId="0" priority="508" stopIfTrue="1">
      <formula>#REF!&lt;&gt;0</formula>
    </cfRule>
  </conditionalFormatting>
  <conditionalFormatting sqref="I294:I295">
    <cfRule type="expression" dxfId="0" priority="491" stopIfTrue="1">
      <formula>#REF!&lt;&gt;0</formula>
    </cfRule>
  </conditionalFormatting>
  <conditionalFormatting sqref="I297:I298">
    <cfRule type="expression" dxfId="0" priority="115" stopIfTrue="1">
      <formula>P249&lt;&gt;0</formula>
    </cfRule>
  </conditionalFormatting>
  <conditionalFormatting sqref="I301:I302">
    <cfRule type="expression" dxfId="0" priority="111" stopIfTrue="1">
      <formula>#REF!&lt;&gt;0</formula>
    </cfRule>
  </conditionalFormatting>
  <conditionalFormatting sqref="I303:I304">
    <cfRule type="expression" dxfId="0" priority="109" stopIfTrue="1">
      <formula>P252&lt;&gt;0</formula>
    </cfRule>
  </conditionalFormatting>
  <conditionalFormatting sqref="I308:I310">
    <cfRule type="expression" dxfId="0" priority="117" stopIfTrue="1">
      <formula>P259&lt;&gt;0</formula>
    </cfRule>
  </conditionalFormatting>
  <conditionalFormatting sqref="I311:I312">
    <cfRule type="expression" dxfId="0" priority="103" stopIfTrue="1">
      <formula>#REF!&lt;&gt;0</formula>
    </cfRule>
  </conditionalFormatting>
  <conditionalFormatting sqref="I315:I316">
    <cfRule type="expression" dxfId="0" priority="99" stopIfTrue="1">
      <formula>P263&lt;&gt;0</formula>
    </cfRule>
  </conditionalFormatting>
  <conditionalFormatting sqref="I317:I318">
    <cfRule type="expression" dxfId="0" priority="97" stopIfTrue="1">
      <formula>P265&lt;&gt;0</formula>
    </cfRule>
  </conditionalFormatting>
  <conditionalFormatting sqref="I322:I346">
    <cfRule type="expression" dxfId="0" priority="66" stopIfTrue="1">
      <formula>P272&lt;&gt;0</formula>
    </cfRule>
  </conditionalFormatting>
  <conditionalFormatting sqref="I348:I349">
    <cfRule type="expression" dxfId="0" priority="91" stopIfTrue="1">
      <formula>P276&lt;&gt;0</formula>
    </cfRule>
  </conditionalFormatting>
  <conditionalFormatting sqref="I350:I351">
    <cfRule type="expression" dxfId="0" priority="88" stopIfTrue="1">
      <formula>P278&lt;&gt;0</formula>
    </cfRule>
  </conditionalFormatting>
  <conditionalFormatting sqref="I352:I353">
    <cfRule type="expression" dxfId="0" priority="86" stopIfTrue="1">
      <formula>P280&lt;&gt;0</formula>
    </cfRule>
  </conditionalFormatting>
  <conditionalFormatting sqref="I354:I355">
    <cfRule type="expression" dxfId="0" priority="84" stopIfTrue="1">
      <formula>P282&lt;&gt;0</formula>
    </cfRule>
  </conditionalFormatting>
  <conditionalFormatting sqref="I356:I357">
    <cfRule type="expression" dxfId="0" priority="82" stopIfTrue="1">
      <formula>P284&lt;&gt;0</formula>
    </cfRule>
  </conditionalFormatting>
  <conditionalFormatting sqref="I366:I367">
    <cfRule type="expression" dxfId="0" priority="74" stopIfTrue="1">
      <formula>P298&lt;&gt;0</formula>
    </cfRule>
  </conditionalFormatting>
  <conditionalFormatting sqref="I368:I369">
    <cfRule type="expression" dxfId="0" priority="72" stopIfTrue="1">
      <formula>P300&lt;&gt;0</formula>
    </cfRule>
  </conditionalFormatting>
  <conditionalFormatting sqref="I370:I371">
    <cfRule type="expression" dxfId="0" priority="70" stopIfTrue="1">
      <formula>P302&lt;&gt;0</formula>
    </cfRule>
  </conditionalFormatting>
  <conditionalFormatting sqref="I375:I387">
    <cfRule type="expression" dxfId="0" priority="90" stopIfTrue="1">
      <formula>P307&lt;&gt;0</formula>
    </cfRule>
  </conditionalFormatting>
  <conditionalFormatting sqref="I391:I397">
    <cfRule type="expression" dxfId="0" priority="46" stopIfTrue="1">
      <formula>P363&lt;&gt;0</formula>
    </cfRule>
  </conditionalFormatting>
  <conditionalFormatting sqref="I398:I402">
    <cfRule type="expression" dxfId="0" priority="516" stopIfTrue="1">
      <formula>P342&lt;&gt;0</formula>
    </cfRule>
  </conditionalFormatting>
  <conditionalFormatting sqref="I399:I400">
    <cfRule type="expression" dxfId="0" priority="44" stopIfTrue="1">
      <formula>P361&lt;&gt;0</formula>
    </cfRule>
  </conditionalFormatting>
  <conditionalFormatting sqref="I401:I402">
    <cfRule type="expression" dxfId="0" priority="42" stopIfTrue="1">
      <formula>P363&lt;&gt;0</formula>
    </cfRule>
  </conditionalFormatting>
  <conditionalFormatting sqref="I403:I404">
    <cfRule type="expression" dxfId="0" priority="40" stopIfTrue="1">
      <formula>P365&lt;&gt;0</formula>
    </cfRule>
  </conditionalFormatting>
  <conditionalFormatting sqref="I403:I406">
    <cfRule type="expression" dxfId="0" priority="512" stopIfTrue="1">
      <formula>#REF!&lt;&gt;0</formula>
    </cfRule>
  </conditionalFormatting>
  <conditionalFormatting sqref="I405:I406">
    <cfRule type="expression" dxfId="0" priority="38" stopIfTrue="1">
      <formula>P367&lt;&gt;0</formula>
    </cfRule>
  </conditionalFormatting>
  <conditionalFormatting sqref="I407:I408">
    <cfRule type="expression" dxfId="0" priority="36" stopIfTrue="1">
      <formula>P369&lt;&gt;0</formula>
    </cfRule>
  </conditionalFormatting>
  <conditionalFormatting sqref="I407:I441">
    <cfRule type="expression" dxfId="0" priority="241" stopIfTrue="1">
      <formula>P347&lt;&gt;0</formula>
    </cfRule>
  </conditionalFormatting>
  <conditionalFormatting sqref="I412:I416">
    <cfRule type="expression" dxfId="0" priority="34" stopIfTrue="1">
      <formula>P378&lt;&gt;0</formula>
    </cfRule>
  </conditionalFormatting>
  <conditionalFormatting sqref="I417:I418">
    <cfRule type="expression" dxfId="0" priority="32" stopIfTrue="1">
      <formula>P383&lt;&gt;0</formula>
    </cfRule>
  </conditionalFormatting>
  <conditionalFormatting sqref="I419:I420">
    <cfRule type="expression" dxfId="0" priority="30" stopIfTrue="1">
      <formula>P385&lt;&gt;0</formula>
    </cfRule>
  </conditionalFormatting>
  <conditionalFormatting sqref="I421:I422">
    <cfRule type="expression" dxfId="0" priority="28" stopIfTrue="1">
      <formula>P387&lt;&gt;0</formula>
    </cfRule>
  </conditionalFormatting>
  <conditionalFormatting sqref="I426:I438">
    <cfRule type="expression" dxfId="0" priority="26" stopIfTrue="1">
      <formula>#REF!&lt;&gt;0</formula>
    </cfRule>
  </conditionalFormatting>
  <conditionalFormatting sqref="J198:J247">
    <cfRule type="expression" dxfId="1" priority="303" stopIfTrue="1">
      <formula>$F198&lt;&gt;0</formula>
    </cfRule>
  </conditionalFormatting>
  <conditionalFormatting sqref="J255:J256">
    <cfRule type="expression" dxfId="1" priority="472" stopIfTrue="1">
      <formula>$F255&lt;&gt;0</formula>
    </cfRule>
  </conditionalFormatting>
  <conditionalFormatting sqref="J272:J291">
    <cfRule type="expression" dxfId="1" priority="468" stopIfTrue="1">
      <formula>$F272&lt;&gt;0</formula>
    </cfRule>
  </conditionalFormatting>
  <conditionalFormatting sqref="J292:J293">
    <cfRule type="expression" dxfId="1" priority="466" stopIfTrue="1">
      <formula>$F292&lt;&gt;0</formula>
    </cfRule>
  </conditionalFormatting>
  <conditionalFormatting sqref="J313:J314">
    <cfRule type="expression" dxfId="1" priority="474" stopIfTrue="1">
      <formula>$F313&lt;&gt;0</formula>
    </cfRule>
  </conditionalFormatting>
  <conditionalFormatting sqref="J335:J336">
    <cfRule type="expression" dxfId="1" priority="455" stopIfTrue="1">
      <formula>$F335&lt;&gt;0</formula>
    </cfRule>
  </conditionalFormatting>
  <conditionalFormatting sqref="J378:J379">
    <cfRule type="expression" dxfId="1" priority="457" stopIfTrue="1">
      <formula>$F378&lt;&gt;0</formula>
    </cfRule>
  </conditionalFormatting>
  <conditionalFormatting sqref="J428:J441">
    <cfRule type="expression" dxfId="1" priority="453" stopIfTrue="1">
      <formula>$F428&lt;&gt;0</formula>
    </cfRule>
  </conditionalFormatting>
  <conditionalFormatting sqref="I4:I9 I20:I24">
    <cfRule type="expression" dxfId="0" priority="232" stopIfTrue="1">
      <formula>P4&lt;&gt;0</formula>
    </cfRule>
  </conditionalFormatting>
  <conditionalFormatting sqref="I37 I54:I57 I179">
    <cfRule type="expression" dxfId="0" priority="226" stopIfTrue="1">
      <formula>P37&lt;&gt;0</formula>
    </cfRule>
  </conditionalFormatting>
  <conditionalFormatting sqref="J190:J195 J252:J254">
    <cfRule type="expression" dxfId="1" priority="477" stopIfTrue="1">
      <formula>$F190&lt;&gt;0</formula>
    </cfRule>
  </conditionalFormatting>
  <conditionalFormatting sqref="J190:J195 J252:J254 J294 J296 J298 J300">
    <cfRule type="expression" dxfId="1" priority="478" stopIfTrue="1">
      <formula>$F190&lt;&gt;0</formula>
    </cfRule>
  </conditionalFormatting>
  <conditionalFormatting sqref="I197:I231 I292">
    <cfRule type="expression" dxfId="0" priority="64" stopIfTrue="1">
      <formula>P167&lt;&gt;0</formula>
    </cfRule>
  </conditionalFormatting>
  <conditionalFormatting sqref="J316 J330 J332">
    <cfRule type="expression" dxfId="1" priority="476" stopIfTrue="1">
      <formula>$F316&lt;&gt;0</formula>
    </cfRule>
  </conditionalFormatting>
  <conditionalFormatting sqref="J338 J340">
    <cfRule type="expression" dxfId="1" priority="458" stopIfTrue="1">
      <formula>$F338&lt;&gt;0</formula>
    </cfRule>
  </conditionalFormatting>
  <conditionalFormatting sqref="I347 I391:I397">
    <cfRule type="expression" dxfId="0" priority="514" stopIfTrue="1">
      <formula>P275&lt;&gt;0</formula>
    </cfRule>
  </conditionalFormatting>
  <conditionalFormatting sqref="J353:J363 J365:J380">
    <cfRule type="expression" dxfId="1" priority="462" stopIfTrue="1">
      <formula>$F353&lt;&gt;0</formula>
    </cfRule>
  </conditionalFormatting>
  <conditionalFormatting sqref="I361:I363 I365">
    <cfRule type="expression" dxfId="0" priority="76" stopIfTrue="1">
      <formula>P293&lt;&gt;0</formula>
    </cfRule>
  </conditionalFormatting>
  <conditionalFormatting sqref="I373 I424">
    <cfRule type="expression" dxfId="0" priority="62" stopIfTrue="1">
      <formula>#REF!&lt;&gt;0</formula>
    </cfRule>
  </conditionalFormatting>
  <conditionalFormatting sqref="I388 I390 I374 I425 I441 I439">
    <cfRule type="expression" dxfId="0" priority="246" stopIfTrue="1">
      <formula>#REF!&lt;&gt;0</formula>
    </cfRule>
  </conditionalFormatting>
  <conditionalFormatting sqref="J421 J409 J407 J423">
    <cfRule type="expression" dxfId="1" priority="479" stopIfTrue="1">
      <formula>#REF!&lt;&gt;0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V102"/>
  <sheetViews>
    <sheetView zoomScale="80" zoomScaleNormal="80" workbookViewId="0">
      <pane ySplit="3" topLeftCell="A79" activePane="bottomLeft" state="frozen"/>
      <selection/>
      <selection pane="bottomLeft" activeCell="J15" sqref="J15:K15"/>
    </sheetView>
  </sheetViews>
  <sheetFormatPr defaultColWidth="9" defaultRowHeight="26" customHeight="1"/>
  <cols>
    <col min="1" max="1" width="3.75" style="107" customWidth="1"/>
    <col min="2" max="2" width="4.25" style="107" customWidth="1"/>
    <col min="3" max="3" width="11.625" style="107" customWidth="1"/>
    <col min="4" max="4" width="14.25" style="107" customWidth="1"/>
    <col min="5" max="5" width="9" style="107" customWidth="1"/>
    <col min="6" max="6" width="24.2166666666667" style="107" customWidth="1"/>
    <col min="7" max="7" width="19.875" style="107" customWidth="1"/>
    <col min="8" max="8" width="10.75" style="107" customWidth="1"/>
    <col min="9" max="9" width="12.875" style="107" customWidth="1"/>
    <col min="10" max="10" width="14.8416666666667" style="107" customWidth="1"/>
    <col min="11" max="12" width="12.125" style="107" customWidth="1"/>
    <col min="13" max="13" width="17.625" style="107" customWidth="1"/>
    <col min="14" max="14" width="14.2166666666667" style="107" customWidth="1"/>
    <col min="15" max="15" width="19.375" style="157" customWidth="1"/>
    <col min="16" max="16" width="23.4333333333333" style="107" customWidth="1"/>
    <col min="17" max="17" width="12.125" style="107" customWidth="1"/>
    <col min="18" max="18" width="17.025" style="107" customWidth="1"/>
    <col min="19" max="19" width="16.4" style="107" customWidth="1"/>
    <col min="20" max="21" width="12.125" style="107" customWidth="1"/>
    <col min="22" max="22" width="20.4666666666667" style="107" customWidth="1"/>
    <col min="23" max="23" width="16.7166666666667" style="107" customWidth="1"/>
    <col min="24" max="24" width="19.6833333333333" style="107" customWidth="1"/>
    <col min="25" max="25" width="13.125" style="107" customWidth="1"/>
    <col min="26" max="26" width="19.2166666666667" style="107" customWidth="1"/>
    <col min="27" max="27" width="13.125" style="107" customWidth="1"/>
    <col min="28" max="28" width="17.9666666666667" style="107" customWidth="1"/>
    <col min="29" max="29" width="13.125" style="107" customWidth="1"/>
    <col min="30" max="30" width="18.5916666666667" style="107" customWidth="1"/>
    <col min="31" max="31" width="13.125" style="107" customWidth="1"/>
    <col min="32" max="32" width="15.3166666666667" style="107" customWidth="1"/>
    <col min="33" max="33" width="13.125" style="107" customWidth="1"/>
    <col min="34" max="34" width="15.875" style="188" customWidth="1"/>
    <col min="35" max="35" width="14.375" style="107" customWidth="1"/>
    <col min="36" max="36" width="17" style="107" customWidth="1"/>
    <col min="37" max="37" width="16.375" style="189" customWidth="1"/>
    <col min="38" max="38" width="13.875" style="107" customWidth="1"/>
    <col min="39" max="39" width="26.5" style="107" customWidth="1"/>
    <col min="40" max="40" width="19.875" style="107" customWidth="1"/>
    <col min="41" max="41" width="19.0666666666667" style="107" customWidth="1"/>
    <col min="42" max="42" width="11.75" style="157" customWidth="1"/>
    <col min="43" max="43" width="16.0916666666667" style="107" customWidth="1"/>
    <col min="44" max="44" width="20" style="107" customWidth="1"/>
    <col min="45" max="45" width="16.5583333333333" style="107" customWidth="1"/>
    <col min="46" max="46" width="16.4" style="107" customWidth="1"/>
    <col min="47" max="47" width="18.4333333333333" style="107" customWidth="1"/>
    <col min="48" max="48" width="17.3333333333333" style="107" customWidth="1"/>
    <col min="49" max="49" width="17.8083333333333" style="107" customWidth="1"/>
    <col min="50" max="50" width="16.7166666666667" style="107" customWidth="1"/>
    <col min="51" max="51" width="17.8083333333333" style="107" customWidth="1"/>
    <col min="52" max="52" width="18.1166666666667" style="107" customWidth="1"/>
    <col min="53" max="53" width="16.5583333333333" style="107" customWidth="1"/>
    <col min="54" max="54" width="16.7083333333333" style="107" customWidth="1"/>
    <col min="55" max="55" width="18.4333333333333" style="107" customWidth="1"/>
    <col min="56" max="65" width="19.8416666666667" style="107" customWidth="1"/>
    <col min="66" max="66" width="13" style="107" customWidth="1"/>
    <col min="67" max="67" width="15.875" style="107"/>
    <col min="68" max="72" width="9" style="107"/>
    <col min="73" max="73" width="9.375" style="107"/>
    <col min="74" max="74" width="25.125" style="107" customWidth="1"/>
    <col min="75" max="75" width="9" style="107"/>
    <col min="76" max="76" width="9.375" style="107"/>
    <col min="77" max="78" width="9" style="107"/>
    <col min="79" max="16384" width="9" style="190"/>
  </cols>
  <sheetData>
    <row r="1" s="101" customFormat="1" customHeight="1" spans="1:73">
      <c r="A1" s="191" t="s">
        <v>5623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17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2"/>
      <c r="AI1" s="191"/>
      <c r="AJ1" s="191"/>
      <c r="AK1" s="193"/>
      <c r="AL1" s="191"/>
      <c r="AM1" s="191"/>
      <c r="AN1" s="191"/>
      <c r="AP1" s="194"/>
    </row>
    <row r="2" s="102" customFormat="1" customHeight="1" spans="1:73">
      <c r="A2" s="111" t="s">
        <v>40</v>
      </c>
      <c r="B2" s="102" t="s">
        <v>287</v>
      </c>
      <c r="C2" s="115" t="s">
        <v>288</v>
      </c>
      <c r="D2" s="102" t="s">
        <v>289</v>
      </c>
      <c r="F2" s="102" t="s">
        <v>291</v>
      </c>
      <c r="G2" s="102" t="s">
        <v>292</v>
      </c>
      <c r="H2" s="102" t="s">
        <v>290</v>
      </c>
      <c r="I2" s="102" t="s">
        <v>294</v>
      </c>
      <c r="J2" s="195" t="s">
        <v>1264</v>
      </c>
      <c r="K2" s="102" t="s">
        <v>296</v>
      </c>
      <c r="L2" s="102" t="s">
        <v>297</v>
      </c>
      <c r="M2" s="121" t="s">
        <v>298</v>
      </c>
      <c r="N2" s="160" t="s">
        <v>299</v>
      </c>
      <c r="O2" s="112" t="s">
        <v>301</v>
      </c>
      <c r="P2" s="119"/>
      <c r="Q2" s="119"/>
      <c r="R2" s="160" t="s">
        <v>302</v>
      </c>
      <c r="S2" s="120" t="s">
        <v>303</v>
      </c>
      <c r="T2" s="111" t="s">
        <v>304</v>
      </c>
      <c r="U2" s="120" t="s">
        <v>305</v>
      </c>
      <c r="V2" s="121" t="s">
        <v>306</v>
      </c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96" t="s">
        <v>307</v>
      </c>
      <c r="AI2" s="115" t="s">
        <v>58</v>
      </c>
      <c r="AJ2" s="102" t="s">
        <v>309</v>
      </c>
      <c r="AK2" s="118" t="s">
        <v>61</v>
      </c>
      <c r="AL2" s="102" t="s">
        <v>310</v>
      </c>
      <c r="AM2" s="102" t="s">
        <v>49</v>
      </c>
      <c r="AN2" s="102" t="s">
        <v>1266</v>
      </c>
      <c r="AO2" s="123" t="s">
        <v>320</v>
      </c>
      <c r="AP2" s="161" t="s">
        <v>321</v>
      </c>
      <c r="AQ2" s="197" t="s">
        <v>3320</v>
      </c>
      <c r="AR2" s="197" t="s">
        <v>3321</v>
      </c>
      <c r="AS2" s="197" t="s">
        <v>3322</v>
      </c>
      <c r="AT2" s="197" t="s">
        <v>3323</v>
      </c>
      <c r="AU2" s="197" t="s">
        <v>5624</v>
      </c>
      <c r="AV2" s="197" t="s">
        <v>5625</v>
      </c>
      <c r="AW2" s="197" t="s">
        <v>5626</v>
      </c>
      <c r="AX2" s="197" t="s">
        <v>5627</v>
      </c>
      <c r="AY2" s="197" t="s">
        <v>5628</v>
      </c>
      <c r="AZ2" s="197" t="s">
        <v>5629</v>
      </c>
      <c r="BA2" s="197" t="s">
        <v>5630</v>
      </c>
      <c r="BB2" s="197" t="s">
        <v>3327</v>
      </c>
      <c r="BC2" s="197" t="s">
        <v>3328</v>
      </c>
      <c r="BD2" s="197" t="s">
        <v>3329</v>
      </c>
      <c r="BE2" s="197" t="s">
        <v>3330</v>
      </c>
      <c r="BF2" s="197" t="s">
        <v>5631</v>
      </c>
      <c r="BG2" s="197" t="s">
        <v>5632</v>
      </c>
      <c r="BH2" s="197" t="s">
        <v>5633</v>
      </c>
      <c r="BI2" s="197" t="s">
        <v>5634</v>
      </c>
      <c r="BJ2" s="197" t="s">
        <v>5635</v>
      </c>
      <c r="BK2" s="197" t="s">
        <v>5636</v>
      </c>
      <c r="BL2" s="197" t="s">
        <v>5637</v>
      </c>
      <c r="BM2" s="197" t="s">
        <v>5638</v>
      </c>
      <c r="BN2" s="125"/>
      <c r="BO2" s="102" t="s">
        <v>351</v>
      </c>
      <c r="BQ2" s="102" t="s">
        <v>106</v>
      </c>
      <c r="BR2" s="102" t="s">
        <v>352</v>
      </c>
      <c r="BS2" s="198"/>
      <c r="BT2" s="198"/>
      <c r="BU2" s="198"/>
    </row>
    <row r="3" s="102" customFormat="1" customHeight="1" spans="1:73">
      <c r="A3" s="111"/>
      <c r="C3" s="115"/>
      <c r="E3" s="102" t="s">
        <v>1295</v>
      </c>
      <c r="J3" s="118"/>
      <c r="M3" s="121"/>
      <c r="N3" s="160"/>
      <c r="O3" s="112" t="s">
        <v>354</v>
      </c>
      <c r="P3" s="119" t="s">
        <v>1296</v>
      </c>
      <c r="Q3" s="119" t="s">
        <v>1297</v>
      </c>
      <c r="R3" s="121"/>
      <c r="S3" s="120"/>
      <c r="T3" s="111"/>
      <c r="U3" s="120"/>
      <c r="V3" s="121" t="s">
        <v>356</v>
      </c>
      <c r="W3" s="102" t="s">
        <v>357</v>
      </c>
      <c r="X3" s="121" t="s">
        <v>358</v>
      </c>
      <c r="Y3" s="163" t="s">
        <v>357</v>
      </c>
      <c r="Z3" s="102" t="s">
        <v>359</v>
      </c>
      <c r="AA3" s="118" t="s">
        <v>357</v>
      </c>
      <c r="AB3" s="121" t="s">
        <v>360</v>
      </c>
      <c r="AC3" s="102" t="s">
        <v>357</v>
      </c>
      <c r="AD3" s="102" t="s">
        <v>361</v>
      </c>
      <c r="AE3" s="102" t="s">
        <v>357</v>
      </c>
      <c r="AF3" s="102" t="s">
        <v>362</v>
      </c>
      <c r="AG3" s="102" t="s">
        <v>357</v>
      </c>
      <c r="AH3" s="196"/>
      <c r="AK3" s="118"/>
      <c r="AO3" s="123"/>
      <c r="AP3" s="161"/>
      <c r="AQ3" s="197"/>
      <c r="AR3" s="197"/>
      <c r="AS3" s="197"/>
      <c r="AT3" s="197"/>
      <c r="AU3" s="197"/>
      <c r="AV3" s="197"/>
      <c r="AW3" s="197"/>
      <c r="AX3" s="197"/>
      <c r="AY3" s="197"/>
      <c r="AZ3" s="197"/>
      <c r="BA3" s="197"/>
      <c r="BB3" s="197"/>
      <c r="BC3" s="197"/>
      <c r="BD3" s="197"/>
      <c r="BE3" s="197"/>
      <c r="BF3" s="197"/>
      <c r="BG3" s="197"/>
      <c r="BH3" s="197"/>
      <c r="BI3" s="197"/>
      <c r="BJ3" s="197"/>
      <c r="BK3" s="197"/>
      <c r="BL3" s="197"/>
      <c r="BM3" s="197"/>
      <c r="BN3" s="125"/>
      <c r="BS3" s="198"/>
      <c r="BT3" s="198"/>
      <c r="BU3" s="198"/>
    </row>
    <row r="4" s="101" customFormat="1" customHeight="1" spans="1:73">
      <c r="A4" s="199"/>
      <c r="C4" s="200"/>
      <c r="I4" s="149" t="s">
        <v>5639</v>
      </c>
      <c r="J4" s="201">
        <v>30.45</v>
      </c>
      <c r="L4" s="101">
        <v>2200</v>
      </c>
      <c r="N4" s="202">
        <v>66990</v>
      </c>
      <c r="O4" s="158"/>
      <c r="P4" s="203"/>
      <c r="Q4" s="203"/>
      <c r="R4" s="202"/>
      <c r="S4" s="204"/>
      <c r="T4" s="199"/>
      <c r="U4" s="204"/>
      <c r="V4" s="202"/>
      <c r="X4" s="202"/>
      <c r="Y4" s="205"/>
      <c r="AA4" s="201"/>
      <c r="AB4" s="202"/>
      <c r="AH4" s="206">
        <f t="shared" ref="AH4:AH24" si="0">V4+X4+Z4+AB4+AD4+AF4</f>
        <v>0</v>
      </c>
      <c r="AK4" s="179">
        <f t="shared" ref="AK4:AK23" si="1">M4-AH4</f>
        <v>0</v>
      </c>
      <c r="AO4" s="128">
        <f t="shared" ref="AO4:AO35" si="2">SUM(AQ4:BK4)</f>
        <v>0</v>
      </c>
      <c r="AP4" s="207"/>
      <c r="AQ4" s="208"/>
      <c r="AR4" s="208"/>
      <c r="AS4" s="208"/>
      <c r="AT4" s="208"/>
      <c r="AU4" s="208"/>
      <c r="AV4" s="208"/>
      <c r="AW4" s="208"/>
      <c r="AX4" s="208"/>
      <c r="AY4" s="208"/>
      <c r="AZ4" s="208"/>
      <c r="BA4" s="208"/>
      <c r="BB4" s="208"/>
      <c r="BC4" s="208"/>
      <c r="BD4" s="208"/>
      <c r="BE4" s="208"/>
      <c r="BF4" s="208"/>
      <c r="BG4" s="208"/>
      <c r="BH4" s="208"/>
      <c r="BI4" s="208"/>
      <c r="BJ4" s="208"/>
      <c r="BK4" s="208"/>
      <c r="BL4" s="208"/>
      <c r="BM4" s="208"/>
    </row>
    <row r="5" s="101" customFormat="1" customHeight="1" spans="1:73">
      <c r="A5" s="199"/>
      <c r="C5" s="200"/>
      <c r="H5" s="101" t="s">
        <v>5640</v>
      </c>
      <c r="I5" s="149" t="s">
        <v>5641</v>
      </c>
      <c r="J5" s="201">
        <v>17.74</v>
      </c>
      <c r="N5" s="202"/>
      <c r="O5" s="158"/>
      <c r="P5" s="203"/>
      <c r="Q5" s="203"/>
      <c r="R5" s="202"/>
      <c r="S5" s="204"/>
      <c r="T5" s="199"/>
      <c r="U5" s="204"/>
      <c r="V5" s="202"/>
      <c r="X5" s="202"/>
      <c r="Y5" s="205"/>
      <c r="AA5" s="201"/>
      <c r="AB5" s="202"/>
      <c r="AH5" s="206">
        <f t="shared" si="0"/>
        <v>0</v>
      </c>
      <c r="AK5" s="179">
        <f t="shared" si="1"/>
        <v>0</v>
      </c>
      <c r="AO5" s="128">
        <f t="shared" si="2"/>
        <v>0</v>
      </c>
      <c r="AP5" s="207"/>
      <c r="AQ5" s="208"/>
      <c r="AR5" s="208"/>
      <c r="AS5" s="208"/>
      <c r="AT5" s="208"/>
      <c r="AU5" s="208"/>
      <c r="AV5" s="208"/>
      <c r="AW5" s="208"/>
      <c r="AX5" s="208"/>
      <c r="AY5" s="208"/>
      <c r="AZ5" s="208"/>
      <c r="BA5" s="208"/>
      <c r="BB5" s="208"/>
      <c r="BC5" s="208"/>
      <c r="BD5" s="208"/>
      <c r="BE5" s="208"/>
      <c r="BF5" s="208"/>
      <c r="BG5" s="208"/>
      <c r="BH5" s="208"/>
      <c r="BI5" s="208"/>
      <c r="BJ5" s="208"/>
      <c r="BK5" s="208"/>
      <c r="BL5" s="208"/>
      <c r="BM5" s="208"/>
    </row>
    <row r="6" s="101" customFormat="1" customHeight="1" spans="1:73">
      <c r="A6" s="199"/>
      <c r="C6" s="200"/>
      <c r="I6" s="149" t="s">
        <v>5642</v>
      </c>
      <c r="J6" s="201">
        <v>11.53</v>
      </c>
      <c r="L6" s="101">
        <v>2200</v>
      </c>
      <c r="M6" s="101"/>
      <c r="N6" s="202">
        <v>25366</v>
      </c>
      <c r="O6" s="158"/>
      <c r="P6" s="203"/>
      <c r="Q6" s="203"/>
      <c r="R6" s="202"/>
      <c r="S6" s="204"/>
      <c r="T6" s="199"/>
      <c r="U6" s="204"/>
      <c r="V6" s="202"/>
      <c r="W6" s="204"/>
      <c r="X6" s="202"/>
      <c r="Y6" s="205"/>
      <c r="AA6" s="201"/>
      <c r="AB6" s="202"/>
      <c r="AH6" s="206">
        <f t="shared" si="0"/>
        <v>0</v>
      </c>
      <c r="AK6" s="179">
        <f t="shared" si="1"/>
        <v>0</v>
      </c>
      <c r="AO6" s="128">
        <f t="shared" si="2"/>
        <v>25366</v>
      </c>
      <c r="AP6" s="209">
        <v>0.02</v>
      </c>
      <c r="AQ6" s="208"/>
      <c r="AR6" s="208"/>
      <c r="AS6" s="208"/>
      <c r="AT6" s="208"/>
      <c r="AU6" s="208"/>
      <c r="AV6" s="208"/>
      <c r="AW6" s="208"/>
      <c r="AX6" s="208"/>
      <c r="AY6" s="208"/>
      <c r="AZ6" s="208"/>
      <c r="BA6" s="208"/>
      <c r="BB6" s="208"/>
      <c r="BC6" s="208"/>
      <c r="BD6" s="208"/>
      <c r="BE6" s="208"/>
      <c r="BF6" s="208"/>
      <c r="BG6" s="210">
        <v>25366</v>
      </c>
      <c r="BH6" s="210"/>
      <c r="BI6" s="210"/>
      <c r="BJ6" s="210"/>
      <c r="BK6" s="210"/>
      <c r="BL6" s="210"/>
      <c r="BM6" s="210"/>
    </row>
    <row r="7" s="101" customFormat="1" customHeight="1" spans="1:73">
      <c r="A7" s="199"/>
      <c r="C7" s="200"/>
      <c r="G7" s="101" t="s">
        <v>5643</v>
      </c>
      <c r="I7" s="149" t="s">
        <v>5644</v>
      </c>
      <c r="J7" s="201">
        <v>19.52</v>
      </c>
      <c r="L7" s="101">
        <v>2200</v>
      </c>
      <c r="M7" s="101">
        <v>42944</v>
      </c>
      <c r="N7" s="202">
        <v>42944</v>
      </c>
      <c r="O7" s="158"/>
      <c r="P7" s="203"/>
      <c r="Q7" s="203"/>
      <c r="R7" s="202"/>
      <c r="S7" s="204"/>
      <c r="T7" s="199"/>
      <c r="U7" s="204"/>
      <c r="V7" s="202">
        <v>42944</v>
      </c>
      <c r="W7" s="204">
        <v>45904</v>
      </c>
      <c r="X7" s="202"/>
      <c r="Y7" s="205"/>
      <c r="AA7" s="201"/>
      <c r="AB7" s="202"/>
      <c r="AH7" s="206">
        <f t="shared" si="0"/>
        <v>42944</v>
      </c>
      <c r="AK7" s="179">
        <f t="shared" si="1"/>
        <v>0</v>
      </c>
      <c r="AO7" s="128">
        <f t="shared" si="2"/>
        <v>42944</v>
      </c>
      <c r="AP7" s="209">
        <v>0.02</v>
      </c>
      <c r="AQ7" s="208"/>
      <c r="AR7" s="208"/>
      <c r="AS7" s="208"/>
      <c r="AT7" s="208"/>
      <c r="AU7" s="208"/>
      <c r="AV7" s="208"/>
      <c r="AW7" s="208"/>
      <c r="AX7" s="208"/>
      <c r="AY7" s="208"/>
      <c r="AZ7" s="208"/>
      <c r="BA7" s="208"/>
      <c r="BB7" s="208"/>
      <c r="BC7" s="208"/>
      <c r="BD7" s="208"/>
      <c r="BE7" s="208"/>
      <c r="BF7" s="208"/>
      <c r="BG7" s="210">
        <v>42944</v>
      </c>
      <c r="BH7" s="210"/>
      <c r="BI7" s="210"/>
      <c r="BJ7" s="210"/>
      <c r="BK7" s="210"/>
      <c r="BL7" s="210"/>
      <c r="BM7" s="210"/>
    </row>
    <row r="8" s="101" customFormat="1" customHeight="1" spans="1:73">
      <c r="A8" s="199"/>
      <c r="C8" s="200"/>
      <c r="I8" s="149" t="s">
        <v>5645</v>
      </c>
      <c r="J8" s="201">
        <v>71.65</v>
      </c>
      <c r="N8" s="202"/>
      <c r="O8" s="158"/>
      <c r="P8" s="203"/>
      <c r="Q8" s="203"/>
      <c r="R8" s="202"/>
      <c r="S8" s="204"/>
      <c r="T8" s="199"/>
      <c r="U8" s="204"/>
      <c r="V8" s="202"/>
      <c r="X8" s="202"/>
      <c r="Y8" s="205"/>
      <c r="AA8" s="201"/>
      <c r="AB8" s="202"/>
      <c r="AH8" s="206">
        <f t="shared" si="0"/>
        <v>0</v>
      </c>
      <c r="AK8" s="179">
        <f t="shared" si="1"/>
        <v>0</v>
      </c>
      <c r="AO8" s="128">
        <f t="shared" si="2"/>
        <v>48158</v>
      </c>
      <c r="AP8" s="207"/>
      <c r="AQ8" s="208"/>
      <c r="AR8" s="208"/>
      <c r="AS8" s="208"/>
      <c r="AT8" s="208"/>
      <c r="AU8" s="208"/>
      <c r="AV8" s="208"/>
      <c r="AW8" s="208"/>
      <c r="AX8" s="208"/>
      <c r="AY8" s="208"/>
      <c r="AZ8" s="208"/>
      <c r="BA8" s="208"/>
      <c r="BB8" s="208"/>
      <c r="BC8" s="208"/>
      <c r="BD8" s="208"/>
      <c r="BE8" s="208"/>
      <c r="BF8" s="208"/>
      <c r="BG8" s="210">
        <v>48158</v>
      </c>
      <c r="BH8" s="210"/>
      <c r="BI8" s="210"/>
      <c r="BJ8" s="210"/>
      <c r="BK8" s="210"/>
      <c r="BL8" s="210"/>
      <c r="BM8" s="210"/>
    </row>
    <row r="9" s="101" customFormat="1" customHeight="1" spans="1:73">
      <c r="A9" s="199"/>
      <c r="C9" s="200"/>
      <c r="I9" s="149" t="s">
        <v>5646</v>
      </c>
      <c r="J9" s="201">
        <v>68.35</v>
      </c>
      <c r="N9" s="202"/>
      <c r="O9" s="158"/>
      <c r="P9" s="203"/>
      <c r="Q9" s="203"/>
      <c r="R9" s="202"/>
      <c r="S9" s="204"/>
      <c r="T9" s="199"/>
      <c r="U9" s="204"/>
      <c r="V9" s="202"/>
      <c r="X9" s="202"/>
      <c r="Y9" s="205"/>
      <c r="AA9" s="201"/>
      <c r="AB9" s="202"/>
      <c r="AH9" s="206">
        <f t="shared" si="0"/>
        <v>0</v>
      </c>
      <c r="AK9" s="179">
        <f t="shared" si="1"/>
        <v>0</v>
      </c>
      <c r="AO9" s="128">
        <f t="shared" si="2"/>
        <v>23848</v>
      </c>
      <c r="AP9" s="207"/>
      <c r="AQ9" s="208"/>
      <c r="AR9" s="208"/>
      <c r="AS9" s="208"/>
      <c r="AT9" s="208"/>
      <c r="AU9" s="208"/>
      <c r="AV9" s="208"/>
      <c r="AW9" s="208"/>
      <c r="AX9" s="208"/>
      <c r="AY9" s="208"/>
      <c r="AZ9" s="208"/>
      <c r="BA9" s="208"/>
      <c r="BB9" s="208"/>
      <c r="BC9" s="208"/>
      <c r="BD9" s="208"/>
      <c r="BE9" s="208"/>
      <c r="BF9" s="208"/>
      <c r="BG9" s="210">
        <v>23848</v>
      </c>
      <c r="BH9" s="210"/>
      <c r="BI9" s="210"/>
      <c r="BJ9" s="210"/>
      <c r="BK9" s="210"/>
      <c r="BL9" s="210"/>
      <c r="BM9" s="210"/>
    </row>
    <row r="10" s="101" customFormat="1" customHeight="1" spans="1:73">
      <c r="A10" s="199"/>
      <c r="C10" s="200"/>
      <c r="G10" s="101" t="s">
        <v>5647</v>
      </c>
      <c r="I10" s="149" t="s">
        <v>5648</v>
      </c>
      <c r="J10" s="201">
        <v>21.89</v>
      </c>
      <c r="L10" s="101">
        <v>2200</v>
      </c>
      <c r="M10" s="101">
        <v>48158</v>
      </c>
      <c r="N10" s="202">
        <v>48158</v>
      </c>
      <c r="O10" s="158"/>
      <c r="P10" s="203"/>
      <c r="Q10" s="203"/>
      <c r="R10" s="202"/>
      <c r="S10" s="204"/>
      <c r="T10" s="199"/>
      <c r="U10" s="204"/>
      <c r="V10" s="202">
        <v>48158</v>
      </c>
      <c r="W10" s="204">
        <v>45903</v>
      </c>
      <c r="X10" s="202"/>
      <c r="Y10" s="205"/>
      <c r="AA10" s="201"/>
      <c r="AB10" s="202"/>
      <c r="AH10" s="206">
        <f t="shared" si="0"/>
        <v>48158</v>
      </c>
      <c r="AK10" s="179">
        <f t="shared" si="1"/>
        <v>0</v>
      </c>
      <c r="AO10" s="128">
        <f t="shared" si="2"/>
        <v>48158</v>
      </c>
      <c r="AP10" s="209">
        <v>0.02</v>
      </c>
      <c r="AQ10" s="208"/>
      <c r="AR10" s="208"/>
      <c r="AS10" s="208"/>
      <c r="AT10" s="208"/>
      <c r="AU10" s="208"/>
      <c r="AV10" s="208"/>
      <c r="AW10" s="208"/>
      <c r="AX10" s="208"/>
      <c r="AY10" s="208"/>
      <c r="AZ10" s="208"/>
      <c r="BA10" s="208"/>
      <c r="BB10" s="208"/>
      <c r="BC10" s="208"/>
      <c r="BD10" s="208"/>
      <c r="BE10" s="208"/>
      <c r="BF10" s="208"/>
      <c r="BG10" s="210">
        <v>48158</v>
      </c>
      <c r="BH10" s="210"/>
      <c r="BI10" s="210"/>
      <c r="BJ10" s="210"/>
      <c r="BK10" s="210"/>
      <c r="BL10" s="210"/>
      <c r="BM10" s="210"/>
    </row>
    <row r="11" s="101" customFormat="1" customHeight="1" spans="1:73">
      <c r="A11" s="199"/>
      <c r="C11" s="200"/>
      <c r="G11" s="101" t="s">
        <v>5649</v>
      </c>
      <c r="I11" s="149" t="s">
        <v>5650</v>
      </c>
      <c r="J11" s="201">
        <v>10.84</v>
      </c>
      <c r="L11" s="101">
        <v>2200</v>
      </c>
      <c r="M11" s="101">
        <v>23848</v>
      </c>
      <c r="N11" s="202">
        <v>23848</v>
      </c>
      <c r="O11" s="158"/>
      <c r="P11" s="203"/>
      <c r="Q11" s="203"/>
      <c r="R11" s="202"/>
      <c r="S11" s="204"/>
      <c r="T11" s="199"/>
      <c r="U11" s="204"/>
      <c r="V11" s="202">
        <v>23848</v>
      </c>
      <c r="W11" s="204">
        <v>45903</v>
      </c>
      <c r="X11" s="202"/>
      <c r="Y11" s="205"/>
      <c r="AA11" s="201"/>
      <c r="AB11" s="202"/>
      <c r="AH11" s="206">
        <f t="shared" si="0"/>
        <v>23848</v>
      </c>
      <c r="AK11" s="179">
        <f t="shared" si="1"/>
        <v>0</v>
      </c>
      <c r="AO11" s="128">
        <f t="shared" si="2"/>
        <v>23848</v>
      </c>
      <c r="AP11" s="209">
        <v>0.02</v>
      </c>
      <c r="AQ11" s="208"/>
      <c r="AR11" s="208"/>
      <c r="AS11" s="208"/>
      <c r="AT11" s="208"/>
      <c r="AU11" s="208"/>
      <c r="AV11" s="208"/>
      <c r="AW11" s="208"/>
      <c r="AX11" s="208"/>
      <c r="AY11" s="208"/>
      <c r="AZ11" s="208"/>
      <c r="BA11" s="208"/>
      <c r="BB11" s="208"/>
      <c r="BC11" s="208"/>
      <c r="BD11" s="208"/>
      <c r="BE11" s="208"/>
      <c r="BF11" s="208"/>
      <c r="BG11" s="210">
        <v>23848</v>
      </c>
      <c r="BH11" s="210"/>
      <c r="BI11" s="210"/>
      <c r="BJ11" s="210"/>
      <c r="BK11" s="210"/>
      <c r="BL11" s="210"/>
      <c r="BM11" s="210"/>
    </row>
    <row r="12" s="101" customFormat="1" customHeight="1" spans="1:73">
      <c r="A12" s="199"/>
      <c r="C12" s="200"/>
      <c r="G12" s="101" t="s">
        <v>2106</v>
      </c>
      <c r="I12" s="149" t="s">
        <v>5651</v>
      </c>
      <c r="J12" s="201">
        <v>11.24</v>
      </c>
      <c r="L12" s="101">
        <v>2200</v>
      </c>
      <c r="M12" s="101">
        <v>24728</v>
      </c>
      <c r="N12" s="202">
        <v>24728</v>
      </c>
      <c r="O12" s="158"/>
      <c r="P12" s="203"/>
      <c r="Q12" s="203"/>
      <c r="R12" s="202"/>
      <c r="S12" s="204"/>
      <c r="T12" s="199"/>
      <c r="U12" s="204"/>
      <c r="V12" s="202">
        <v>24728</v>
      </c>
      <c r="W12" s="204">
        <v>45907</v>
      </c>
      <c r="X12" s="202"/>
      <c r="Y12" s="205"/>
      <c r="AA12" s="201"/>
      <c r="AB12" s="202"/>
      <c r="AH12" s="206">
        <f t="shared" si="0"/>
        <v>24728</v>
      </c>
      <c r="AK12" s="179">
        <f t="shared" si="1"/>
        <v>0</v>
      </c>
      <c r="AO12" s="128">
        <f t="shared" si="2"/>
        <v>24728</v>
      </c>
      <c r="AP12" s="209">
        <v>0.02</v>
      </c>
      <c r="AQ12" s="208"/>
      <c r="AR12" s="208"/>
      <c r="AS12" s="208"/>
      <c r="AT12" s="208"/>
      <c r="AU12" s="208"/>
      <c r="AV12" s="208"/>
      <c r="AW12" s="208"/>
      <c r="AX12" s="208"/>
      <c r="AY12" s="208"/>
      <c r="AZ12" s="208"/>
      <c r="BA12" s="208"/>
      <c r="BB12" s="208"/>
      <c r="BC12" s="208"/>
      <c r="BD12" s="208"/>
      <c r="BE12" s="208"/>
      <c r="BF12" s="208"/>
      <c r="BG12" s="210">
        <v>24728</v>
      </c>
      <c r="BH12" s="210"/>
      <c r="BI12" s="210"/>
      <c r="BJ12" s="210"/>
      <c r="BK12" s="210"/>
      <c r="BL12" s="210"/>
      <c r="BM12" s="210"/>
    </row>
    <row r="13" s="101" customFormat="1" customHeight="1" spans="1:73">
      <c r="A13" s="199"/>
      <c r="C13" s="200"/>
      <c r="G13" s="101" t="s">
        <v>5652</v>
      </c>
      <c r="I13" s="149" t="s">
        <v>5653</v>
      </c>
      <c r="J13" s="201">
        <v>27.78</v>
      </c>
      <c r="L13" s="101">
        <v>2200</v>
      </c>
      <c r="M13" s="101">
        <v>61116</v>
      </c>
      <c r="N13" s="202">
        <v>61116</v>
      </c>
      <c r="O13" s="158"/>
      <c r="P13" s="203"/>
      <c r="Q13" s="203"/>
      <c r="R13" s="202"/>
      <c r="S13" s="204"/>
      <c r="T13" s="199"/>
      <c r="U13" s="204"/>
      <c r="V13" s="202">
        <v>61116</v>
      </c>
      <c r="W13" s="204">
        <v>45903</v>
      </c>
      <c r="X13" s="202"/>
      <c r="Y13" s="205"/>
      <c r="AA13" s="201"/>
      <c r="AB13" s="202"/>
      <c r="AH13" s="206">
        <f t="shared" si="0"/>
        <v>61116</v>
      </c>
      <c r="AK13" s="179">
        <f t="shared" si="1"/>
        <v>0</v>
      </c>
      <c r="AO13" s="128">
        <f t="shared" si="2"/>
        <v>61116</v>
      </c>
      <c r="AP13" s="209">
        <v>0.02</v>
      </c>
      <c r="AQ13" s="208"/>
      <c r="AR13" s="208"/>
      <c r="AS13" s="208"/>
      <c r="AT13" s="208"/>
      <c r="AU13" s="208"/>
      <c r="AV13" s="208"/>
      <c r="AW13" s="208"/>
      <c r="AX13" s="208"/>
      <c r="AY13" s="208"/>
      <c r="AZ13" s="208"/>
      <c r="BA13" s="208"/>
      <c r="BB13" s="208"/>
      <c r="BC13" s="208"/>
      <c r="BD13" s="208"/>
      <c r="BE13" s="208"/>
      <c r="BF13" s="208"/>
      <c r="BG13" s="210">
        <v>61116</v>
      </c>
      <c r="BH13" s="210"/>
      <c r="BI13" s="210"/>
      <c r="BJ13" s="210"/>
      <c r="BK13" s="210"/>
      <c r="BL13" s="210"/>
      <c r="BM13" s="210"/>
    </row>
    <row r="14" s="101" customFormat="1" customHeight="1" spans="1:73">
      <c r="A14" s="199"/>
      <c r="C14" s="200"/>
      <c r="G14" s="101" t="s">
        <v>5654</v>
      </c>
      <c r="I14" s="149" t="s">
        <v>5655</v>
      </c>
      <c r="J14" s="201">
        <v>36.68</v>
      </c>
      <c r="L14" s="101">
        <v>2200</v>
      </c>
      <c r="M14" s="101">
        <v>80696</v>
      </c>
      <c r="N14" s="202">
        <v>80696</v>
      </c>
      <c r="O14" s="158"/>
      <c r="P14" s="203"/>
      <c r="Q14" s="203"/>
      <c r="R14" s="202"/>
      <c r="S14" s="204"/>
      <c r="T14" s="199"/>
      <c r="U14" s="204"/>
      <c r="V14" s="202">
        <v>80696</v>
      </c>
      <c r="W14" s="204">
        <v>45902</v>
      </c>
      <c r="X14" s="202"/>
      <c r="Y14" s="205"/>
      <c r="AA14" s="201"/>
      <c r="AB14" s="202"/>
      <c r="AH14" s="206">
        <f t="shared" si="0"/>
        <v>80696</v>
      </c>
      <c r="AK14" s="179">
        <f t="shared" si="1"/>
        <v>0</v>
      </c>
      <c r="AO14" s="128">
        <f t="shared" si="2"/>
        <v>80696</v>
      </c>
      <c r="AP14" s="209">
        <v>0.02</v>
      </c>
      <c r="AQ14" s="208"/>
      <c r="AR14" s="208"/>
      <c r="AS14" s="208"/>
      <c r="AT14" s="208"/>
      <c r="AU14" s="208"/>
      <c r="AV14" s="208"/>
      <c r="AW14" s="208"/>
      <c r="AX14" s="208"/>
      <c r="AY14" s="208"/>
      <c r="AZ14" s="208"/>
      <c r="BA14" s="208"/>
      <c r="BB14" s="208"/>
      <c r="BC14" s="208"/>
      <c r="BD14" s="208"/>
      <c r="BE14" s="208"/>
      <c r="BF14" s="208"/>
      <c r="BG14" s="210">
        <v>80696</v>
      </c>
      <c r="BH14" s="210"/>
      <c r="BI14" s="210"/>
      <c r="BJ14" s="210"/>
      <c r="BK14" s="210"/>
      <c r="BL14" s="210"/>
      <c r="BM14" s="210"/>
    </row>
    <row r="15" s="101" customFormat="1" customHeight="1" spans="1:73">
      <c r="A15" s="199"/>
      <c r="C15" s="200"/>
      <c r="I15" s="149" t="s">
        <v>5656</v>
      </c>
      <c r="J15" s="201">
        <v>63.71</v>
      </c>
      <c r="N15" s="202"/>
      <c r="O15" s="158"/>
      <c r="P15" s="203"/>
      <c r="Q15" s="203"/>
      <c r="R15" s="202"/>
      <c r="S15" s="204"/>
      <c r="T15" s="199"/>
      <c r="U15" s="204"/>
      <c r="V15" s="202"/>
      <c r="X15" s="202"/>
      <c r="Y15" s="205"/>
      <c r="AA15" s="201"/>
      <c r="AB15" s="202"/>
      <c r="AH15" s="206">
        <f t="shared" si="0"/>
        <v>0</v>
      </c>
      <c r="AK15" s="179">
        <f t="shared" si="1"/>
        <v>0</v>
      </c>
      <c r="AO15" s="128">
        <f t="shared" si="2"/>
        <v>0</v>
      </c>
      <c r="AP15" s="207"/>
      <c r="AQ15" s="208"/>
      <c r="AR15" s="208"/>
      <c r="AS15" s="208"/>
      <c r="AT15" s="208"/>
      <c r="AU15" s="208"/>
      <c r="AV15" s="208"/>
      <c r="AW15" s="208"/>
      <c r="AX15" s="208"/>
      <c r="AY15" s="208"/>
      <c r="AZ15" s="208"/>
      <c r="BA15" s="208"/>
      <c r="BB15" s="208"/>
      <c r="BC15" s="208"/>
      <c r="BD15" s="208"/>
      <c r="BE15" s="208"/>
      <c r="BF15" s="208"/>
      <c r="BG15" s="208"/>
      <c r="BH15" s="208"/>
      <c r="BI15" s="208"/>
      <c r="BJ15" s="208"/>
      <c r="BK15" s="208"/>
      <c r="BL15" s="208"/>
      <c r="BM15" s="208"/>
    </row>
    <row r="16" s="101" customFormat="1" customHeight="1" spans="1:73">
      <c r="A16" s="199"/>
      <c r="C16" s="200"/>
      <c r="I16" s="149" t="s">
        <v>5657</v>
      </c>
      <c r="J16" s="201">
        <v>63.71</v>
      </c>
      <c r="N16" s="202"/>
      <c r="O16" s="158"/>
      <c r="P16" s="203"/>
      <c r="Q16" s="203"/>
      <c r="R16" s="202"/>
      <c r="S16" s="204"/>
      <c r="T16" s="199"/>
      <c r="U16" s="204"/>
      <c r="V16" s="202"/>
      <c r="X16" s="202"/>
      <c r="Y16" s="205"/>
      <c r="AA16" s="201"/>
      <c r="AB16" s="202"/>
      <c r="AH16" s="206">
        <f t="shared" si="0"/>
        <v>0</v>
      </c>
      <c r="AK16" s="179">
        <f t="shared" si="1"/>
        <v>0</v>
      </c>
      <c r="AO16" s="128">
        <f t="shared" si="2"/>
        <v>0</v>
      </c>
      <c r="AP16" s="207"/>
      <c r="AQ16" s="208"/>
      <c r="AR16" s="208"/>
      <c r="AS16" s="208"/>
      <c r="AT16" s="208"/>
      <c r="AU16" s="208"/>
      <c r="AV16" s="208"/>
      <c r="AW16" s="208"/>
      <c r="AX16" s="208"/>
      <c r="AY16" s="208"/>
      <c r="AZ16" s="208"/>
      <c r="BA16" s="208"/>
      <c r="BB16" s="208"/>
      <c r="BC16" s="208"/>
      <c r="BD16" s="208"/>
      <c r="BE16" s="208"/>
      <c r="BF16" s="208"/>
      <c r="BG16" s="208"/>
      <c r="BH16" s="208"/>
      <c r="BI16" s="208"/>
      <c r="BJ16" s="208"/>
      <c r="BK16" s="208"/>
      <c r="BL16" s="208"/>
      <c r="BM16" s="208"/>
    </row>
    <row r="17" s="101" customFormat="1" customHeight="1" spans="1:71">
      <c r="A17" s="199"/>
      <c r="C17" s="200"/>
      <c r="I17" s="149" t="s">
        <v>5658</v>
      </c>
      <c r="J17" s="201">
        <v>63.71</v>
      </c>
      <c r="N17" s="202"/>
      <c r="O17" s="158"/>
      <c r="P17" s="203"/>
      <c r="Q17" s="203"/>
      <c r="R17" s="202"/>
      <c r="S17" s="204"/>
      <c r="T17" s="199"/>
      <c r="U17" s="204"/>
      <c r="V17" s="202"/>
      <c r="X17" s="202"/>
      <c r="Y17" s="205"/>
      <c r="AA17" s="201"/>
      <c r="AB17" s="202"/>
      <c r="AH17" s="206">
        <f t="shared" si="0"/>
        <v>0</v>
      </c>
      <c r="AK17" s="179">
        <f t="shared" si="1"/>
        <v>0</v>
      </c>
      <c r="AO17" s="128">
        <f t="shared" si="2"/>
        <v>0</v>
      </c>
      <c r="AP17" s="207"/>
      <c r="AQ17" s="208"/>
      <c r="AR17" s="208"/>
      <c r="AS17" s="208"/>
      <c r="AT17" s="208"/>
      <c r="AU17" s="208"/>
      <c r="AV17" s="208"/>
      <c r="AW17" s="208"/>
      <c r="AX17" s="208"/>
      <c r="AY17" s="208"/>
      <c r="AZ17" s="208"/>
      <c r="BA17" s="208"/>
      <c r="BB17" s="208"/>
      <c r="BC17" s="208"/>
      <c r="BD17" s="208"/>
      <c r="BE17" s="208"/>
      <c r="BF17" s="208"/>
      <c r="BG17" s="208"/>
      <c r="BH17" s="208"/>
      <c r="BI17" s="208"/>
      <c r="BJ17" s="208"/>
      <c r="BK17" s="208"/>
      <c r="BL17" s="208"/>
      <c r="BM17" s="208"/>
    </row>
    <row r="18" s="101" customFormat="1" customHeight="1" spans="1:71">
      <c r="A18" s="199"/>
      <c r="C18" s="200"/>
      <c r="I18" s="149" t="s">
        <v>5659</v>
      </c>
      <c r="J18" s="201">
        <v>63.97</v>
      </c>
      <c r="N18" s="202"/>
      <c r="O18" s="158"/>
      <c r="P18" s="203"/>
      <c r="Q18" s="203"/>
      <c r="R18" s="202"/>
      <c r="S18" s="204"/>
      <c r="T18" s="199"/>
      <c r="U18" s="204"/>
      <c r="V18" s="202"/>
      <c r="X18" s="202"/>
      <c r="Y18" s="205"/>
      <c r="AA18" s="201"/>
      <c r="AB18" s="202"/>
      <c r="AH18" s="206">
        <f t="shared" si="0"/>
        <v>0</v>
      </c>
      <c r="AK18" s="179">
        <f t="shared" si="1"/>
        <v>0</v>
      </c>
      <c r="AO18" s="128">
        <f t="shared" si="2"/>
        <v>0</v>
      </c>
      <c r="AP18" s="207"/>
      <c r="AQ18" s="208"/>
      <c r="AR18" s="208"/>
      <c r="AS18" s="208"/>
      <c r="AT18" s="208"/>
      <c r="AU18" s="208"/>
      <c r="AV18" s="208"/>
      <c r="AW18" s="208"/>
      <c r="AX18" s="208"/>
      <c r="AY18" s="208"/>
      <c r="AZ18" s="208"/>
      <c r="BA18" s="208"/>
      <c r="BB18" s="208"/>
      <c r="BC18" s="208"/>
      <c r="BD18" s="208"/>
      <c r="BE18" s="208"/>
      <c r="BF18" s="208"/>
      <c r="BG18" s="208"/>
      <c r="BH18" s="208"/>
      <c r="BI18" s="208"/>
      <c r="BJ18" s="208"/>
      <c r="BK18" s="208"/>
      <c r="BL18" s="208"/>
      <c r="BM18" s="208"/>
    </row>
    <row r="19" s="101" customFormat="1" customHeight="1" spans="1:71">
      <c r="A19" s="199"/>
      <c r="C19" s="200"/>
      <c r="I19" s="149" t="s">
        <v>5660</v>
      </c>
      <c r="J19" s="201">
        <v>36.68</v>
      </c>
      <c r="L19" s="101">
        <v>2200</v>
      </c>
      <c r="N19" s="202">
        <v>80696</v>
      </c>
      <c r="O19" s="158"/>
      <c r="P19" s="203"/>
      <c r="Q19" s="203"/>
      <c r="R19" s="202"/>
      <c r="S19" s="204"/>
      <c r="T19" s="199"/>
      <c r="U19" s="204"/>
      <c r="V19" s="202"/>
      <c r="X19" s="202"/>
      <c r="Y19" s="205"/>
      <c r="AA19" s="201"/>
      <c r="AB19" s="202"/>
      <c r="AH19" s="206">
        <f t="shared" si="0"/>
        <v>0</v>
      </c>
      <c r="AK19" s="179">
        <f t="shared" si="1"/>
        <v>0</v>
      </c>
      <c r="AO19" s="128">
        <f t="shared" si="2"/>
        <v>0</v>
      </c>
      <c r="AP19" s="207"/>
      <c r="AQ19" s="208"/>
      <c r="AR19" s="208"/>
      <c r="AS19" s="208"/>
      <c r="AT19" s="208"/>
      <c r="AU19" s="208"/>
      <c r="AV19" s="208"/>
      <c r="AW19" s="208"/>
      <c r="AX19" s="208"/>
      <c r="AY19" s="208"/>
      <c r="AZ19" s="208"/>
      <c r="BA19" s="208"/>
      <c r="BB19" s="208"/>
      <c r="BC19" s="208"/>
      <c r="BD19" s="208"/>
      <c r="BE19" s="208"/>
      <c r="BF19" s="208"/>
      <c r="BG19" s="208"/>
      <c r="BH19" s="208"/>
      <c r="BI19" s="208"/>
      <c r="BJ19" s="208"/>
      <c r="BK19" s="208"/>
      <c r="BL19" s="208"/>
      <c r="BM19" s="208"/>
    </row>
    <row r="20" s="101" customFormat="1" customHeight="1" spans="1:71">
      <c r="A20" s="199"/>
      <c r="C20" s="200"/>
      <c r="G20" s="101" t="s">
        <v>5661</v>
      </c>
      <c r="I20" s="149" t="s">
        <v>5662</v>
      </c>
      <c r="J20" s="201">
        <v>26.83</v>
      </c>
      <c r="L20" s="101">
        <v>2200</v>
      </c>
      <c r="M20" s="101">
        <v>59026</v>
      </c>
      <c r="N20" s="202">
        <v>59026</v>
      </c>
      <c r="O20" s="158"/>
      <c r="P20" s="203"/>
      <c r="Q20" s="203"/>
      <c r="R20" s="202"/>
      <c r="S20" s="204"/>
      <c r="T20" s="199"/>
      <c r="U20" s="204"/>
      <c r="V20" s="202">
        <v>59026</v>
      </c>
      <c r="W20" s="204">
        <v>45911</v>
      </c>
      <c r="X20" s="202"/>
      <c r="Y20" s="205"/>
      <c r="AA20" s="201"/>
      <c r="AB20" s="202"/>
      <c r="AH20" s="206">
        <f t="shared" si="0"/>
        <v>59026</v>
      </c>
      <c r="AK20" s="179">
        <f t="shared" si="1"/>
        <v>0</v>
      </c>
      <c r="AO20" s="128">
        <f t="shared" si="2"/>
        <v>59026</v>
      </c>
      <c r="AP20" s="209">
        <v>0.02</v>
      </c>
      <c r="AQ20" s="208"/>
      <c r="AR20" s="208"/>
      <c r="AS20" s="208"/>
      <c r="AT20" s="208"/>
      <c r="AU20" s="208"/>
      <c r="AV20" s="208"/>
      <c r="AW20" s="208"/>
      <c r="AX20" s="208"/>
      <c r="AY20" s="208"/>
      <c r="AZ20" s="208"/>
      <c r="BA20" s="208"/>
      <c r="BB20" s="208"/>
      <c r="BC20" s="208"/>
      <c r="BD20" s="208"/>
      <c r="BE20" s="208"/>
      <c r="BF20" s="208"/>
      <c r="BG20" s="208">
        <v>59026</v>
      </c>
      <c r="BH20" s="208"/>
      <c r="BI20" s="208"/>
      <c r="BJ20" s="208"/>
      <c r="BK20" s="208"/>
      <c r="BL20" s="208"/>
      <c r="BM20" s="208"/>
    </row>
    <row r="21" s="101" customFormat="1" customHeight="1" spans="1:71">
      <c r="A21" s="199"/>
      <c r="C21" s="200"/>
      <c r="I21" s="149" t="s">
        <v>5663</v>
      </c>
      <c r="J21" s="201">
        <v>37.95</v>
      </c>
      <c r="N21" s="202"/>
      <c r="O21" s="158"/>
      <c r="P21" s="203"/>
      <c r="Q21" s="203"/>
      <c r="R21" s="202"/>
      <c r="S21" s="204"/>
      <c r="T21" s="199"/>
      <c r="U21" s="204"/>
      <c r="V21" s="202"/>
      <c r="X21" s="202"/>
      <c r="Y21" s="205"/>
      <c r="AA21" s="201"/>
      <c r="AB21" s="202"/>
      <c r="AH21" s="206">
        <f t="shared" si="0"/>
        <v>0</v>
      </c>
      <c r="AK21" s="179">
        <f t="shared" si="1"/>
        <v>0</v>
      </c>
      <c r="AO21" s="128">
        <f t="shared" si="2"/>
        <v>51810</v>
      </c>
      <c r="AP21" s="207"/>
      <c r="AQ21" s="208"/>
      <c r="AR21" s="208"/>
      <c r="AS21" s="208"/>
      <c r="AT21" s="208"/>
      <c r="AU21" s="208"/>
      <c r="AV21" s="208"/>
      <c r="AW21" s="208"/>
      <c r="AX21" s="208"/>
      <c r="AY21" s="208"/>
      <c r="AZ21" s="208"/>
      <c r="BA21" s="208"/>
      <c r="BB21" s="208"/>
      <c r="BC21" s="208"/>
      <c r="BD21" s="208"/>
      <c r="BE21" s="208"/>
      <c r="BF21" s="208"/>
      <c r="BG21" s="208">
        <v>51810</v>
      </c>
      <c r="BH21" s="208"/>
      <c r="BI21" s="208"/>
      <c r="BJ21" s="208"/>
      <c r="BK21" s="208"/>
      <c r="BL21" s="208"/>
      <c r="BM21" s="208"/>
    </row>
    <row r="22" s="101" customFormat="1" customHeight="1" spans="1:71">
      <c r="A22" s="199"/>
      <c r="C22" s="200"/>
      <c r="I22" s="149" t="s">
        <v>5664</v>
      </c>
      <c r="J22" s="201">
        <v>37.95</v>
      </c>
      <c r="L22" s="101">
        <v>2200</v>
      </c>
      <c r="N22" s="202">
        <v>83490</v>
      </c>
      <c r="O22" s="158"/>
      <c r="P22" s="203"/>
      <c r="Q22" s="203"/>
      <c r="R22" s="202"/>
      <c r="S22" s="204"/>
      <c r="T22" s="199"/>
      <c r="U22" s="204"/>
      <c r="V22" s="202"/>
      <c r="X22" s="202"/>
      <c r="Y22" s="205"/>
      <c r="AA22" s="201"/>
      <c r="AB22" s="202"/>
      <c r="AH22" s="206">
        <f t="shared" si="0"/>
        <v>0</v>
      </c>
      <c r="AK22" s="179">
        <f t="shared" si="1"/>
        <v>0</v>
      </c>
      <c r="AO22" s="128">
        <f t="shared" si="2"/>
        <v>0</v>
      </c>
      <c r="AP22" s="207"/>
      <c r="AQ22" s="208"/>
      <c r="AR22" s="208"/>
      <c r="AS22" s="208"/>
      <c r="AT22" s="208"/>
      <c r="AU22" s="208"/>
      <c r="AV22" s="208"/>
      <c r="AW22" s="208"/>
      <c r="AX22" s="208"/>
      <c r="AY22" s="208"/>
      <c r="AZ22" s="208"/>
      <c r="BA22" s="208"/>
      <c r="BB22" s="208"/>
      <c r="BC22" s="208"/>
      <c r="BD22" s="208"/>
      <c r="BE22" s="208"/>
      <c r="BF22" s="208"/>
      <c r="BG22" s="208"/>
      <c r="BH22" s="208"/>
      <c r="BI22" s="208"/>
      <c r="BJ22" s="208"/>
      <c r="BK22" s="208"/>
      <c r="BL22" s="208"/>
      <c r="BM22" s="208"/>
    </row>
    <row r="23" s="101" customFormat="1" customHeight="1" spans="1:71">
      <c r="A23" s="199"/>
      <c r="C23" s="200"/>
      <c r="G23" s="101" t="s">
        <v>5665</v>
      </c>
      <c r="I23" s="149" t="s">
        <v>5666</v>
      </c>
      <c r="J23" s="201">
        <v>23.55</v>
      </c>
      <c r="L23" s="101">
        <v>2200</v>
      </c>
      <c r="M23" s="101">
        <v>51810</v>
      </c>
      <c r="N23" s="202">
        <v>51810</v>
      </c>
      <c r="O23" s="158"/>
      <c r="P23" s="203"/>
      <c r="Q23" s="203"/>
      <c r="R23" s="202"/>
      <c r="S23" s="204"/>
      <c r="T23" s="199"/>
      <c r="U23" s="204"/>
      <c r="V23" s="202">
        <v>51810</v>
      </c>
      <c r="W23" s="204">
        <v>45906</v>
      </c>
      <c r="X23" s="202"/>
      <c r="Y23" s="205"/>
      <c r="AA23" s="201"/>
      <c r="AB23" s="202"/>
      <c r="AH23" s="206">
        <f t="shared" si="0"/>
        <v>51810</v>
      </c>
      <c r="AK23" s="179">
        <f t="shared" si="1"/>
        <v>0</v>
      </c>
      <c r="AO23" s="128">
        <f t="shared" si="2"/>
        <v>51810</v>
      </c>
      <c r="AP23" s="209">
        <v>0.02</v>
      </c>
      <c r="AQ23" s="208"/>
      <c r="AR23" s="208"/>
      <c r="AS23" s="208"/>
      <c r="AT23" s="208"/>
      <c r="AU23" s="208"/>
      <c r="AV23" s="208"/>
      <c r="AW23" s="208"/>
      <c r="AX23" s="208"/>
      <c r="AY23" s="208"/>
      <c r="AZ23" s="208"/>
      <c r="BA23" s="208"/>
      <c r="BB23" s="208"/>
      <c r="BC23" s="208"/>
      <c r="BD23" s="208"/>
      <c r="BE23" s="208"/>
      <c r="BF23" s="208"/>
      <c r="BG23" s="208">
        <v>51810</v>
      </c>
      <c r="BH23" s="208"/>
      <c r="BI23" s="208"/>
      <c r="BJ23" s="208"/>
      <c r="BK23" s="208"/>
      <c r="BL23" s="208"/>
      <c r="BM23" s="208"/>
    </row>
    <row r="24" s="128" customFormat="1" ht="35" customHeight="1" spans="1:71">
      <c r="A24" s="128">
        <v>1</v>
      </c>
      <c r="C24" s="211">
        <v>45434</v>
      </c>
      <c r="D24" s="128">
        <v>20240003043</v>
      </c>
      <c r="F24" s="177" t="s">
        <v>5667</v>
      </c>
      <c r="G24" s="177" t="s">
        <v>5668</v>
      </c>
      <c r="H24" s="1016" t="s">
        <v>5669</v>
      </c>
      <c r="I24" s="212" t="s">
        <v>5670</v>
      </c>
      <c r="J24" s="213">
        <v>150.19</v>
      </c>
      <c r="K24" s="128">
        <v>150.19</v>
      </c>
      <c r="L24" s="128">
        <v>8200</v>
      </c>
      <c r="M24" s="214">
        <f>L24*K24</f>
        <v>1231558</v>
      </c>
      <c r="N24" s="128">
        <v>8200</v>
      </c>
      <c r="O24" s="168">
        <v>1129869.72</v>
      </c>
      <c r="P24" s="1016" t="s">
        <v>5671</v>
      </c>
      <c r="Q24" s="171">
        <v>45951</v>
      </c>
      <c r="U24" s="128" t="s">
        <v>393</v>
      </c>
      <c r="V24" s="128">
        <v>20000</v>
      </c>
      <c r="W24" s="128" t="s">
        <v>863</v>
      </c>
      <c r="X24" s="128">
        <v>351558</v>
      </c>
      <c r="Y24" s="128" t="s">
        <v>555</v>
      </c>
      <c r="Z24" s="128">
        <v>860000</v>
      </c>
      <c r="AA24" s="128" t="s">
        <v>543</v>
      </c>
      <c r="AB24" s="128"/>
      <c r="AC24" s="128"/>
      <c r="AH24" s="206">
        <f t="shared" si="0"/>
        <v>1231558</v>
      </c>
      <c r="AK24" s="179">
        <f t="shared" ref="AK24:AK31" si="3">M24-AH24</f>
        <v>0</v>
      </c>
      <c r="AL24" s="128">
        <v>15199933931</v>
      </c>
      <c r="AO24" s="128">
        <f t="shared" si="2"/>
        <v>1231558</v>
      </c>
      <c r="AP24" s="173">
        <f>0.7%+0.03%+0.08%</f>
        <v>0.0081</v>
      </c>
      <c r="AR24" s="128">
        <v>1231558</v>
      </c>
      <c r="BQ24" s="128" t="s">
        <v>376</v>
      </c>
      <c r="BR24" s="128" t="s">
        <v>387</v>
      </c>
      <c r="BS24" s="128" t="s">
        <v>377</v>
      </c>
    </row>
    <row r="25" s="128" customFormat="1" customHeight="1" spans="1:71">
      <c r="A25" s="128">
        <v>2</v>
      </c>
      <c r="C25" s="211">
        <v>45516</v>
      </c>
      <c r="D25" s="128">
        <v>20240004628</v>
      </c>
      <c r="F25" s="1016" t="s">
        <v>5672</v>
      </c>
      <c r="G25" s="128" t="s">
        <v>5647</v>
      </c>
      <c r="H25" s="1016" t="s">
        <v>5673</v>
      </c>
      <c r="I25" s="212" t="s">
        <v>5674</v>
      </c>
      <c r="J25" s="213">
        <v>122.87</v>
      </c>
      <c r="K25" s="128">
        <v>122.87</v>
      </c>
      <c r="L25" s="128">
        <f>M25/K25</f>
        <v>7894.5226662326</v>
      </c>
      <c r="M25" s="128">
        <v>970000</v>
      </c>
      <c r="N25" s="128">
        <v>7894.52</v>
      </c>
      <c r="O25" s="168">
        <v>889908.26</v>
      </c>
      <c r="P25" s="1016" t="s">
        <v>5675</v>
      </c>
      <c r="Q25" s="171">
        <v>45951</v>
      </c>
      <c r="U25" s="128" t="s">
        <v>677</v>
      </c>
      <c r="V25" s="128">
        <v>20000</v>
      </c>
      <c r="W25" s="128" t="s">
        <v>5676</v>
      </c>
      <c r="X25" s="128">
        <v>250000</v>
      </c>
      <c r="Y25" s="128" t="s">
        <v>4657</v>
      </c>
      <c r="Z25" s="128">
        <v>700000</v>
      </c>
      <c r="AA25" s="128" t="s">
        <v>4358</v>
      </c>
      <c r="AH25" s="206">
        <f t="shared" ref="AH25:AH41" si="4">V25+X25+Z25+AB25+AD25+AF25</f>
        <v>970000</v>
      </c>
      <c r="AK25" s="179">
        <f t="shared" si="3"/>
        <v>0</v>
      </c>
      <c r="AL25" s="128">
        <v>15599750213</v>
      </c>
      <c r="AM25" s="128" t="s">
        <v>5677</v>
      </c>
      <c r="AO25" s="128">
        <f t="shared" si="2"/>
        <v>970000</v>
      </c>
      <c r="AP25" s="178">
        <f>0.5%+0.02%+0.08%</f>
        <v>0.006</v>
      </c>
      <c r="AT25" s="128">
        <v>270000</v>
      </c>
      <c r="AU25" s="128">
        <v>700000</v>
      </c>
      <c r="BQ25" s="128" t="s">
        <v>376</v>
      </c>
      <c r="BS25" s="128" t="s">
        <v>377</v>
      </c>
    </row>
    <row r="26" s="128" customFormat="1" customHeight="1" spans="1:71">
      <c r="A26" s="128">
        <v>3</v>
      </c>
      <c r="B26" s="128"/>
      <c r="C26" s="211">
        <v>45611</v>
      </c>
      <c r="D26" s="128">
        <v>20240006617</v>
      </c>
      <c r="F26" s="1016" t="s">
        <v>5678</v>
      </c>
      <c r="G26" s="128" t="s">
        <v>5679</v>
      </c>
      <c r="H26" s="1016" t="s">
        <v>5680</v>
      </c>
      <c r="I26" s="215" t="s">
        <v>5681</v>
      </c>
      <c r="J26" s="213">
        <v>148.64</v>
      </c>
      <c r="K26" s="128">
        <v>148.64</v>
      </c>
      <c r="L26" s="128">
        <v>5780</v>
      </c>
      <c r="M26" s="128">
        <v>859139</v>
      </c>
      <c r="N26" s="128">
        <v>5769.83</v>
      </c>
      <c r="O26" s="168">
        <v>788200.92</v>
      </c>
      <c r="P26" s="1016" t="s">
        <v>5682</v>
      </c>
      <c r="Q26" s="171">
        <v>45951</v>
      </c>
      <c r="U26" s="128" t="s">
        <v>677</v>
      </c>
      <c r="V26" s="128">
        <v>20000</v>
      </c>
      <c r="W26" s="128" t="s">
        <v>5683</v>
      </c>
      <c r="X26" s="128">
        <v>340139</v>
      </c>
      <c r="Y26" s="128" t="s">
        <v>5528</v>
      </c>
      <c r="Z26" s="128">
        <v>185000</v>
      </c>
      <c r="AA26" s="128" t="s">
        <v>3591</v>
      </c>
      <c r="AB26" s="128">
        <v>314000</v>
      </c>
      <c r="AC26" s="128" t="s">
        <v>488</v>
      </c>
      <c r="AH26" s="206">
        <f t="shared" si="4"/>
        <v>859139</v>
      </c>
      <c r="AK26" s="179">
        <f t="shared" si="3"/>
        <v>0</v>
      </c>
      <c r="AL26" s="128">
        <v>13629949350</v>
      </c>
      <c r="AM26" s="128" t="s">
        <v>4676</v>
      </c>
      <c r="AO26" s="128">
        <f t="shared" si="2"/>
        <v>859139</v>
      </c>
      <c r="AP26" s="169">
        <f>0.7%+0.03%+0.08%+0.03%</f>
        <v>0.0084</v>
      </c>
      <c r="AX26" s="128">
        <v>545139</v>
      </c>
      <c r="AY26" s="128">
        <v>314000</v>
      </c>
      <c r="BQ26" s="128" t="s">
        <v>376</v>
      </c>
      <c r="BS26" s="128" t="s">
        <v>377</v>
      </c>
    </row>
    <row r="27" s="128" customFormat="1" customHeight="1" spans="1:71">
      <c r="A27" s="128">
        <v>4</v>
      </c>
      <c r="B27" s="128"/>
      <c r="C27" s="211">
        <v>45611</v>
      </c>
      <c r="D27" s="128">
        <v>20240006618</v>
      </c>
      <c r="F27" s="1016" t="s">
        <v>5684</v>
      </c>
      <c r="G27" s="128" t="s">
        <v>5685</v>
      </c>
      <c r="H27" s="1016" t="s">
        <v>5686</v>
      </c>
      <c r="I27" s="212" t="s">
        <v>5687</v>
      </c>
      <c r="J27" s="213">
        <v>139.33</v>
      </c>
      <c r="K27" s="128">
        <v>139.33</v>
      </c>
      <c r="L27" s="128">
        <v>5784.75</v>
      </c>
      <c r="M27" s="128">
        <v>805990</v>
      </c>
      <c r="N27" s="128">
        <v>5784.75</v>
      </c>
      <c r="O27" s="168">
        <v>739440.37</v>
      </c>
      <c r="P27" s="1016" t="s">
        <v>5688</v>
      </c>
      <c r="Q27" s="171">
        <v>45951</v>
      </c>
      <c r="U27" s="128" t="s">
        <v>677</v>
      </c>
      <c r="V27" s="128">
        <v>20000</v>
      </c>
      <c r="W27" s="128" t="s">
        <v>5683</v>
      </c>
      <c r="X27" s="128">
        <v>95990</v>
      </c>
      <c r="Y27" s="128" t="s">
        <v>5528</v>
      </c>
      <c r="Z27" s="128">
        <v>140000</v>
      </c>
      <c r="AA27" s="128" t="s">
        <v>510</v>
      </c>
      <c r="AB27" s="128">
        <v>550000</v>
      </c>
      <c r="AC27" s="128" t="s">
        <v>908</v>
      </c>
      <c r="AH27" s="206">
        <f t="shared" si="4"/>
        <v>805990</v>
      </c>
      <c r="AK27" s="179">
        <f t="shared" si="3"/>
        <v>0</v>
      </c>
      <c r="AL27" s="128">
        <v>13199840213</v>
      </c>
      <c r="AM27" s="128" t="s">
        <v>4676</v>
      </c>
      <c r="AO27" s="128">
        <f t="shared" si="2"/>
        <v>805990</v>
      </c>
      <c r="AP27" s="169">
        <f>0.7%+0.03%+0.08%+0.03%</f>
        <v>0.0084</v>
      </c>
      <c r="AW27" s="128">
        <v>255990</v>
      </c>
      <c r="AX27" s="128">
        <v>550000</v>
      </c>
      <c r="BQ27" s="128" t="s">
        <v>376</v>
      </c>
      <c r="BS27" s="128" t="s">
        <v>377</v>
      </c>
    </row>
    <row r="28" s="128" customFormat="1" ht="41" customHeight="1" spans="1:71">
      <c r="A28" s="128">
        <v>5</v>
      </c>
      <c r="B28" s="128"/>
      <c r="C28" s="211">
        <v>45583</v>
      </c>
      <c r="D28" s="128">
        <v>20240006190</v>
      </c>
      <c r="F28" s="1016" t="s">
        <v>5689</v>
      </c>
      <c r="G28" s="177" t="s">
        <v>5690</v>
      </c>
      <c r="H28" s="177" t="s">
        <v>5691</v>
      </c>
      <c r="I28" s="215" t="s">
        <v>5692</v>
      </c>
      <c r="J28" s="213">
        <v>148.64</v>
      </c>
      <c r="K28" s="128">
        <v>148.64</v>
      </c>
      <c r="L28" s="128">
        <v>5824.48</v>
      </c>
      <c r="M28" s="128">
        <f>377751+488000</f>
        <v>865751</v>
      </c>
      <c r="N28" s="128">
        <v>5824.48</v>
      </c>
      <c r="O28" s="168">
        <v>794266.97</v>
      </c>
      <c r="P28" s="1016" t="s">
        <v>5693</v>
      </c>
      <c r="Q28" s="171">
        <v>45951</v>
      </c>
      <c r="S28" s="171"/>
      <c r="U28" s="128" t="s">
        <v>5694</v>
      </c>
      <c r="V28" s="128">
        <v>2000</v>
      </c>
      <c r="W28" s="171">
        <v>45560</v>
      </c>
      <c r="X28" s="128">
        <v>377751</v>
      </c>
      <c r="Y28" s="171" t="s">
        <v>889</v>
      </c>
      <c r="Z28" s="128">
        <v>488000</v>
      </c>
      <c r="AA28" s="128" t="s">
        <v>889</v>
      </c>
      <c r="AH28" s="206">
        <f t="shared" si="4"/>
        <v>867751</v>
      </c>
      <c r="AK28" s="179">
        <f t="shared" si="3"/>
        <v>-2000</v>
      </c>
      <c r="AL28" s="128">
        <v>16609961005</v>
      </c>
      <c r="AM28" s="128" t="s">
        <v>4676</v>
      </c>
      <c r="AO28" s="128">
        <f t="shared" si="2"/>
        <v>865751</v>
      </c>
      <c r="AP28" s="169">
        <f>0.7%+0.08%+0.03%</f>
        <v>0.0081</v>
      </c>
      <c r="AV28" s="128">
        <v>865751</v>
      </c>
      <c r="BQ28" s="128" t="s">
        <v>376</v>
      </c>
      <c r="BS28" s="128" t="s">
        <v>377</v>
      </c>
    </row>
    <row r="29" s="128" customFormat="1" ht="51" customHeight="1" spans="1:71">
      <c r="A29" s="128">
        <v>6</v>
      </c>
      <c r="C29" s="211">
        <v>45416</v>
      </c>
      <c r="D29" s="128">
        <v>20240002531</v>
      </c>
      <c r="F29" s="1016" t="s">
        <v>5695</v>
      </c>
      <c r="G29" s="177" t="s">
        <v>5696</v>
      </c>
      <c r="H29" s="1016" t="s">
        <v>5697</v>
      </c>
      <c r="I29" s="212" t="s">
        <v>5698</v>
      </c>
      <c r="J29" s="213">
        <v>139.33</v>
      </c>
      <c r="K29" s="128">
        <v>139.33</v>
      </c>
      <c r="L29" s="128">
        <v>5839.41</v>
      </c>
      <c r="M29" s="128">
        <v>813605</v>
      </c>
      <c r="N29" s="128">
        <v>5839.41</v>
      </c>
      <c r="O29" s="168">
        <v>746426.61</v>
      </c>
      <c r="P29" s="1016" t="s">
        <v>5699</v>
      </c>
      <c r="Q29" s="171">
        <v>45951</v>
      </c>
      <c r="T29" s="1016" t="s">
        <v>5618</v>
      </c>
      <c r="U29" s="128" t="s">
        <v>400</v>
      </c>
      <c r="V29" s="128"/>
      <c r="W29" s="128"/>
      <c r="X29" s="128">
        <v>20000</v>
      </c>
      <c r="Y29" s="128" t="s">
        <v>4316</v>
      </c>
      <c r="Z29" s="128">
        <v>224605</v>
      </c>
      <c r="AA29" s="128" t="s">
        <v>1082</v>
      </c>
      <c r="AB29" s="128">
        <v>569000</v>
      </c>
      <c r="AC29" s="128" t="s">
        <v>696</v>
      </c>
      <c r="AH29" s="206">
        <f t="shared" si="4"/>
        <v>813605</v>
      </c>
      <c r="AK29" s="179">
        <f t="shared" si="3"/>
        <v>0</v>
      </c>
      <c r="AL29" s="128">
        <v>18909968952</v>
      </c>
      <c r="AO29" s="128">
        <f t="shared" si="2"/>
        <v>813605</v>
      </c>
      <c r="AP29" s="169">
        <f>0.7%+0.03%+0.12%</f>
        <v>0.0085</v>
      </c>
      <c r="AT29" s="128">
        <v>813605</v>
      </c>
      <c r="BQ29" s="128" t="s">
        <v>2825</v>
      </c>
      <c r="BS29" s="128" t="s">
        <v>377</v>
      </c>
    </row>
    <row r="30" s="128" customFormat="1" customHeight="1" spans="1:71">
      <c r="A30" s="128">
        <v>7</v>
      </c>
      <c r="B30" s="128"/>
      <c r="C30" s="211">
        <v>45566</v>
      </c>
      <c r="D30" s="128">
        <v>20240005546</v>
      </c>
      <c r="F30" s="1016" t="s">
        <v>5700</v>
      </c>
      <c r="G30" s="128" t="s">
        <v>5701</v>
      </c>
      <c r="I30" s="215" t="s">
        <v>5702</v>
      </c>
      <c r="J30" s="213">
        <v>148.64</v>
      </c>
      <c r="K30" s="128">
        <v>148.64</v>
      </c>
      <c r="L30" s="128">
        <v>5657.21</v>
      </c>
      <c r="M30" s="128">
        <v>840888</v>
      </c>
      <c r="N30" s="128">
        <v>5657.21</v>
      </c>
      <c r="O30" s="168">
        <v>771456.88</v>
      </c>
      <c r="P30" s="1016" t="s">
        <v>5703</v>
      </c>
      <c r="Q30" s="171">
        <v>45951</v>
      </c>
      <c r="S30" s="171"/>
      <c r="U30" s="128" t="s">
        <v>486</v>
      </c>
      <c r="V30" s="128">
        <v>20000</v>
      </c>
      <c r="W30" s="171">
        <v>45551</v>
      </c>
      <c r="X30" s="128">
        <v>190888</v>
      </c>
      <c r="Y30" s="171" t="s">
        <v>374</v>
      </c>
      <c r="Z30" s="128">
        <v>630000</v>
      </c>
      <c r="AA30" s="171" t="s">
        <v>525</v>
      </c>
      <c r="AH30" s="206">
        <f t="shared" si="4"/>
        <v>840888</v>
      </c>
      <c r="AK30" s="179">
        <f t="shared" si="3"/>
        <v>0</v>
      </c>
      <c r="AL30" s="128">
        <v>18699610532</v>
      </c>
      <c r="AO30" s="128">
        <f t="shared" si="2"/>
        <v>840888</v>
      </c>
      <c r="AP30" s="169">
        <f>0.5%+0.04%+0.1%</f>
        <v>0.0064</v>
      </c>
      <c r="AV30" s="128">
        <v>210888</v>
      </c>
      <c r="AX30" s="128">
        <v>630000</v>
      </c>
      <c r="BQ30" s="128" t="s">
        <v>376</v>
      </c>
      <c r="BS30" s="128" t="s">
        <v>377</v>
      </c>
    </row>
    <row r="31" s="128" customFormat="1" customHeight="1" spans="1:71">
      <c r="A31" s="128">
        <v>8</v>
      </c>
      <c r="C31" s="211">
        <v>45472</v>
      </c>
      <c r="D31" s="128">
        <v>20240003715</v>
      </c>
      <c r="F31" s="1016" t="s">
        <v>5704</v>
      </c>
      <c r="G31" s="128" t="s">
        <v>5705</v>
      </c>
      <c r="H31" s="1016" t="s">
        <v>5706</v>
      </c>
      <c r="I31" s="212" t="s">
        <v>5707</v>
      </c>
      <c r="J31" s="213">
        <v>139.33</v>
      </c>
      <c r="K31" s="128">
        <v>139.33</v>
      </c>
      <c r="L31" s="128">
        <v>5600</v>
      </c>
      <c r="M31" s="128">
        <v>780248</v>
      </c>
      <c r="N31" s="128">
        <v>5600</v>
      </c>
      <c r="O31" s="168">
        <v>715823.85</v>
      </c>
      <c r="P31" s="1016" t="s">
        <v>5708</v>
      </c>
      <c r="Q31" s="171">
        <v>45951</v>
      </c>
      <c r="U31" s="128" t="s">
        <v>410</v>
      </c>
      <c r="V31" s="128">
        <v>20000</v>
      </c>
      <c r="W31" s="128" t="s">
        <v>5210</v>
      </c>
      <c r="X31" s="128">
        <v>10000</v>
      </c>
      <c r="Y31" s="128" t="s">
        <v>5184</v>
      </c>
      <c r="Z31" s="128">
        <v>126248</v>
      </c>
      <c r="AA31" s="128" t="s">
        <v>472</v>
      </c>
      <c r="AB31" s="128">
        <v>624000</v>
      </c>
      <c r="AC31" s="128" t="s">
        <v>5709</v>
      </c>
      <c r="AH31" s="206">
        <f t="shared" si="4"/>
        <v>780248</v>
      </c>
      <c r="AK31" s="179">
        <f t="shared" si="3"/>
        <v>0</v>
      </c>
      <c r="AL31" s="128">
        <v>17641032589</v>
      </c>
      <c r="AM31" s="128" t="s">
        <v>3956</v>
      </c>
      <c r="AO31" s="128">
        <f t="shared" si="2"/>
        <v>780248</v>
      </c>
      <c r="AP31" s="173">
        <f>0.7%+0.08%</f>
        <v>0.0078</v>
      </c>
      <c r="AS31" s="128">
        <v>156248</v>
      </c>
      <c r="AT31" s="128">
        <v>624000</v>
      </c>
      <c r="BQ31" s="128" t="s">
        <v>376</v>
      </c>
      <c r="BR31" s="128" t="s">
        <v>387</v>
      </c>
      <c r="BS31" s="128" t="s">
        <v>377</v>
      </c>
    </row>
    <row r="32" s="128" customFormat="1" customHeight="1" spans="1:71">
      <c r="A32" s="128">
        <v>9</v>
      </c>
      <c r="C32" s="211">
        <v>45416</v>
      </c>
      <c r="D32" s="128">
        <v>20240002559</v>
      </c>
      <c r="F32" s="1016" t="s">
        <v>5710</v>
      </c>
      <c r="G32" s="128" t="s">
        <v>5654</v>
      </c>
      <c r="H32" s="1016" t="s">
        <v>5711</v>
      </c>
      <c r="I32" s="215" t="s">
        <v>5712</v>
      </c>
      <c r="J32" s="213">
        <v>148.64</v>
      </c>
      <c r="K32" s="128">
        <v>148.64</v>
      </c>
      <c r="L32" s="128">
        <v>5897.806</v>
      </c>
      <c r="M32" s="128">
        <v>876650</v>
      </c>
      <c r="N32" s="128">
        <v>5897.806</v>
      </c>
      <c r="O32" s="168">
        <v>804266.06</v>
      </c>
      <c r="P32" s="1016" t="s">
        <v>5713</v>
      </c>
      <c r="Q32" s="171">
        <v>45951</v>
      </c>
      <c r="U32" s="128" t="s">
        <v>772</v>
      </c>
      <c r="V32" s="128">
        <v>20000</v>
      </c>
      <c r="W32" s="128" t="s">
        <v>4493</v>
      </c>
      <c r="X32" s="128">
        <v>121650</v>
      </c>
      <c r="Y32" s="128" t="s">
        <v>826</v>
      </c>
      <c r="Z32" s="128">
        <v>145000</v>
      </c>
      <c r="AA32" s="128" t="s">
        <v>405</v>
      </c>
      <c r="AB32" s="128">
        <v>590000</v>
      </c>
      <c r="AC32" s="128" t="s">
        <v>1166</v>
      </c>
      <c r="AH32" s="206">
        <f t="shared" si="4"/>
        <v>876650</v>
      </c>
      <c r="AK32" s="179">
        <f t="shared" ref="AK32:AK49" si="5">M32-AH32</f>
        <v>0</v>
      </c>
      <c r="AL32" s="128">
        <v>19199200131</v>
      </c>
      <c r="AO32" s="128">
        <f t="shared" si="2"/>
        <v>876650</v>
      </c>
      <c r="AP32" s="169">
        <f>0.7%+0.02%+0.12%</f>
        <v>0.0084</v>
      </c>
      <c r="AS32" s="128">
        <v>286650</v>
      </c>
      <c r="AT32" s="128">
        <v>590000</v>
      </c>
      <c r="BQ32" s="128" t="s">
        <v>376</v>
      </c>
      <c r="BS32" s="128" t="s">
        <v>377</v>
      </c>
    </row>
    <row r="33" s="128" customFormat="1" customHeight="1" spans="1:71">
      <c r="A33" s="128">
        <v>10</v>
      </c>
      <c r="C33" s="211">
        <v>45472</v>
      </c>
      <c r="D33" s="128">
        <v>20240003716</v>
      </c>
      <c r="F33" s="1016" t="s">
        <v>5714</v>
      </c>
      <c r="G33" s="177" t="s">
        <v>5715</v>
      </c>
      <c r="H33" s="1016" t="s">
        <v>5716</v>
      </c>
      <c r="I33" s="212" t="s">
        <v>5717</v>
      </c>
      <c r="J33" s="213">
        <v>139.33</v>
      </c>
      <c r="K33" s="128">
        <v>139.33</v>
      </c>
      <c r="L33" s="128">
        <v>5946.36</v>
      </c>
      <c r="M33" s="128">
        <v>828507</v>
      </c>
      <c r="N33" s="128">
        <v>5946.36</v>
      </c>
      <c r="O33" s="168">
        <v>760098.17</v>
      </c>
      <c r="P33" s="1016" t="s">
        <v>5718</v>
      </c>
      <c r="Q33" s="171">
        <v>45951</v>
      </c>
      <c r="T33" s="177"/>
      <c r="U33" s="177" t="s">
        <v>410</v>
      </c>
      <c r="V33" s="128">
        <v>20000</v>
      </c>
      <c r="W33" s="128" t="s">
        <v>863</v>
      </c>
      <c r="X33" s="128">
        <v>33507</v>
      </c>
      <c r="Y33" s="128" t="s">
        <v>5184</v>
      </c>
      <c r="Z33" s="128">
        <v>70000</v>
      </c>
      <c r="AA33" s="128" t="s">
        <v>472</v>
      </c>
      <c r="AB33" s="128">
        <v>185000</v>
      </c>
      <c r="AC33" s="128" t="s">
        <v>5719</v>
      </c>
      <c r="AD33" s="128">
        <v>520000</v>
      </c>
      <c r="AE33" s="128" t="s">
        <v>5514</v>
      </c>
      <c r="AH33" s="206">
        <f t="shared" si="4"/>
        <v>828507</v>
      </c>
      <c r="AK33" s="179">
        <f t="shared" si="5"/>
        <v>0</v>
      </c>
      <c r="AL33" s="128">
        <v>13999021450</v>
      </c>
      <c r="AO33" s="128">
        <f t="shared" si="2"/>
        <v>828507</v>
      </c>
      <c r="AP33" s="169">
        <f>0.7%+0.08%</f>
        <v>0.0078</v>
      </c>
      <c r="AS33" s="128">
        <v>308507</v>
      </c>
      <c r="AT33" s="128">
        <v>520000</v>
      </c>
      <c r="BQ33" s="128" t="s">
        <v>376</v>
      </c>
      <c r="BR33" s="128" t="s">
        <v>387</v>
      </c>
      <c r="BS33" s="128" t="s">
        <v>377</v>
      </c>
    </row>
    <row r="34" s="128" customFormat="1" customHeight="1" spans="1:71">
      <c r="A34" s="128">
        <v>11</v>
      </c>
      <c r="C34" s="211">
        <v>45605</v>
      </c>
      <c r="D34" s="128">
        <v>20240006521</v>
      </c>
      <c r="F34" s="1016" t="s">
        <v>5720</v>
      </c>
      <c r="G34" s="128" t="s">
        <v>5721</v>
      </c>
      <c r="I34" s="215" t="s">
        <v>5722</v>
      </c>
      <c r="J34" s="213">
        <v>148.64</v>
      </c>
      <c r="K34" s="128">
        <v>148.64</v>
      </c>
      <c r="L34" s="128">
        <v>5965.8</v>
      </c>
      <c r="M34" s="128">
        <v>886756</v>
      </c>
      <c r="N34" s="128">
        <v>5965.795</v>
      </c>
      <c r="O34" s="168">
        <v>813537.61</v>
      </c>
      <c r="P34" s="1016" t="s">
        <v>5723</v>
      </c>
      <c r="Q34" s="171">
        <v>45951</v>
      </c>
      <c r="U34" s="128" t="s">
        <v>486</v>
      </c>
      <c r="V34" s="128">
        <v>5000</v>
      </c>
      <c r="W34" s="128" t="s">
        <v>599</v>
      </c>
      <c r="X34" s="128">
        <v>15000</v>
      </c>
      <c r="Y34" s="128" t="s">
        <v>1319</v>
      </c>
      <c r="Z34" s="128">
        <v>166756</v>
      </c>
      <c r="AA34" s="128" t="s">
        <v>5724</v>
      </c>
      <c r="AB34" s="128">
        <v>700000</v>
      </c>
      <c r="AC34" s="128" t="s">
        <v>966</v>
      </c>
      <c r="AH34" s="206">
        <f t="shared" si="4"/>
        <v>886756</v>
      </c>
      <c r="AK34" s="179">
        <f t="shared" si="5"/>
        <v>0</v>
      </c>
      <c r="AL34" s="128">
        <v>19990288970</v>
      </c>
      <c r="AM34" s="128" t="s">
        <v>4659</v>
      </c>
      <c r="AO34" s="128">
        <f t="shared" si="2"/>
        <v>886756</v>
      </c>
      <c r="AP34" s="178">
        <f>0.7%+0.02%+0.08%</f>
        <v>0.008</v>
      </c>
      <c r="AW34" s="128">
        <v>186756</v>
      </c>
      <c r="AX34" s="128">
        <v>700000</v>
      </c>
      <c r="BQ34" s="128" t="s">
        <v>376</v>
      </c>
      <c r="BS34" s="128" t="s">
        <v>377</v>
      </c>
    </row>
    <row r="35" s="128" customFormat="1" customHeight="1" spans="1:71">
      <c r="A35" s="128">
        <v>12</v>
      </c>
      <c r="C35" s="211">
        <v>45416</v>
      </c>
      <c r="D35" s="128">
        <v>20240002527</v>
      </c>
      <c r="F35" s="1016" t="s">
        <v>5725</v>
      </c>
      <c r="G35" s="177" t="s">
        <v>5726</v>
      </c>
      <c r="H35" s="1016" t="s">
        <v>5727</v>
      </c>
      <c r="I35" s="212" t="s">
        <v>5728</v>
      </c>
      <c r="J35" s="213">
        <v>139.33</v>
      </c>
      <c r="K35" s="128">
        <v>139.33</v>
      </c>
      <c r="L35" s="128">
        <f>M35/K35</f>
        <v>5978.61192851504</v>
      </c>
      <c r="M35" s="128">
        <v>833000</v>
      </c>
      <c r="N35" s="128">
        <v>5978.61</v>
      </c>
      <c r="O35" s="168">
        <v>764220.18</v>
      </c>
      <c r="P35" s="177" t="s">
        <v>5729</v>
      </c>
      <c r="Q35" s="171">
        <v>45951</v>
      </c>
      <c r="T35" s="177"/>
      <c r="U35" s="177" t="s">
        <v>772</v>
      </c>
      <c r="V35" s="128">
        <v>20000</v>
      </c>
      <c r="W35" s="128" t="s">
        <v>785</v>
      </c>
      <c r="X35" s="128">
        <v>233000</v>
      </c>
      <c r="Y35" s="128" t="s">
        <v>826</v>
      </c>
      <c r="Z35" s="128">
        <v>580000</v>
      </c>
      <c r="AA35" s="128" t="s">
        <v>822</v>
      </c>
      <c r="AH35" s="206">
        <f t="shared" si="4"/>
        <v>833000</v>
      </c>
      <c r="AK35" s="179">
        <f t="shared" si="5"/>
        <v>0</v>
      </c>
      <c r="AL35" s="128">
        <v>15299350690</v>
      </c>
      <c r="AO35" s="128">
        <f t="shared" si="2"/>
        <v>833000</v>
      </c>
      <c r="AP35" s="169">
        <f>0.7%+0.02%+0.12%</f>
        <v>0.0084</v>
      </c>
      <c r="AQ35" s="128">
        <v>253000</v>
      </c>
      <c r="AR35" s="128">
        <v>580000</v>
      </c>
      <c r="BQ35" s="128" t="s">
        <v>376</v>
      </c>
      <c r="BR35" s="128" t="s">
        <v>387</v>
      </c>
      <c r="BS35" s="128" t="s">
        <v>377</v>
      </c>
    </row>
    <row r="36" s="128" customFormat="1" customHeight="1" spans="1:71">
      <c r="A36" s="128">
        <v>13</v>
      </c>
      <c r="C36" s="211">
        <v>45493</v>
      </c>
      <c r="D36" s="128">
        <v>20240004168</v>
      </c>
      <c r="F36" s="1016" t="s">
        <v>5730</v>
      </c>
      <c r="G36" s="128" t="s">
        <v>5731</v>
      </c>
      <c r="I36" s="215" t="s">
        <v>5732</v>
      </c>
      <c r="J36" s="213">
        <v>148.64</v>
      </c>
      <c r="K36" s="128">
        <v>148.64</v>
      </c>
      <c r="L36" s="128">
        <f>M36/K36</f>
        <v>5948.08261571582</v>
      </c>
      <c r="M36" s="128">
        <v>884123</v>
      </c>
      <c r="N36" s="128">
        <v>5948.08</v>
      </c>
      <c r="O36" s="168">
        <v>811122.02</v>
      </c>
      <c r="P36" s="1016" t="s">
        <v>5733</v>
      </c>
      <c r="Q36" s="171">
        <v>45951</v>
      </c>
      <c r="S36" s="171"/>
      <c r="U36" s="128" t="s">
        <v>400</v>
      </c>
      <c r="V36" s="128">
        <v>169123</v>
      </c>
      <c r="W36" s="128" t="s">
        <v>4481</v>
      </c>
      <c r="X36" s="128">
        <v>65000</v>
      </c>
      <c r="Y36" s="128" t="s">
        <v>3392</v>
      </c>
      <c r="Z36" s="128">
        <v>650000</v>
      </c>
      <c r="AA36" s="171">
        <v>45537</v>
      </c>
      <c r="AH36" s="206">
        <f t="shared" si="4"/>
        <v>884123</v>
      </c>
      <c r="AK36" s="179">
        <f t="shared" si="5"/>
        <v>0</v>
      </c>
      <c r="AL36" s="128">
        <v>18742865669</v>
      </c>
      <c r="AM36" s="128" t="s">
        <v>4659</v>
      </c>
      <c r="AO36" s="128">
        <f t="shared" ref="AO36:AO73" si="6">SUM(AQ36:BK36)</f>
        <v>884123</v>
      </c>
      <c r="AP36" s="178">
        <f>0.7%+0.03%+0.08%</f>
        <v>0.0081</v>
      </c>
      <c r="AT36" s="128">
        <v>234123</v>
      </c>
      <c r="AU36" s="128">
        <v>650000</v>
      </c>
      <c r="BQ36" s="128" t="s">
        <v>376</v>
      </c>
      <c r="BS36" s="128" t="s">
        <v>377</v>
      </c>
    </row>
    <row r="37" s="128" customFormat="1" ht="33" customHeight="1" spans="1:71">
      <c r="A37" s="128">
        <v>14</v>
      </c>
      <c r="C37" s="211">
        <v>45566</v>
      </c>
      <c r="D37" s="128">
        <v>20240005557</v>
      </c>
      <c r="F37" s="1016" t="s">
        <v>5734</v>
      </c>
      <c r="G37" s="177" t="s">
        <v>5735</v>
      </c>
      <c r="I37" s="216" t="s">
        <v>5736</v>
      </c>
      <c r="J37" s="213">
        <v>139.33</v>
      </c>
      <c r="K37" s="128">
        <v>139.33</v>
      </c>
      <c r="L37" s="128">
        <v>5892.34</v>
      </c>
      <c r="M37" s="128">
        <v>820980</v>
      </c>
      <c r="N37" s="128">
        <v>6000</v>
      </c>
      <c r="O37" s="168">
        <v>753192.66</v>
      </c>
      <c r="P37" s="1016" t="s">
        <v>5737</v>
      </c>
      <c r="Q37" s="171">
        <v>45951</v>
      </c>
      <c r="U37" s="177" t="s">
        <v>2278</v>
      </c>
      <c r="V37" s="128">
        <v>20000</v>
      </c>
      <c r="W37" s="128" t="s">
        <v>405</v>
      </c>
      <c r="X37" s="128">
        <f>180000+980</f>
        <v>180980</v>
      </c>
      <c r="Y37" s="128" t="s">
        <v>374</v>
      </c>
      <c r="Z37" s="128">
        <v>620000</v>
      </c>
      <c r="AA37" s="128" t="s">
        <v>509</v>
      </c>
      <c r="AH37" s="206">
        <f t="shared" si="4"/>
        <v>820980</v>
      </c>
      <c r="AK37" s="179">
        <f t="shared" si="5"/>
        <v>0</v>
      </c>
      <c r="AL37" s="128">
        <v>15684853588</v>
      </c>
      <c r="AM37" s="128" t="s">
        <v>5738</v>
      </c>
      <c r="AO37" s="128">
        <f t="shared" si="6"/>
        <v>820980</v>
      </c>
      <c r="AP37" s="178">
        <f>0.4%+0.03%+0.08%</f>
        <v>0.0051</v>
      </c>
      <c r="AW37" s="128">
        <v>820980</v>
      </c>
      <c r="BQ37" s="128" t="s">
        <v>376</v>
      </c>
      <c r="BS37" s="128" t="s">
        <v>377</v>
      </c>
    </row>
    <row r="38" s="128" customFormat="1" customHeight="1" spans="1:71">
      <c r="A38" s="128">
        <v>15</v>
      </c>
      <c r="B38" s="128"/>
      <c r="C38" s="211">
        <v>45591</v>
      </c>
      <c r="D38" s="128">
        <v>20240005654</v>
      </c>
      <c r="F38" s="1016" t="s">
        <v>5739</v>
      </c>
      <c r="G38" s="128" t="s">
        <v>5740</v>
      </c>
      <c r="H38" s="1016" t="s">
        <v>5741</v>
      </c>
      <c r="I38" s="212" t="s">
        <v>5742</v>
      </c>
      <c r="J38" s="213">
        <v>148.64</v>
      </c>
      <c r="K38" s="128">
        <v>148.64</v>
      </c>
      <c r="L38" s="128">
        <v>5853.07</v>
      </c>
      <c r="M38" s="128">
        <v>870000</v>
      </c>
      <c r="N38" s="128">
        <v>5853.07</v>
      </c>
      <c r="O38" s="168">
        <v>798165.14</v>
      </c>
      <c r="P38" s="1016" t="s">
        <v>5743</v>
      </c>
      <c r="Q38" s="171">
        <v>45951</v>
      </c>
      <c r="U38" s="128" t="s">
        <v>662</v>
      </c>
      <c r="V38" s="128">
        <v>20000</v>
      </c>
      <c r="W38" s="128" t="s">
        <v>779</v>
      </c>
      <c r="X38" s="128">
        <v>850000</v>
      </c>
      <c r="Y38" s="128" t="s">
        <v>841</v>
      </c>
      <c r="AH38" s="206">
        <f t="shared" si="4"/>
        <v>870000</v>
      </c>
      <c r="AK38" s="179">
        <f t="shared" si="5"/>
        <v>0</v>
      </c>
      <c r="AL38" s="128">
        <v>17337600520</v>
      </c>
      <c r="AO38" s="128">
        <f t="shared" si="6"/>
        <v>870000</v>
      </c>
      <c r="AP38" s="169">
        <f>0.6%+0.1%</f>
        <v>0.007</v>
      </c>
      <c r="AV38" s="128">
        <v>870000</v>
      </c>
      <c r="BQ38" s="128" t="s">
        <v>376</v>
      </c>
      <c r="BS38" s="128" t="s">
        <v>377</v>
      </c>
    </row>
    <row r="39" s="128" customFormat="1" customHeight="1" spans="1:71">
      <c r="A39" s="128">
        <v>16</v>
      </c>
      <c r="C39" s="211">
        <v>45493</v>
      </c>
      <c r="D39" s="128">
        <v>20240004164</v>
      </c>
      <c r="F39" s="1016" t="s">
        <v>5744</v>
      </c>
      <c r="G39" s="128" t="s">
        <v>5745</v>
      </c>
      <c r="H39" s="1016" t="s">
        <v>5746</v>
      </c>
      <c r="I39" s="212" t="s">
        <v>5747</v>
      </c>
      <c r="J39" s="213">
        <v>139.33</v>
      </c>
      <c r="K39" s="128">
        <v>139.33</v>
      </c>
      <c r="L39" s="128">
        <v>6091.36</v>
      </c>
      <c r="M39" s="128">
        <v>848710</v>
      </c>
      <c r="N39" s="128">
        <v>6091.36</v>
      </c>
      <c r="O39" s="168">
        <v>778633.03</v>
      </c>
      <c r="P39" s="1016" t="s">
        <v>5748</v>
      </c>
      <c r="Q39" s="171">
        <v>45951</v>
      </c>
      <c r="T39" s="1016" t="s">
        <v>5749</v>
      </c>
      <c r="U39" s="128" t="s">
        <v>2278</v>
      </c>
      <c r="V39" s="128">
        <v>2000</v>
      </c>
      <c r="W39" s="128" t="s">
        <v>3806</v>
      </c>
      <c r="X39" s="128">
        <v>8000</v>
      </c>
      <c r="Y39" s="128" t="s">
        <v>3862</v>
      </c>
      <c r="Z39" s="128">
        <v>96710</v>
      </c>
      <c r="AA39" s="128" t="s">
        <v>4481</v>
      </c>
      <c r="AB39" s="128">
        <v>64000</v>
      </c>
      <c r="AC39" s="128" t="s">
        <v>1236</v>
      </c>
      <c r="AD39" s="128">
        <v>678000</v>
      </c>
      <c r="AE39" s="128" t="s">
        <v>487</v>
      </c>
      <c r="AH39" s="206">
        <f t="shared" si="4"/>
        <v>848710</v>
      </c>
      <c r="AK39" s="179">
        <f t="shared" si="5"/>
        <v>0</v>
      </c>
      <c r="AL39" s="128">
        <v>18893377659</v>
      </c>
      <c r="AO39" s="128">
        <f t="shared" si="6"/>
        <v>848710</v>
      </c>
      <c r="AP39" s="169">
        <f>0.5%+0.02%+0.08%</f>
        <v>0.006</v>
      </c>
      <c r="AT39" s="128">
        <v>170710</v>
      </c>
      <c r="AV39" s="128">
        <v>678000</v>
      </c>
      <c r="BQ39" s="128" t="s">
        <v>376</v>
      </c>
      <c r="BS39" s="128" t="s">
        <v>377</v>
      </c>
    </row>
    <row r="40" s="128" customFormat="1" customHeight="1" spans="1:71">
      <c r="A40" s="128">
        <v>17</v>
      </c>
      <c r="C40" s="211">
        <v>45540</v>
      </c>
      <c r="D40" s="128">
        <v>20240005098</v>
      </c>
      <c r="F40" s="1016" t="s">
        <v>5750</v>
      </c>
      <c r="G40" s="128" t="s">
        <v>5751</v>
      </c>
      <c r="H40" s="1016" t="s">
        <v>5752</v>
      </c>
      <c r="I40" s="215" t="s">
        <v>5753</v>
      </c>
      <c r="J40" s="213">
        <v>148.64</v>
      </c>
      <c r="K40" s="128">
        <v>148.64</v>
      </c>
      <c r="L40" s="128">
        <f>M40/K40</f>
        <v>5920.34445640474</v>
      </c>
      <c r="M40" s="128">
        <v>880000</v>
      </c>
      <c r="N40" s="128">
        <v>5920.345</v>
      </c>
      <c r="O40" s="168">
        <v>807339.45</v>
      </c>
      <c r="P40" s="1016" t="s">
        <v>5754</v>
      </c>
      <c r="Q40" s="171">
        <v>45951</v>
      </c>
      <c r="S40" s="171"/>
      <c r="U40" s="128" t="s">
        <v>2278</v>
      </c>
      <c r="V40" s="128">
        <v>20000</v>
      </c>
      <c r="W40" s="128" t="s">
        <v>872</v>
      </c>
      <c r="X40" s="128">
        <v>178000</v>
      </c>
      <c r="Y40" s="171">
        <v>45540</v>
      </c>
      <c r="Z40" s="128">
        <v>682000</v>
      </c>
      <c r="AA40" s="171" t="s">
        <v>487</v>
      </c>
      <c r="AH40" s="206">
        <f t="shared" si="4"/>
        <v>880000</v>
      </c>
      <c r="AK40" s="179">
        <f t="shared" si="5"/>
        <v>0</v>
      </c>
      <c r="AL40" s="128">
        <v>13119023002</v>
      </c>
      <c r="AM40" s="128" t="s">
        <v>5755</v>
      </c>
      <c r="AO40" s="128">
        <f t="shared" si="6"/>
        <v>880000</v>
      </c>
      <c r="AP40" s="128">
        <f>0.4%+0.02%+0.08%</f>
        <v>0.005</v>
      </c>
      <c r="AU40" s="128">
        <v>198000</v>
      </c>
      <c r="AV40" s="128">
        <v>682000</v>
      </c>
      <c r="BQ40" s="128" t="s">
        <v>376</v>
      </c>
      <c r="BS40" s="128" t="s">
        <v>377</v>
      </c>
    </row>
    <row r="41" s="128" customFormat="1" customHeight="1" spans="1:71">
      <c r="A41" s="128">
        <v>18</v>
      </c>
      <c r="C41" s="211">
        <v>45428</v>
      </c>
      <c r="D41" s="128">
        <v>20240002913</v>
      </c>
      <c r="F41" s="1016" t="s">
        <v>5756</v>
      </c>
      <c r="G41" s="128" t="s">
        <v>5643</v>
      </c>
      <c r="H41" s="1016" t="s">
        <v>5757</v>
      </c>
      <c r="I41" s="212" t="s">
        <v>5758</v>
      </c>
      <c r="J41" s="213">
        <v>139.33</v>
      </c>
      <c r="K41" s="128">
        <v>139.33</v>
      </c>
      <c r="L41" s="128">
        <v>6120.28</v>
      </c>
      <c r="M41" s="128">
        <v>852739</v>
      </c>
      <c r="N41" s="128">
        <v>6120.28</v>
      </c>
      <c r="O41" s="168">
        <v>782329.36</v>
      </c>
      <c r="P41" s="1016" t="s">
        <v>5759</v>
      </c>
      <c r="Q41" s="171">
        <v>45951</v>
      </c>
      <c r="S41" s="171"/>
      <c r="T41" s="1016" t="s">
        <v>5760</v>
      </c>
      <c r="U41" s="128" t="s">
        <v>400</v>
      </c>
      <c r="V41" s="128">
        <v>2000</v>
      </c>
      <c r="W41" s="128" t="s">
        <v>4224</v>
      </c>
      <c r="X41" s="128">
        <v>18000</v>
      </c>
      <c r="Y41" s="128" t="s">
        <v>4316</v>
      </c>
      <c r="Z41" s="128">
        <f>2739+120000</f>
        <v>122739</v>
      </c>
      <c r="AA41" s="171">
        <v>45428</v>
      </c>
      <c r="AB41" s="128">
        <v>510000</v>
      </c>
      <c r="AC41" s="171" t="s">
        <v>3919</v>
      </c>
      <c r="AD41" s="128">
        <v>200000</v>
      </c>
      <c r="AE41" s="171" t="s">
        <v>883</v>
      </c>
      <c r="AH41" s="206">
        <f t="shared" si="4"/>
        <v>852739</v>
      </c>
      <c r="AK41" s="179">
        <f t="shared" si="5"/>
        <v>0</v>
      </c>
      <c r="AL41" s="128">
        <v>17699690006</v>
      </c>
      <c r="AO41" s="128">
        <f t="shared" si="6"/>
        <v>852739</v>
      </c>
      <c r="AP41" s="169">
        <f>0.7%+0.03%+0.12%</f>
        <v>0.0085</v>
      </c>
      <c r="AR41" s="128">
        <v>652739</v>
      </c>
      <c r="AS41" s="128">
        <v>200000</v>
      </c>
      <c r="BQ41" s="128" t="s">
        <v>376</v>
      </c>
      <c r="BR41" s="128" t="s">
        <v>387</v>
      </c>
      <c r="BS41" s="128" t="s">
        <v>377</v>
      </c>
    </row>
    <row r="42" s="128" customFormat="1" customHeight="1" spans="1:71">
      <c r="A42" s="128">
        <v>19</v>
      </c>
      <c r="B42" s="128"/>
      <c r="C42" s="211">
        <v>45569</v>
      </c>
      <c r="D42" s="128">
        <v>20240005780</v>
      </c>
      <c r="F42" s="1016" t="s">
        <v>5761</v>
      </c>
      <c r="G42" s="128" t="s">
        <v>5762</v>
      </c>
      <c r="H42" s="1016" t="s">
        <v>5763</v>
      </c>
      <c r="I42" s="215" t="s">
        <v>5764</v>
      </c>
      <c r="J42" s="213">
        <v>148.64</v>
      </c>
      <c r="K42" s="128">
        <v>148.64</v>
      </c>
      <c r="L42" s="128">
        <v>5747.09</v>
      </c>
      <c r="M42" s="128">
        <v>854247</v>
      </c>
      <c r="N42" s="128">
        <v>6127.09</v>
      </c>
      <c r="O42" s="168">
        <v>783712.84</v>
      </c>
      <c r="P42" s="1016" t="s">
        <v>5765</v>
      </c>
      <c r="Q42" s="171">
        <v>45951</v>
      </c>
      <c r="S42" s="171"/>
      <c r="U42" s="128" t="s">
        <v>840</v>
      </c>
      <c r="V42" s="128">
        <v>20000</v>
      </c>
      <c r="W42" s="171">
        <v>45543</v>
      </c>
      <c r="X42" s="128">
        <v>334247</v>
      </c>
      <c r="Y42" s="171" t="s">
        <v>613</v>
      </c>
      <c r="Z42" s="128">
        <v>500000</v>
      </c>
      <c r="AA42" s="171" t="s">
        <v>5766</v>
      </c>
      <c r="AH42" s="206">
        <f t="shared" ref="AH42:AH89" si="7">V42+X42+Z42+AB42+AD42+AF42</f>
        <v>854247</v>
      </c>
      <c r="AK42" s="179">
        <f t="shared" si="5"/>
        <v>0</v>
      </c>
      <c r="AL42" s="128">
        <v>18999002531</v>
      </c>
      <c r="AM42" s="128" t="s">
        <v>3579</v>
      </c>
      <c r="AO42" s="128">
        <f t="shared" si="6"/>
        <v>854247</v>
      </c>
      <c r="AP42" s="169">
        <f>0.5%+0.1%</f>
        <v>0.006</v>
      </c>
      <c r="AV42" s="128">
        <v>354247</v>
      </c>
      <c r="AW42" s="128">
        <v>500000</v>
      </c>
      <c r="BQ42" s="128" t="s">
        <v>376</v>
      </c>
      <c r="BS42" s="128" t="s">
        <v>377</v>
      </c>
    </row>
    <row r="43" s="128" customFormat="1" customHeight="1" spans="1:71">
      <c r="A43" s="128">
        <v>20</v>
      </c>
      <c r="C43" s="211">
        <v>45477</v>
      </c>
      <c r="D43" s="128">
        <v>20240003839</v>
      </c>
      <c r="F43" s="1016" t="s">
        <v>5767</v>
      </c>
      <c r="G43" s="177" t="s">
        <v>5768</v>
      </c>
      <c r="H43" s="1016" t="s">
        <v>5769</v>
      </c>
      <c r="I43" s="212" t="s">
        <v>5770</v>
      </c>
      <c r="J43" s="213">
        <v>139.33</v>
      </c>
      <c r="K43" s="128">
        <v>139.33</v>
      </c>
      <c r="L43" s="128">
        <f>M43/K43</f>
        <v>6142.02253642432</v>
      </c>
      <c r="M43" s="128">
        <v>855768</v>
      </c>
      <c r="N43" s="128">
        <v>6142.02</v>
      </c>
      <c r="O43" s="168">
        <v>785108.26</v>
      </c>
      <c r="P43" s="1016" t="s">
        <v>5771</v>
      </c>
      <c r="Q43" s="171">
        <v>45951</v>
      </c>
      <c r="T43" s="1016" t="s">
        <v>4964</v>
      </c>
      <c r="U43" s="177" t="s">
        <v>662</v>
      </c>
      <c r="V43" s="128"/>
      <c r="W43" s="128"/>
      <c r="X43" s="128">
        <v>20000</v>
      </c>
      <c r="Y43" s="128" t="s">
        <v>785</v>
      </c>
      <c r="Z43" s="128">
        <f>135768+50000</f>
        <v>185768</v>
      </c>
      <c r="AA43" s="128" t="s">
        <v>5719</v>
      </c>
      <c r="AB43" s="128">
        <v>650000</v>
      </c>
      <c r="AC43" s="128" t="s">
        <v>3955</v>
      </c>
      <c r="AH43" s="206">
        <f t="shared" si="7"/>
        <v>855768</v>
      </c>
      <c r="AK43" s="179">
        <f t="shared" si="5"/>
        <v>0</v>
      </c>
      <c r="AL43" s="128">
        <v>18799806032</v>
      </c>
      <c r="AO43" s="128">
        <f t="shared" si="6"/>
        <v>855768</v>
      </c>
      <c r="AP43" s="173">
        <f>0.7%+0.12%</f>
        <v>0.0082</v>
      </c>
      <c r="AS43" s="128">
        <v>855768</v>
      </c>
      <c r="BQ43" s="128" t="s">
        <v>376</v>
      </c>
      <c r="BR43" s="128" t="s">
        <v>387</v>
      </c>
      <c r="BS43" s="128" t="s">
        <v>377</v>
      </c>
    </row>
    <row r="44" s="128" customFormat="1" customHeight="1" spans="1:71">
      <c r="A44" s="128">
        <v>21</v>
      </c>
      <c r="B44" s="128"/>
      <c r="C44" s="211">
        <v>45825</v>
      </c>
      <c r="D44" s="128">
        <v>20250003135</v>
      </c>
      <c r="E44" s="128"/>
      <c r="F44" s="1016" t="s">
        <v>5772</v>
      </c>
      <c r="G44" s="128" t="s">
        <v>5773</v>
      </c>
      <c r="H44" s="1016" t="s">
        <v>5774</v>
      </c>
      <c r="I44" s="215" t="s">
        <v>5775</v>
      </c>
      <c r="J44" s="213">
        <v>148.64</v>
      </c>
      <c r="K44" s="128">
        <v>148.64</v>
      </c>
      <c r="L44" s="128">
        <v>7131.324</v>
      </c>
      <c r="M44" s="128">
        <v>1060000</v>
      </c>
      <c r="N44" s="128">
        <v>7131.324</v>
      </c>
      <c r="O44" s="168">
        <v>972477.06</v>
      </c>
      <c r="P44" s="1016" t="s">
        <v>5776</v>
      </c>
      <c r="Q44" s="171">
        <v>45951</v>
      </c>
      <c r="R44" s="128"/>
      <c r="S44" s="171"/>
      <c r="T44" s="128"/>
      <c r="U44" s="128" t="s">
        <v>524</v>
      </c>
      <c r="V44" s="128">
        <v>20000</v>
      </c>
      <c r="W44" s="128" t="s">
        <v>5777</v>
      </c>
      <c r="X44" s="128">
        <v>340000</v>
      </c>
      <c r="Y44" s="128" t="s">
        <v>1161</v>
      </c>
      <c r="Z44" s="128">
        <v>700000</v>
      </c>
      <c r="AA44" s="171">
        <v>45854</v>
      </c>
      <c r="AB44" s="128"/>
      <c r="AC44" s="128"/>
      <c r="AD44" s="128"/>
      <c r="AE44" s="128"/>
      <c r="AF44" s="128"/>
      <c r="AG44" s="128"/>
      <c r="AH44" s="206">
        <f t="shared" si="7"/>
        <v>1060000</v>
      </c>
      <c r="AK44" s="179">
        <f t="shared" si="5"/>
        <v>0</v>
      </c>
      <c r="AL44" s="128">
        <v>13667537388</v>
      </c>
      <c r="AM44" s="128" t="s">
        <v>3640</v>
      </c>
      <c r="AN44" s="128"/>
      <c r="AO44" s="128">
        <f t="shared" si="6"/>
        <v>1060000</v>
      </c>
      <c r="AP44" s="169">
        <f>0.7%+0.03%+0.08%+0.03%</f>
        <v>0.0084</v>
      </c>
      <c r="BD44" s="128">
        <v>360000</v>
      </c>
      <c r="BE44" s="128">
        <v>700000</v>
      </c>
      <c r="BQ44" s="128" t="s">
        <v>376</v>
      </c>
      <c r="BS44" s="128" t="s">
        <v>377</v>
      </c>
    </row>
    <row r="45" s="128" customFormat="1" ht="49" customHeight="1" spans="1:71">
      <c r="A45" s="128">
        <v>22</v>
      </c>
      <c r="B45" s="128"/>
      <c r="C45" s="211">
        <v>45931</v>
      </c>
      <c r="D45" s="128">
        <v>20250005081</v>
      </c>
      <c r="E45" s="128"/>
      <c r="F45" s="1016" t="s">
        <v>5778</v>
      </c>
      <c r="G45" s="177" t="s">
        <v>5779</v>
      </c>
      <c r="H45" s="1016" t="s">
        <v>5780</v>
      </c>
      <c r="I45" s="212" t="s">
        <v>5781</v>
      </c>
      <c r="J45" s="213">
        <v>139.33</v>
      </c>
      <c r="K45" s="128">
        <v>139.33</v>
      </c>
      <c r="L45" s="128">
        <v>6351</v>
      </c>
      <c r="M45" s="128">
        <v>884885</v>
      </c>
      <c r="N45" s="128">
        <v>6351</v>
      </c>
      <c r="O45" s="168">
        <v>811821.1</v>
      </c>
      <c r="P45" s="1016" t="s">
        <v>5782</v>
      </c>
      <c r="Q45" s="171">
        <v>45986</v>
      </c>
      <c r="R45" s="128"/>
      <c r="S45" s="171"/>
      <c r="T45" s="128"/>
      <c r="U45" s="177" t="s">
        <v>486</v>
      </c>
      <c r="V45" s="128">
        <v>10000</v>
      </c>
      <c r="W45" s="128" t="s">
        <v>3702</v>
      </c>
      <c r="X45" s="128">
        <v>-10000</v>
      </c>
      <c r="Y45" s="171">
        <v>45874</v>
      </c>
      <c r="Z45" s="128">
        <v>20000</v>
      </c>
      <c r="AA45" s="171">
        <v>45914</v>
      </c>
      <c r="AB45" s="128">
        <f>94885+70000</f>
        <v>164885</v>
      </c>
      <c r="AC45" s="171" t="s">
        <v>5783</v>
      </c>
      <c r="AD45" s="128">
        <v>700000</v>
      </c>
      <c r="AE45" s="171">
        <v>45978</v>
      </c>
      <c r="AF45" s="128"/>
      <c r="AG45" s="128"/>
      <c r="AH45" s="206">
        <f t="shared" si="7"/>
        <v>884885</v>
      </c>
      <c r="AK45" s="179">
        <f t="shared" si="5"/>
        <v>0</v>
      </c>
      <c r="AM45" s="128" t="s">
        <v>3480</v>
      </c>
      <c r="AO45" s="128">
        <f t="shared" si="6"/>
        <v>884885</v>
      </c>
      <c r="AP45" s="173">
        <f>0.7%+0.04%+0.08%+0.03%</f>
        <v>0.0085</v>
      </c>
      <c r="BH45" s="128">
        <v>184885</v>
      </c>
      <c r="BI45" s="128">
        <v>700000</v>
      </c>
      <c r="BQ45" s="128" t="s">
        <v>3376</v>
      </c>
      <c r="BS45" s="128" t="s">
        <v>377</v>
      </c>
    </row>
    <row r="46" s="128" customFormat="1" customHeight="1" spans="1:71">
      <c r="A46" s="128">
        <v>23</v>
      </c>
      <c r="B46" s="128"/>
      <c r="C46" s="211">
        <v>45737</v>
      </c>
      <c r="D46" s="128">
        <v>20250001457</v>
      </c>
      <c r="F46" s="1016" t="s">
        <v>5784</v>
      </c>
      <c r="G46" s="128" t="s">
        <v>5785</v>
      </c>
      <c r="H46" s="1016" t="s">
        <v>5786</v>
      </c>
      <c r="I46" s="215" t="s">
        <v>5787</v>
      </c>
      <c r="J46" s="213">
        <v>101.56</v>
      </c>
      <c r="K46" s="128">
        <v>101.56</v>
      </c>
      <c r="L46" s="128">
        <v>8270.97</v>
      </c>
      <c r="M46" s="128">
        <v>840000</v>
      </c>
      <c r="N46" s="128">
        <v>8254.6</v>
      </c>
      <c r="O46" s="168">
        <v>770642.2</v>
      </c>
      <c r="P46" s="1016" t="s">
        <v>5788</v>
      </c>
      <c r="Q46" s="171">
        <v>45952</v>
      </c>
      <c r="U46" s="128" t="s">
        <v>486</v>
      </c>
      <c r="V46" s="128">
        <v>20000</v>
      </c>
      <c r="W46" s="128" t="s">
        <v>5789</v>
      </c>
      <c r="X46" s="128">
        <v>60000</v>
      </c>
      <c r="Y46" s="128" t="s">
        <v>3653</v>
      </c>
      <c r="Z46" s="128">
        <v>760000</v>
      </c>
      <c r="AA46" s="128" t="s">
        <v>3525</v>
      </c>
      <c r="AH46" s="206">
        <f t="shared" si="7"/>
        <v>840000</v>
      </c>
      <c r="AK46" s="179">
        <f t="shared" si="5"/>
        <v>0</v>
      </c>
      <c r="AL46" s="128">
        <v>15299570139</v>
      </c>
      <c r="AM46" s="128" t="s">
        <v>3640</v>
      </c>
      <c r="AO46" s="128">
        <f t="shared" si="6"/>
        <v>840000</v>
      </c>
      <c r="AP46" s="169">
        <f>0.4%+0.02%+0.08%+0.03%</f>
        <v>0.0053</v>
      </c>
      <c r="BB46" s="128">
        <v>840000</v>
      </c>
      <c r="BQ46" s="128" t="s">
        <v>376</v>
      </c>
      <c r="BS46" s="128" t="s">
        <v>377</v>
      </c>
    </row>
    <row r="47" s="128" customFormat="1" ht="39" customHeight="1" spans="1:71">
      <c r="A47" s="128">
        <v>24</v>
      </c>
      <c r="B47" s="128"/>
      <c r="C47" s="211">
        <v>45602</v>
      </c>
      <c r="D47" s="128">
        <v>20240006475</v>
      </c>
      <c r="F47" s="1019" t="s">
        <v>5790</v>
      </c>
      <c r="G47" s="177" t="s">
        <v>5791</v>
      </c>
      <c r="H47" s="1016" t="s">
        <v>5792</v>
      </c>
      <c r="I47" s="212" t="s">
        <v>5793</v>
      </c>
      <c r="J47" s="213">
        <v>119.74</v>
      </c>
      <c r="K47" s="128">
        <v>119.74</v>
      </c>
      <c r="L47" s="128">
        <v>8120</v>
      </c>
      <c r="M47" s="128">
        <v>972289</v>
      </c>
      <c r="N47" s="128">
        <v>8235.6</v>
      </c>
      <c r="O47" s="168">
        <v>892008.26</v>
      </c>
      <c r="P47" s="1016" t="s">
        <v>5794</v>
      </c>
      <c r="Q47" s="171">
        <v>45953</v>
      </c>
      <c r="S47" s="171"/>
      <c r="U47" s="177" t="s">
        <v>2278</v>
      </c>
      <c r="V47" s="128"/>
      <c r="W47" s="171"/>
      <c r="X47" s="128">
        <v>2289</v>
      </c>
      <c r="Y47" s="171" t="s">
        <v>3597</v>
      </c>
      <c r="Z47" s="128">
        <v>289000</v>
      </c>
      <c r="AA47" s="171" t="s">
        <v>525</v>
      </c>
      <c r="AB47" s="128">
        <v>681000</v>
      </c>
      <c r="AC47" s="171" t="s">
        <v>488</v>
      </c>
      <c r="AH47" s="206">
        <f t="shared" si="7"/>
        <v>972289</v>
      </c>
      <c r="AK47" s="179">
        <f t="shared" si="5"/>
        <v>0</v>
      </c>
      <c r="AL47" s="128">
        <v>13899071228</v>
      </c>
      <c r="AM47" s="128" t="s">
        <v>3402</v>
      </c>
      <c r="AO47" s="128">
        <f t="shared" si="6"/>
        <v>972289</v>
      </c>
      <c r="AP47" s="173">
        <f>0.6%+0.02%+0.08%+0.03%</f>
        <v>0.0073</v>
      </c>
      <c r="AX47" s="128">
        <v>291289</v>
      </c>
      <c r="AY47" s="128">
        <v>681000</v>
      </c>
      <c r="BQ47" s="128" t="s">
        <v>376</v>
      </c>
      <c r="BS47" s="128" t="s">
        <v>377</v>
      </c>
    </row>
    <row r="48" s="128" customFormat="1" customHeight="1" spans="1:71">
      <c r="A48" s="128">
        <v>25</v>
      </c>
      <c r="B48" s="128"/>
      <c r="C48" s="211">
        <v>45796</v>
      </c>
      <c r="D48" s="128">
        <v>20250002540</v>
      </c>
      <c r="E48" s="128"/>
      <c r="F48" s="1016" t="s">
        <v>5795</v>
      </c>
      <c r="G48" s="128" t="s">
        <v>5796</v>
      </c>
      <c r="H48" s="1016" t="s">
        <v>5797</v>
      </c>
      <c r="I48" s="215" t="s">
        <v>5798</v>
      </c>
      <c r="J48" s="213">
        <v>117.84</v>
      </c>
      <c r="K48" s="128">
        <v>117.84</v>
      </c>
      <c r="L48" s="128">
        <v>5760</v>
      </c>
      <c r="M48" s="128">
        <v>678758</v>
      </c>
      <c r="N48" s="128">
        <v>5760</v>
      </c>
      <c r="O48" s="168">
        <v>622713.76</v>
      </c>
      <c r="P48" s="1016" t="s">
        <v>5799</v>
      </c>
      <c r="Q48" s="171">
        <v>45952</v>
      </c>
      <c r="R48" s="128"/>
      <c r="S48" s="171"/>
      <c r="T48" s="128"/>
      <c r="U48" s="128" t="s">
        <v>524</v>
      </c>
      <c r="V48" s="128">
        <f>80000+258758+20000</f>
        <v>358758</v>
      </c>
      <c r="W48" s="128" t="s">
        <v>3694</v>
      </c>
      <c r="X48" s="128">
        <v>320000</v>
      </c>
      <c r="Y48" s="171">
        <v>45852</v>
      </c>
      <c r="Z48" s="128"/>
      <c r="AA48" s="128"/>
      <c r="AB48" s="128"/>
      <c r="AC48" s="128"/>
      <c r="AD48" s="128"/>
      <c r="AE48" s="128"/>
      <c r="AF48" s="128"/>
      <c r="AG48" s="128"/>
      <c r="AH48" s="206">
        <f t="shared" si="7"/>
        <v>678758</v>
      </c>
      <c r="AK48" s="179">
        <f t="shared" si="5"/>
        <v>0</v>
      </c>
      <c r="AL48" s="128">
        <v>18799808608</v>
      </c>
      <c r="AM48" s="128" t="s">
        <v>5800</v>
      </c>
      <c r="AN48" s="128"/>
      <c r="AO48" s="128">
        <f t="shared" si="6"/>
        <v>678758</v>
      </c>
      <c r="AP48" s="169">
        <f>0.7%+0.03%+0.08%+0.03%</f>
        <v>0.0084</v>
      </c>
      <c r="BC48" s="128">
        <v>358758</v>
      </c>
      <c r="BE48" s="128">
        <v>320000</v>
      </c>
      <c r="BQ48" s="128" t="s">
        <v>376</v>
      </c>
      <c r="BS48" s="128" t="s">
        <v>377</v>
      </c>
    </row>
    <row r="49" s="128" customFormat="1" customHeight="1" spans="1:74">
      <c r="A49" s="128">
        <v>26</v>
      </c>
      <c r="B49" s="128"/>
      <c r="C49" s="211">
        <v>45705</v>
      </c>
      <c r="D49" s="128">
        <v>20250000680</v>
      </c>
      <c r="F49" s="128" t="s">
        <v>5801</v>
      </c>
      <c r="G49" s="128" t="s">
        <v>5802</v>
      </c>
      <c r="H49" s="1016" t="s">
        <v>3441</v>
      </c>
      <c r="I49" s="212" t="s">
        <v>5803</v>
      </c>
      <c r="J49" s="213">
        <v>117.84</v>
      </c>
      <c r="K49" s="128">
        <v>117.84</v>
      </c>
      <c r="L49" s="128">
        <v>5643.25</v>
      </c>
      <c r="M49" s="128">
        <v>665000</v>
      </c>
      <c r="N49" s="128">
        <v>5643.25</v>
      </c>
      <c r="O49" s="168">
        <v>610091.74</v>
      </c>
      <c r="P49" s="1016" t="s">
        <v>5804</v>
      </c>
      <c r="Q49" s="171">
        <v>45953</v>
      </c>
      <c r="U49" s="128" t="s">
        <v>677</v>
      </c>
      <c r="V49" s="128">
        <v>20000</v>
      </c>
      <c r="W49" s="128" t="s">
        <v>3058</v>
      </c>
      <c r="X49" s="128">
        <v>80000</v>
      </c>
      <c r="Y49" s="128" t="s">
        <v>3537</v>
      </c>
      <c r="Z49" s="128">
        <v>565000</v>
      </c>
      <c r="AA49" s="128" t="s">
        <v>3407</v>
      </c>
      <c r="AH49" s="206">
        <f t="shared" si="7"/>
        <v>665000</v>
      </c>
      <c r="AK49" s="179">
        <f t="shared" si="5"/>
        <v>0</v>
      </c>
      <c r="AL49" s="128">
        <v>18199232764</v>
      </c>
      <c r="AM49" s="128" t="s">
        <v>3402</v>
      </c>
      <c r="AO49" s="128">
        <f t="shared" si="6"/>
        <v>665000</v>
      </c>
      <c r="AP49" s="174">
        <f>0.7%+0.03%+0.12%+0.03%</f>
        <v>0.0088</v>
      </c>
      <c r="AZ49" s="128">
        <v>100000</v>
      </c>
      <c r="BA49" s="128">
        <v>565000</v>
      </c>
      <c r="BQ49" s="128" t="s">
        <v>376</v>
      </c>
      <c r="BS49" s="128" t="s">
        <v>377</v>
      </c>
    </row>
    <row r="50" s="128" customFormat="1" ht="33" customHeight="1" spans="1:74">
      <c r="A50" s="128">
        <v>27</v>
      </c>
      <c r="B50" s="128"/>
      <c r="C50" s="211">
        <v>45674</v>
      </c>
      <c r="D50" s="128">
        <v>20250000319</v>
      </c>
      <c r="F50" s="1016" t="s">
        <v>5805</v>
      </c>
      <c r="G50" s="177" t="s">
        <v>5806</v>
      </c>
      <c r="H50" s="1016" t="s">
        <v>5807</v>
      </c>
      <c r="I50" s="215" t="s">
        <v>5808</v>
      </c>
      <c r="J50" s="213">
        <v>117.84</v>
      </c>
      <c r="K50" s="128">
        <v>117.84</v>
      </c>
      <c r="L50" s="128">
        <v>5832.7</v>
      </c>
      <c r="M50" s="128">
        <v>687326</v>
      </c>
      <c r="N50" s="128">
        <v>5685.675</v>
      </c>
      <c r="O50" s="168">
        <v>630574.31</v>
      </c>
      <c r="P50" s="1016" t="s">
        <v>5809</v>
      </c>
      <c r="Q50" s="171">
        <v>45952</v>
      </c>
      <c r="R50" s="128"/>
      <c r="S50" s="171"/>
      <c r="U50" s="128" t="s">
        <v>373</v>
      </c>
      <c r="V50" s="128">
        <f>100000+37326+20000</f>
        <v>157326</v>
      </c>
      <c r="W50" s="171" t="s">
        <v>4695</v>
      </c>
      <c r="X50" s="128">
        <v>530000</v>
      </c>
      <c r="Y50" s="171">
        <v>45954</v>
      </c>
      <c r="AH50" s="206">
        <f t="shared" si="7"/>
        <v>687326</v>
      </c>
      <c r="AK50" s="179">
        <f t="shared" ref="AK50:AK53" si="8">M50-AH50</f>
        <v>0</v>
      </c>
      <c r="AL50" s="128">
        <v>13579912750</v>
      </c>
      <c r="AO50" s="128">
        <f t="shared" si="6"/>
        <v>687326</v>
      </c>
      <c r="AP50" s="169">
        <f>0.7%+0.05%+0.1%+0.03%</f>
        <v>0.0088</v>
      </c>
      <c r="AY50" s="128">
        <v>157326</v>
      </c>
      <c r="BH50" s="128">
        <v>530000</v>
      </c>
      <c r="BN50" s="176"/>
      <c r="BQ50" s="128" t="s">
        <v>376</v>
      </c>
      <c r="BS50" s="128" t="s">
        <v>377</v>
      </c>
    </row>
    <row r="51" s="128" customFormat="1" customHeight="1" spans="1:74">
      <c r="A51" s="128">
        <v>28</v>
      </c>
      <c r="B51" s="128"/>
      <c r="C51" s="211">
        <v>45566</v>
      </c>
      <c r="D51" s="128">
        <v>20240005587</v>
      </c>
      <c r="F51" s="1016" t="s">
        <v>5810</v>
      </c>
      <c r="G51" s="128" t="s">
        <v>5811</v>
      </c>
      <c r="I51" s="215" t="s">
        <v>5812</v>
      </c>
      <c r="J51" s="213">
        <v>117.84</v>
      </c>
      <c r="K51" s="128">
        <v>117.84</v>
      </c>
      <c r="L51" s="128">
        <v>5600.81</v>
      </c>
      <c r="M51" s="128">
        <v>660000</v>
      </c>
      <c r="N51" s="128">
        <v>5600.816</v>
      </c>
      <c r="O51" s="168">
        <v>605504.59</v>
      </c>
      <c r="P51" s="1016" t="s">
        <v>5813</v>
      </c>
      <c r="Q51" s="171">
        <v>45953</v>
      </c>
      <c r="S51" s="171"/>
      <c r="U51" s="128" t="s">
        <v>2278</v>
      </c>
      <c r="V51" s="128">
        <v>10000</v>
      </c>
      <c r="W51" s="171">
        <v>45542</v>
      </c>
      <c r="X51" s="128">
        <v>130000</v>
      </c>
      <c r="Y51" s="171" t="s">
        <v>374</v>
      </c>
      <c r="Z51" s="128">
        <v>520000</v>
      </c>
      <c r="AA51" s="171" t="s">
        <v>773</v>
      </c>
      <c r="AH51" s="206">
        <f t="shared" si="7"/>
        <v>660000</v>
      </c>
      <c r="AK51" s="179">
        <f t="shared" si="8"/>
        <v>0</v>
      </c>
      <c r="AL51" s="128">
        <v>18997601601</v>
      </c>
      <c r="AM51" s="128" t="s">
        <v>5814</v>
      </c>
      <c r="AO51" s="128">
        <f t="shared" si="6"/>
        <v>660000</v>
      </c>
      <c r="AP51" s="169">
        <f>0.7%+0.04%+0.12%+0.03%</f>
        <v>0.0089</v>
      </c>
      <c r="AY51" s="128">
        <v>660000</v>
      </c>
      <c r="BQ51" s="128" t="s">
        <v>376</v>
      </c>
      <c r="BS51" s="128" t="s">
        <v>377</v>
      </c>
    </row>
    <row r="52" s="128" customFormat="1" customHeight="1" spans="1:74">
      <c r="A52" s="128">
        <v>29</v>
      </c>
      <c r="B52" s="128"/>
      <c r="C52" s="211">
        <v>45642</v>
      </c>
      <c r="D52" s="128">
        <v>20240007256</v>
      </c>
      <c r="F52" s="1016" t="s">
        <v>5815</v>
      </c>
      <c r="G52" s="128" t="s">
        <v>5816</v>
      </c>
      <c r="H52" s="1016" t="s">
        <v>5817</v>
      </c>
      <c r="I52" s="215" t="s">
        <v>5818</v>
      </c>
      <c r="J52" s="213">
        <v>117.84</v>
      </c>
      <c r="K52" s="128">
        <v>117.84</v>
      </c>
      <c r="L52" s="128">
        <v>5515.95</v>
      </c>
      <c r="M52" s="128">
        <v>650000</v>
      </c>
      <c r="N52" s="128">
        <v>5865.49</v>
      </c>
      <c r="O52" s="168">
        <v>596330.28</v>
      </c>
      <c r="P52" s="1016" t="s">
        <v>5819</v>
      </c>
      <c r="Q52" s="171">
        <v>45952</v>
      </c>
      <c r="U52" s="128" t="s">
        <v>496</v>
      </c>
      <c r="V52" s="128">
        <v>20000</v>
      </c>
      <c r="W52" s="128" t="s">
        <v>3485</v>
      </c>
      <c r="X52" s="128">
        <v>280000</v>
      </c>
      <c r="Y52" s="128" t="s">
        <v>966</v>
      </c>
      <c r="Z52" s="128">
        <v>350000</v>
      </c>
      <c r="AA52" s="128" t="s">
        <v>3400</v>
      </c>
      <c r="AH52" s="206">
        <f t="shared" si="7"/>
        <v>650000</v>
      </c>
      <c r="AK52" s="179">
        <f t="shared" si="8"/>
        <v>0</v>
      </c>
      <c r="AL52" s="128">
        <v>13667548933</v>
      </c>
      <c r="AM52" s="128" t="s">
        <v>3487</v>
      </c>
      <c r="AO52" s="128">
        <f t="shared" si="6"/>
        <v>650000</v>
      </c>
      <c r="AP52" s="217">
        <f>0.6%+0.03%+0.08%+0.03%</f>
        <v>0.0074</v>
      </c>
      <c r="AX52" s="128">
        <v>650000</v>
      </c>
      <c r="BQ52" s="128" t="s">
        <v>376</v>
      </c>
      <c r="BS52" s="128" t="s">
        <v>377</v>
      </c>
    </row>
    <row r="53" s="128" customFormat="1" customHeight="1" spans="1:74">
      <c r="A53" s="128">
        <v>30</v>
      </c>
      <c r="B53" s="128"/>
      <c r="C53" s="211">
        <v>45646</v>
      </c>
      <c r="D53" s="128">
        <v>20240007357</v>
      </c>
      <c r="F53" s="1016" t="s">
        <v>5820</v>
      </c>
      <c r="G53" s="128" t="s">
        <v>5652</v>
      </c>
      <c r="I53" s="212" t="s">
        <v>5821</v>
      </c>
      <c r="J53" s="213">
        <v>117.84</v>
      </c>
      <c r="K53" s="128">
        <v>117.84</v>
      </c>
      <c r="L53" s="128">
        <f>M53/K53</f>
        <v>5855.39714867617</v>
      </c>
      <c r="M53" s="128">
        <v>690000</v>
      </c>
      <c r="N53" s="128">
        <v>5846.49</v>
      </c>
      <c r="O53" s="168">
        <v>633027.52</v>
      </c>
      <c r="P53" s="1016" t="s">
        <v>5822</v>
      </c>
      <c r="Q53" s="171">
        <v>45952</v>
      </c>
      <c r="U53" s="128" t="s">
        <v>524</v>
      </c>
      <c r="V53" s="128">
        <v>20000</v>
      </c>
      <c r="W53" s="128" t="s">
        <v>5823</v>
      </c>
      <c r="X53" s="128">
        <v>670000</v>
      </c>
      <c r="Y53" s="128" t="s">
        <v>525</v>
      </c>
      <c r="AH53" s="206">
        <f t="shared" si="7"/>
        <v>690000</v>
      </c>
      <c r="AK53" s="179">
        <f t="shared" si="8"/>
        <v>0</v>
      </c>
      <c r="AM53" s="128" t="s">
        <v>4676</v>
      </c>
      <c r="AO53" s="128">
        <f t="shared" si="6"/>
        <v>690000</v>
      </c>
      <c r="AP53" s="169">
        <f>0.6%+0.02%+0.08%+0.03%</f>
        <v>0.0073</v>
      </c>
      <c r="AX53" s="128">
        <v>690000</v>
      </c>
      <c r="BQ53" s="128" t="s">
        <v>376</v>
      </c>
      <c r="BS53" s="128" t="s">
        <v>377</v>
      </c>
    </row>
    <row r="54" s="128" customFormat="1" customHeight="1" spans="1:74">
      <c r="A54" s="128">
        <v>31</v>
      </c>
      <c r="C54" s="211">
        <v>45414</v>
      </c>
      <c r="D54" s="128">
        <v>20240002496</v>
      </c>
      <c r="F54" s="1016" t="s">
        <v>5824</v>
      </c>
      <c r="G54" s="128" t="s">
        <v>5825</v>
      </c>
      <c r="H54" s="1016" t="s">
        <v>5826</v>
      </c>
      <c r="I54" s="212" t="s">
        <v>5827</v>
      </c>
      <c r="J54" s="213">
        <v>117.84</v>
      </c>
      <c r="K54" s="128">
        <v>117.84</v>
      </c>
      <c r="L54" s="128">
        <v>5939.84</v>
      </c>
      <c r="M54" s="128">
        <v>699951</v>
      </c>
      <c r="N54" s="128">
        <v>5939.84</v>
      </c>
      <c r="O54" s="168">
        <v>642156.88</v>
      </c>
      <c r="P54" s="1016" t="s">
        <v>5828</v>
      </c>
      <c r="Q54" s="171">
        <v>45952</v>
      </c>
      <c r="U54" s="128" t="s">
        <v>400</v>
      </c>
      <c r="V54" s="218">
        <v>20000</v>
      </c>
      <c r="W54" s="219" t="s">
        <v>4050</v>
      </c>
      <c r="X54" s="128">
        <v>76951</v>
      </c>
      <c r="Y54" s="128" t="s">
        <v>3862</v>
      </c>
      <c r="Z54" s="128">
        <v>53000</v>
      </c>
      <c r="AA54" s="128" t="s">
        <v>834</v>
      </c>
      <c r="AB54" s="128">
        <v>550000</v>
      </c>
      <c r="AC54" s="128" t="s">
        <v>4944</v>
      </c>
      <c r="AH54" s="206">
        <f t="shared" si="7"/>
        <v>699951</v>
      </c>
      <c r="AK54" s="179">
        <f t="shared" ref="AK54:AK75" si="9">M54-AH54</f>
        <v>0</v>
      </c>
      <c r="AL54" s="128">
        <v>15276466926</v>
      </c>
      <c r="AO54" s="128">
        <f t="shared" si="6"/>
        <v>699951</v>
      </c>
      <c r="AP54" s="169">
        <f>0.7%+0.03%+0.12%</f>
        <v>0.0085</v>
      </c>
      <c r="AR54" s="128">
        <v>149951</v>
      </c>
      <c r="AS54" s="128">
        <v>550000</v>
      </c>
      <c r="BQ54" s="128" t="s">
        <v>376</v>
      </c>
      <c r="BR54" s="128" t="s">
        <v>387</v>
      </c>
      <c r="BS54" s="128" t="s">
        <v>377</v>
      </c>
    </row>
    <row r="55" s="128" customFormat="1" customHeight="1" spans="1:74">
      <c r="A55" s="128">
        <v>32</v>
      </c>
      <c r="C55" s="211">
        <v>45415</v>
      </c>
      <c r="D55" s="128">
        <v>20240002507</v>
      </c>
      <c r="F55" s="1016" t="s">
        <v>5829</v>
      </c>
      <c r="G55" s="128" t="s">
        <v>5830</v>
      </c>
      <c r="H55" s="1016" t="s">
        <v>5831</v>
      </c>
      <c r="I55" s="215" t="s">
        <v>5832</v>
      </c>
      <c r="J55" s="213">
        <v>117.84</v>
      </c>
      <c r="K55" s="128">
        <v>117.84</v>
      </c>
      <c r="L55" s="128">
        <v>5920.84</v>
      </c>
      <c r="M55" s="128">
        <v>697712</v>
      </c>
      <c r="N55" s="128">
        <v>5920.84</v>
      </c>
      <c r="O55" s="168">
        <v>640102.75</v>
      </c>
      <c r="P55" s="1016" t="s">
        <v>5833</v>
      </c>
      <c r="Q55" s="171">
        <v>45952</v>
      </c>
      <c r="T55" s="1016" t="s">
        <v>5084</v>
      </c>
      <c r="U55" s="128" t="s">
        <v>840</v>
      </c>
      <c r="V55" s="128">
        <v>2000</v>
      </c>
      <c r="W55" s="128" t="s">
        <v>385</v>
      </c>
      <c r="X55" s="128">
        <v>18000</v>
      </c>
      <c r="Y55" s="128" t="s">
        <v>4316</v>
      </c>
      <c r="Z55" s="128">
        <v>119712</v>
      </c>
      <c r="AA55" s="128" t="s">
        <v>1082</v>
      </c>
      <c r="AB55" s="128">
        <v>558000</v>
      </c>
      <c r="AC55" s="128" t="s">
        <v>5834</v>
      </c>
      <c r="AH55" s="206">
        <f t="shared" si="7"/>
        <v>697712</v>
      </c>
      <c r="AK55" s="179">
        <f t="shared" si="9"/>
        <v>0</v>
      </c>
      <c r="AL55" s="128">
        <v>18193556127</v>
      </c>
      <c r="AO55" s="128">
        <f t="shared" si="6"/>
        <v>697712</v>
      </c>
      <c r="AP55" s="169">
        <f>0.4%+0.12%</f>
        <v>0.0052</v>
      </c>
      <c r="AQ55" s="128">
        <v>139712</v>
      </c>
      <c r="AV55" s="128">
        <v>558000</v>
      </c>
      <c r="BQ55" s="128" t="s">
        <v>376</v>
      </c>
      <c r="BR55" s="128" t="s">
        <v>387</v>
      </c>
      <c r="BS55" s="128" t="s">
        <v>377</v>
      </c>
    </row>
    <row r="56" s="128" customFormat="1" customHeight="1" spans="1:74">
      <c r="A56" s="128">
        <v>33</v>
      </c>
      <c r="C56" s="211">
        <v>45416</v>
      </c>
      <c r="D56" s="128">
        <v>20240002528</v>
      </c>
      <c r="F56" s="1016" t="s">
        <v>5835</v>
      </c>
      <c r="G56" s="128" t="s">
        <v>5661</v>
      </c>
      <c r="I56" s="212" t="s">
        <v>5836</v>
      </c>
      <c r="J56" s="213">
        <v>117.84</v>
      </c>
      <c r="K56" s="128">
        <v>117.84</v>
      </c>
      <c r="L56" s="128">
        <f>M56/K56</f>
        <v>5982.6883910387</v>
      </c>
      <c r="M56" s="128">
        <v>705000</v>
      </c>
      <c r="N56" s="128">
        <v>5982.69</v>
      </c>
      <c r="O56" s="168">
        <v>646788.99</v>
      </c>
      <c r="P56" s="1016" t="s">
        <v>5837</v>
      </c>
      <c r="Q56" s="171">
        <v>45952</v>
      </c>
      <c r="S56" s="171"/>
      <c r="U56" s="128" t="s">
        <v>410</v>
      </c>
      <c r="V56" s="128">
        <v>2000</v>
      </c>
      <c r="W56" s="128" t="s">
        <v>4684</v>
      </c>
      <c r="X56" s="128">
        <v>18000</v>
      </c>
      <c r="Y56" s="128" t="s">
        <v>4316</v>
      </c>
      <c r="Z56" s="128">
        <v>335000</v>
      </c>
      <c r="AA56" s="128" t="s">
        <v>826</v>
      </c>
      <c r="AB56" s="128">
        <v>50000</v>
      </c>
      <c r="AC56" s="128" t="s">
        <v>786</v>
      </c>
      <c r="AD56" s="128">
        <v>50000</v>
      </c>
      <c r="AE56" s="128" t="s">
        <v>5265</v>
      </c>
      <c r="AF56" s="128">
        <f>100000+50000+100000</f>
        <v>250000</v>
      </c>
      <c r="AG56" s="184" t="s">
        <v>5838</v>
      </c>
      <c r="AH56" s="206">
        <f t="shared" si="7"/>
        <v>705000</v>
      </c>
      <c r="AK56" s="179">
        <f t="shared" si="9"/>
        <v>0</v>
      </c>
      <c r="AL56" s="128">
        <v>15099978299</v>
      </c>
      <c r="AO56" s="128">
        <f t="shared" si="6"/>
        <v>705000</v>
      </c>
      <c r="AP56" s="169">
        <f>0.7%+0.12%</f>
        <v>0.0082</v>
      </c>
      <c r="AX56" s="128">
        <v>705000</v>
      </c>
      <c r="BQ56" s="128" t="s">
        <v>376</v>
      </c>
      <c r="BS56" s="128" t="s">
        <v>377</v>
      </c>
    </row>
    <row r="57" s="128" customFormat="1" customHeight="1" spans="1:74">
      <c r="A57" s="128">
        <v>34</v>
      </c>
      <c r="C57" s="211">
        <v>45539</v>
      </c>
      <c r="D57" s="128">
        <v>20240005079</v>
      </c>
      <c r="F57" s="1016" t="s">
        <v>5839</v>
      </c>
      <c r="G57" s="128" t="s">
        <v>5840</v>
      </c>
      <c r="H57" s="1016" t="s">
        <v>5752</v>
      </c>
      <c r="I57" s="215" t="s">
        <v>5841</v>
      </c>
      <c r="J57" s="220">
        <v>117.84</v>
      </c>
      <c r="K57" s="128">
        <v>117.84</v>
      </c>
      <c r="L57" s="128">
        <f>M57/K57</f>
        <v>5689.75729803123</v>
      </c>
      <c r="M57" s="128">
        <v>670481</v>
      </c>
      <c r="N57" s="128">
        <v>5689.76</v>
      </c>
      <c r="O57" s="168">
        <v>615120.18</v>
      </c>
      <c r="P57" s="1016" t="s">
        <v>5842</v>
      </c>
      <c r="Q57" s="171">
        <v>45952</v>
      </c>
      <c r="S57" s="171"/>
      <c r="U57" s="128" t="s">
        <v>373</v>
      </c>
      <c r="V57" s="128">
        <v>20000</v>
      </c>
      <c r="W57" s="128" t="s">
        <v>5843</v>
      </c>
      <c r="X57" s="128">
        <v>80000</v>
      </c>
      <c r="Y57" s="128" t="s">
        <v>1236</v>
      </c>
      <c r="Z57" s="128">
        <v>40481</v>
      </c>
      <c r="AA57" s="171">
        <v>45539</v>
      </c>
      <c r="AB57" s="128">
        <v>530000</v>
      </c>
      <c r="AC57" s="171" t="s">
        <v>3602</v>
      </c>
      <c r="AH57" s="206">
        <f t="shared" si="7"/>
        <v>670481</v>
      </c>
      <c r="AK57" s="179">
        <f t="shared" si="9"/>
        <v>0</v>
      </c>
      <c r="AL57" s="128">
        <v>17393381950</v>
      </c>
      <c r="AM57" s="128" t="s">
        <v>5844</v>
      </c>
      <c r="AO57" s="128">
        <f t="shared" si="6"/>
        <v>670480</v>
      </c>
      <c r="AP57" s="221">
        <f>0.7%+0.04%+0.08%</f>
        <v>0.0082</v>
      </c>
      <c r="AU57" s="128">
        <v>140480</v>
      </c>
      <c r="BA57" s="128">
        <v>530000</v>
      </c>
      <c r="BQ57" s="128" t="s">
        <v>376</v>
      </c>
      <c r="BS57" s="128" t="s">
        <v>377</v>
      </c>
    </row>
    <row r="58" s="128" customFormat="1" customHeight="1" spans="1:74">
      <c r="A58" s="128">
        <v>35</v>
      </c>
      <c r="C58" s="211">
        <v>45568</v>
      </c>
      <c r="D58" s="128">
        <v>20240005742</v>
      </c>
      <c r="F58" s="1016" t="s">
        <v>5845</v>
      </c>
      <c r="G58" s="128" t="s">
        <v>5665</v>
      </c>
      <c r="I58" s="212" t="s">
        <v>5846</v>
      </c>
      <c r="J58" s="213">
        <v>117.84</v>
      </c>
      <c r="K58" s="128">
        <v>117.84</v>
      </c>
      <c r="L58" s="128">
        <v>5770.54</v>
      </c>
      <c r="M58" s="128">
        <v>680000</v>
      </c>
      <c r="N58" s="128">
        <v>6057.67</v>
      </c>
      <c r="O58" s="168">
        <v>623853.21</v>
      </c>
      <c r="P58" s="1016" t="s">
        <v>5847</v>
      </c>
      <c r="Q58" s="171">
        <v>45952</v>
      </c>
      <c r="U58" s="128" t="s">
        <v>410</v>
      </c>
      <c r="V58" s="128">
        <v>20000</v>
      </c>
      <c r="W58" s="128" t="s">
        <v>1166</v>
      </c>
      <c r="X58" s="128">
        <v>660000</v>
      </c>
      <c r="Y58" s="128" t="s">
        <v>888</v>
      </c>
      <c r="AH58" s="206">
        <f t="shared" si="7"/>
        <v>680000</v>
      </c>
      <c r="AK58" s="179">
        <f t="shared" si="9"/>
        <v>0</v>
      </c>
      <c r="AL58" s="128">
        <v>18999006655</v>
      </c>
      <c r="AM58" s="128" t="s">
        <v>3585</v>
      </c>
      <c r="AO58" s="128">
        <f t="shared" si="6"/>
        <v>680000</v>
      </c>
      <c r="AP58" s="178">
        <f>0.7%+0.08%</f>
        <v>0.0078</v>
      </c>
      <c r="AW58" s="128">
        <v>680000</v>
      </c>
      <c r="BQ58" s="128" t="s">
        <v>376</v>
      </c>
      <c r="BS58" s="128" t="s">
        <v>377</v>
      </c>
    </row>
    <row r="59" s="128" customFormat="1" customHeight="1" spans="1:74">
      <c r="A59" s="128">
        <v>36</v>
      </c>
      <c r="C59" s="211">
        <v>45527</v>
      </c>
      <c r="D59" s="128">
        <v>20240004830</v>
      </c>
      <c r="F59" s="1016" t="s">
        <v>5848</v>
      </c>
      <c r="G59" s="128" t="s">
        <v>5849</v>
      </c>
      <c r="H59" s="1016" t="s">
        <v>5850</v>
      </c>
      <c r="I59" s="215" t="s">
        <v>5851</v>
      </c>
      <c r="J59" s="213">
        <v>117.84</v>
      </c>
      <c r="K59" s="128">
        <v>117.84</v>
      </c>
      <c r="L59" s="222">
        <v>5855.4</v>
      </c>
      <c r="M59" s="128">
        <v>690000</v>
      </c>
      <c r="N59" s="128">
        <v>5855.4</v>
      </c>
      <c r="O59" s="168">
        <v>633027.52</v>
      </c>
      <c r="P59" s="177" t="s">
        <v>5852</v>
      </c>
      <c r="Q59" s="171">
        <v>45952</v>
      </c>
      <c r="S59" s="171"/>
      <c r="U59" s="128" t="s">
        <v>2278</v>
      </c>
      <c r="V59" s="128">
        <v>24000</v>
      </c>
      <c r="W59" s="128" t="s">
        <v>4051</v>
      </c>
      <c r="X59" s="128">
        <v>36000</v>
      </c>
      <c r="Y59" s="128" t="s">
        <v>5709</v>
      </c>
      <c r="Z59" s="128">
        <v>580000</v>
      </c>
      <c r="AA59" s="171">
        <v>45549</v>
      </c>
      <c r="AB59" s="128">
        <v>50000</v>
      </c>
      <c r="AC59" s="171" t="s">
        <v>897</v>
      </c>
      <c r="AH59" s="206">
        <f t="shared" si="7"/>
        <v>690000</v>
      </c>
      <c r="AK59" s="179">
        <f t="shared" si="9"/>
        <v>0</v>
      </c>
      <c r="AL59" s="128">
        <v>18160282158</v>
      </c>
      <c r="AM59" s="128" t="s">
        <v>5853</v>
      </c>
      <c r="AO59" s="128">
        <f t="shared" si="6"/>
        <v>690000</v>
      </c>
      <c r="AP59" s="169">
        <f>0.5%+0.02%+0.08%</f>
        <v>0.006</v>
      </c>
      <c r="AW59" s="128">
        <v>690000</v>
      </c>
      <c r="BQ59" s="128" t="s">
        <v>376</v>
      </c>
      <c r="BS59" s="128" t="s">
        <v>377</v>
      </c>
    </row>
    <row r="60" s="128" customFormat="1" customHeight="1" spans="1:74">
      <c r="A60" s="128">
        <v>37</v>
      </c>
      <c r="C60" s="211">
        <v>45511</v>
      </c>
      <c r="D60" s="128">
        <v>20240004552</v>
      </c>
      <c r="F60" s="128" t="s">
        <v>5854</v>
      </c>
      <c r="G60" s="128" t="s">
        <v>5855</v>
      </c>
      <c r="H60" s="1016" t="s">
        <v>5856</v>
      </c>
      <c r="I60" s="212" t="s">
        <v>5857</v>
      </c>
      <c r="J60" s="213">
        <v>117.84</v>
      </c>
      <c r="K60" s="128">
        <v>117.84</v>
      </c>
      <c r="L60" s="128">
        <f>M60/K60</f>
        <v>5984.83536999321</v>
      </c>
      <c r="M60" s="128">
        <v>705253</v>
      </c>
      <c r="N60" s="128">
        <v>5984.835</v>
      </c>
      <c r="O60" s="168">
        <v>647021.1</v>
      </c>
      <c r="P60" s="1016" t="s">
        <v>5858</v>
      </c>
      <c r="Q60" s="171">
        <v>45952</v>
      </c>
      <c r="S60" s="171"/>
      <c r="U60" s="128" t="s">
        <v>486</v>
      </c>
      <c r="V60" s="128">
        <v>20000</v>
      </c>
      <c r="W60" s="128" t="s">
        <v>4482</v>
      </c>
      <c r="X60" s="128">
        <v>285253</v>
      </c>
      <c r="Y60" s="128" t="s">
        <v>5859</v>
      </c>
      <c r="Z60" s="128">
        <v>400000</v>
      </c>
      <c r="AA60" s="171">
        <v>45549</v>
      </c>
      <c r="AH60" s="206">
        <f t="shared" si="7"/>
        <v>705253</v>
      </c>
      <c r="AK60" s="179">
        <f t="shared" si="9"/>
        <v>0</v>
      </c>
      <c r="AL60" s="128">
        <v>17361568014</v>
      </c>
      <c r="AM60" s="128" t="s">
        <v>4659</v>
      </c>
      <c r="AO60" s="128">
        <f t="shared" si="6"/>
        <v>705253</v>
      </c>
      <c r="AP60" s="178">
        <f>0.7%+0.02%+0.08%</f>
        <v>0.008</v>
      </c>
      <c r="AT60" s="128">
        <v>305253</v>
      </c>
      <c r="AU60" s="128">
        <v>400000</v>
      </c>
      <c r="BQ60" s="128" t="s">
        <v>376</v>
      </c>
      <c r="BS60" s="128" t="s">
        <v>377</v>
      </c>
    </row>
    <row r="61" s="128" customFormat="1" customHeight="1" spans="1:74">
      <c r="A61" s="128">
        <v>38</v>
      </c>
      <c r="C61" s="211">
        <v>45477</v>
      </c>
      <c r="D61" s="128">
        <v>20240003835</v>
      </c>
      <c r="F61" s="1016" t="s">
        <v>5860</v>
      </c>
      <c r="G61" s="128" t="s">
        <v>5861</v>
      </c>
      <c r="H61" s="1016" t="s">
        <v>5862</v>
      </c>
      <c r="I61" s="215" t="s">
        <v>5863</v>
      </c>
      <c r="J61" s="213">
        <v>117.84</v>
      </c>
      <c r="K61" s="128">
        <v>117.84</v>
      </c>
      <c r="L61" s="128">
        <v>5900</v>
      </c>
      <c r="M61" s="128">
        <f>L61*K61</f>
        <v>695256</v>
      </c>
      <c r="N61" s="128">
        <v>5900</v>
      </c>
      <c r="O61" s="168">
        <v>637849.54</v>
      </c>
      <c r="P61" s="1016" t="s">
        <v>5864</v>
      </c>
      <c r="Q61" s="171">
        <v>45952</v>
      </c>
      <c r="U61" s="128" t="s">
        <v>486</v>
      </c>
      <c r="V61" s="128">
        <v>5000</v>
      </c>
      <c r="W61" s="128" t="s">
        <v>3443</v>
      </c>
      <c r="X61" s="128">
        <v>140256</v>
      </c>
      <c r="Y61" s="128" t="s">
        <v>5719</v>
      </c>
      <c r="Z61" s="128">
        <v>550000</v>
      </c>
      <c r="AA61" s="128" t="s">
        <v>3955</v>
      </c>
      <c r="AH61" s="206">
        <f t="shared" si="7"/>
        <v>695256</v>
      </c>
      <c r="AK61" s="179">
        <f t="shared" si="9"/>
        <v>0</v>
      </c>
      <c r="AL61" s="128">
        <v>18709962570</v>
      </c>
      <c r="AM61" s="128" t="s">
        <v>5853</v>
      </c>
      <c r="AO61" s="128">
        <f t="shared" si="6"/>
        <v>695256</v>
      </c>
      <c r="AP61" s="173">
        <f>0.7%+0.02%+0.08%</f>
        <v>0.008</v>
      </c>
      <c r="AS61" s="128">
        <v>695256</v>
      </c>
      <c r="BQ61" s="128" t="s">
        <v>376</v>
      </c>
      <c r="BR61" s="128" t="s">
        <v>387</v>
      </c>
      <c r="BS61" s="128" t="s">
        <v>377</v>
      </c>
    </row>
    <row r="62" s="128" customFormat="1" customHeight="1" spans="1:74">
      <c r="A62" s="128">
        <v>39</v>
      </c>
      <c r="B62" s="128"/>
      <c r="C62" s="211">
        <v>45615</v>
      </c>
      <c r="D62" s="128">
        <v>20240006700</v>
      </c>
      <c r="F62" s="1016" t="s">
        <v>5865</v>
      </c>
      <c r="G62" s="128" t="s">
        <v>5866</v>
      </c>
      <c r="I62" s="212" t="s">
        <v>5867</v>
      </c>
      <c r="J62" s="213">
        <v>117.84</v>
      </c>
      <c r="K62" s="128">
        <v>117.84</v>
      </c>
      <c r="L62" s="128">
        <v>5982.69</v>
      </c>
      <c r="M62" s="128">
        <v>705000</v>
      </c>
      <c r="N62" s="128">
        <v>5982.69</v>
      </c>
      <c r="O62" s="168">
        <v>646788.99</v>
      </c>
      <c r="P62" s="1016" t="s">
        <v>5868</v>
      </c>
      <c r="Q62" s="171">
        <v>45952</v>
      </c>
      <c r="S62" s="171"/>
      <c r="U62" s="128" t="s">
        <v>393</v>
      </c>
      <c r="V62" s="128">
        <v>150000</v>
      </c>
      <c r="W62" s="171">
        <v>45542</v>
      </c>
      <c r="X62" s="128">
        <v>200000</v>
      </c>
      <c r="Y62" s="171" t="s">
        <v>507</v>
      </c>
      <c r="Z62" s="128">
        <v>355000</v>
      </c>
      <c r="AA62" s="171" t="s">
        <v>4212</v>
      </c>
      <c r="AH62" s="206">
        <f t="shared" si="7"/>
        <v>705000</v>
      </c>
      <c r="AK62" s="179">
        <f t="shared" si="9"/>
        <v>0</v>
      </c>
      <c r="AL62" s="128">
        <v>18709963278</v>
      </c>
      <c r="AO62" s="128">
        <f t="shared" si="6"/>
        <v>705000</v>
      </c>
      <c r="AP62" s="169">
        <f>0.4%+0.02%+0.1%</f>
        <v>0.0052</v>
      </c>
      <c r="AW62" s="128">
        <v>350000</v>
      </c>
      <c r="AX62" s="128">
        <v>355000</v>
      </c>
      <c r="BQ62" s="128" t="s">
        <v>376</v>
      </c>
      <c r="BS62" s="128" t="s">
        <v>377</v>
      </c>
      <c r="BV62" s="177"/>
    </row>
    <row r="63" s="128" customFormat="1" customHeight="1" spans="1:74">
      <c r="A63" s="128">
        <v>40</v>
      </c>
      <c r="B63" s="128"/>
      <c r="C63" s="211">
        <v>45566</v>
      </c>
      <c r="D63" s="128">
        <v>20240005482</v>
      </c>
      <c r="F63" s="1016" t="s">
        <v>5869</v>
      </c>
      <c r="G63" s="128" t="s">
        <v>5870</v>
      </c>
      <c r="H63" s="1016" t="s">
        <v>5871</v>
      </c>
      <c r="I63" s="215" t="s">
        <v>5872</v>
      </c>
      <c r="J63" s="213">
        <v>117.84</v>
      </c>
      <c r="K63" s="128">
        <v>117.84</v>
      </c>
      <c r="L63" s="128">
        <v>5685.67</v>
      </c>
      <c r="M63" s="128">
        <v>670000</v>
      </c>
      <c r="N63" s="128">
        <v>5685.675</v>
      </c>
      <c r="O63" s="168">
        <v>614678.9</v>
      </c>
      <c r="P63" s="1016" t="s">
        <v>5873</v>
      </c>
      <c r="Q63" s="171">
        <v>45953</v>
      </c>
      <c r="S63" s="171"/>
      <c r="U63" s="128" t="s">
        <v>410</v>
      </c>
      <c r="V63" s="128">
        <v>20000</v>
      </c>
      <c r="W63" s="171">
        <v>45543</v>
      </c>
      <c r="X63" s="128">
        <v>450000</v>
      </c>
      <c r="Y63" s="171">
        <v>45552</v>
      </c>
      <c r="Z63" s="128">
        <v>200000</v>
      </c>
      <c r="AA63" s="171" t="s">
        <v>517</v>
      </c>
      <c r="AH63" s="206">
        <f t="shared" si="7"/>
        <v>670000</v>
      </c>
      <c r="AK63" s="179">
        <f t="shared" si="9"/>
        <v>0</v>
      </c>
      <c r="AL63" s="128">
        <v>18299824155</v>
      </c>
      <c r="AO63" s="128">
        <f t="shared" si="6"/>
        <v>670000</v>
      </c>
      <c r="AP63" s="173">
        <f>0.7%+0.1%</f>
        <v>0.008</v>
      </c>
      <c r="AT63" s="107"/>
      <c r="AU63" s="107"/>
      <c r="AV63" s="107">
        <v>670000</v>
      </c>
      <c r="AW63" s="107"/>
      <c r="AX63" s="107"/>
      <c r="AY63" s="107"/>
      <c r="AZ63" s="107"/>
      <c r="BA63" s="107"/>
      <c r="BB63" s="107"/>
      <c r="BC63" s="107"/>
      <c r="BD63" s="107"/>
      <c r="BE63" s="107"/>
      <c r="BF63" s="107"/>
      <c r="BG63" s="107"/>
      <c r="BH63" s="107"/>
      <c r="BI63" s="107"/>
      <c r="BJ63" s="107"/>
      <c r="BK63" s="107"/>
      <c r="BL63" s="107"/>
      <c r="BM63" s="107"/>
      <c r="BQ63" s="128" t="s">
        <v>376</v>
      </c>
      <c r="BS63" s="128" t="s">
        <v>377</v>
      </c>
    </row>
    <row r="64" s="128" customFormat="1" customHeight="1" spans="1:74">
      <c r="A64" s="128">
        <v>41</v>
      </c>
      <c r="B64" s="128"/>
      <c r="C64" s="211">
        <v>45657</v>
      </c>
      <c r="D64" s="128">
        <v>20240007555</v>
      </c>
      <c r="F64" s="1016" t="s">
        <v>5874</v>
      </c>
      <c r="G64" s="128" t="s">
        <v>5649</v>
      </c>
      <c r="H64" s="1016" t="s">
        <v>5875</v>
      </c>
      <c r="I64" s="212" t="s">
        <v>5876</v>
      </c>
      <c r="J64" s="213">
        <v>117.84</v>
      </c>
      <c r="K64" s="128">
        <v>117.84</v>
      </c>
      <c r="L64" s="128">
        <v>5750</v>
      </c>
      <c r="M64" s="128">
        <v>677580</v>
      </c>
      <c r="N64" s="128">
        <v>6135.49</v>
      </c>
      <c r="O64" s="168">
        <v>621633.03</v>
      </c>
      <c r="P64" s="1016" t="s">
        <v>5877</v>
      </c>
      <c r="Q64" s="171">
        <v>45952</v>
      </c>
      <c r="U64" s="128" t="s">
        <v>840</v>
      </c>
      <c r="V64" s="128">
        <v>20000</v>
      </c>
      <c r="W64" s="128" t="s">
        <v>2244</v>
      </c>
      <c r="X64" s="128">
        <v>117580</v>
      </c>
      <c r="Y64" s="128" t="s">
        <v>3467</v>
      </c>
      <c r="Z64" s="128">
        <v>540000</v>
      </c>
      <c r="AA64" s="128" t="s">
        <v>622</v>
      </c>
      <c r="AH64" s="206">
        <f t="shared" si="7"/>
        <v>677580</v>
      </c>
      <c r="AK64" s="179">
        <f t="shared" si="9"/>
        <v>0</v>
      </c>
      <c r="AL64" s="128">
        <v>13667503926</v>
      </c>
      <c r="AM64" s="128" t="s">
        <v>3480</v>
      </c>
      <c r="AO64" s="128">
        <f t="shared" si="6"/>
        <v>677580</v>
      </c>
      <c r="AP64" s="169">
        <f>0.7%+0.12%+0.03%</f>
        <v>0.0085</v>
      </c>
      <c r="AY64" s="128">
        <v>677580</v>
      </c>
      <c r="BQ64" s="128" t="s">
        <v>376</v>
      </c>
      <c r="BS64" s="128" t="s">
        <v>377</v>
      </c>
    </row>
    <row r="65" s="128" customFormat="1" customHeight="1" spans="1:71">
      <c r="A65" s="128">
        <v>42</v>
      </c>
      <c r="B65" s="128"/>
      <c r="C65" s="211">
        <v>45656</v>
      </c>
      <c r="D65" s="128">
        <v>20240007531</v>
      </c>
      <c r="F65" s="1016" t="s">
        <v>5878</v>
      </c>
      <c r="G65" s="128" t="s">
        <v>5879</v>
      </c>
      <c r="H65" s="1016" t="s">
        <v>5880</v>
      </c>
      <c r="I65" s="215" t="s">
        <v>5881</v>
      </c>
      <c r="J65" s="213">
        <v>117.84</v>
      </c>
      <c r="K65" s="128">
        <v>117.84</v>
      </c>
      <c r="L65" s="128">
        <v>5685.68</v>
      </c>
      <c r="M65" s="128">
        <v>670000</v>
      </c>
      <c r="N65" s="128">
        <v>6116.49</v>
      </c>
      <c r="O65" s="168">
        <v>614678.9</v>
      </c>
      <c r="P65" s="1016" t="s">
        <v>5882</v>
      </c>
      <c r="Q65" s="171">
        <v>45952</v>
      </c>
      <c r="U65" s="128" t="s">
        <v>383</v>
      </c>
      <c r="V65" s="128">
        <v>20000</v>
      </c>
      <c r="W65" s="128" t="s">
        <v>3399</v>
      </c>
      <c r="X65" s="128">
        <v>80000</v>
      </c>
      <c r="Y65" s="128" t="s">
        <v>3591</v>
      </c>
      <c r="Z65" s="128">
        <v>70000</v>
      </c>
      <c r="AA65" s="128" t="s">
        <v>2244</v>
      </c>
      <c r="AB65" s="128">
        <v>500000</v>
      </c>
      <c r="AC65" s="128" t="s">
        <v>3530</v>
      </c>
      <c r="AH65" s="206">
        <f t="shared" si="7"/>
        <v>670000</v>
      </c>
      <c r="AK65" s="179">
        <f t="shared" si="9"/>
        <v>0</v>
      </c>
      <c r="AL65" s="128">
        <v>15276242663</v>
      </c>
      <c r="AM65" s="128" t="s">
        <v>3487</v>
      </c>
      <c r="AO65" s="128">
        <f t="shared" si="6"/>
        <v>670000</v>
      </c>
      <c r="AP65" s="169">
        <f>0.6%+0.08%+0.03%</f>
        <v>0.0071</v>
      </c>
      <c r="AX65" s="128">
        <v>170000</v>
      </c>
      <c r="AY65" s="128">
        <v>500000</v>
      </c>
      <c r="BQ65" s="128" t="s">
        <v>376</v>
      </c>
      <c r="BS65" s="128" t="s">
        <v>377</v>
      </c>
    </row>
    <row r="66" s="107" customFormat="1" customHeight="1" spans="1:71">
      <c r="A66" s="107">
        <v>43</v>
      </c>
      <c r="C66" s="223"/>
      <c r="I66" s="224" t="s">
        <v>5883</v>
      </c>
      <c r="J66" s="225">
        <v>117.84</v>
      </c>
      <c r="N66" s="107">
        <v>7141.6</v>
      </c>
      <c r="O66" s="157"/>
      <c r="AH66" s="188">
        <f t="shared" si="7"/>
        <v>0</v>
      </c>
      <c r="AK66" s="179">
        <f t="shared" si="9"/>
        <v>0</v>
      </c>
      <c r="AO66" s="128">
        <f t="shared" si="6"/>
        <v>0</v>
      </c>
    </row>
    <row r="67" s="107" customFormat="1" customHeight="1" spans="1:71">
      <c r="A67" s="107">
        <v>44</v>
      </c>
      <c r="C67" s="223"/>
      <c r="I67" s="226" t="s">
        <v>5884</v>
      </c>
      <c r="J67" s="225">
        <v>117.84</v>
      </c>
      <c r="N67" s="107">
        <v>7124.6</v>
      </c>
      <c r="O67" s="157"/>
      <c r="AH67" s="188">
        <f t="shared" si="7"/>
        <v>0</v>
      </c>
      <c r="AK67" s="179">
        <f t="shared" si="9"/>
        <v>0</v>
      </c>
      <c r="AO67" s="128">
        <f t="shared" si="6"/>
        <v>0</v>
      </c>
    </row>
    <row r="68" s="128" customFormat="1" customHeight="1" spans="1:71">
      <c r="A68" s="128">
        <v>45</v>
      </c>
      <c r="B68" s="128"/>
      <c r="C68" s="211">
        <v>45711</v>
      </c>
      <c r="D68" s="128">
        <v>20250000788</v>
      </c>
      <c r="F68" s="1016" t="s">
        <v>5885</v>
      </c>
      <c r="G68" s="128" t="s">
        <v>5886</v>
      </c>
      <c r="I68" s="212" t="s">
        <v>5887</v>
      </c>
      <c r="J68" s="213">
        <v>119.74</v>
      </c>
      <c r="K68" s="128">
        <v>119.74</v>
      </c>
      <c r="L68" s="128">
        <v>8100.89</v>
      </c>
      <c r="M68" s="128">
        <v>970000</v>
      </c>
      <c r="N68" s="128">
        <v>8100.89</v>
      </c>
      <c r="O68" s="168">
        <v>889908.26</v>
      </c>
      <c r="P68" s="1016" t="s">
        <v>5888</v>
      </c>
      <c r="Q68" s="171">
        <v>45953</v>
      </c>
      <c r="V68" s="128">
        <v>1000</v>
      </c>
      <c r="W68" s="128" t="s">
        <v>4179</v>
      </c>
      <c r="X68" s="128">
        <v>169000</v>
      </c>
      <c r="Y68" s="128" t="s">
        <v>5889</v>
      </c>
      <c r="Z68" s="128">
        <v>330000</v>
      </c>
      <c r="AA68" s="128" t="s">
        <v>904</v>
      </c>
      <c r="AB68" s="128">
        <v>470000</v>
      </c>
      <c r="AC68" s="128" t="s">
        <v>4986</v>
      </c>
      <c r="AH68" s="206">
        <f t="shared" si="7"/>
        <v>970000</v>
      </c>
      <c r="AK68" s="179">
        <f t="shared" si="9"/>
        <v>0</v>
      </c>
      <c r="AL68" s="128">
        <v>18799083300</v>
      </c>
      <c r="AM68" s="128" t="s">
        <v>3402</v>
      </c>
      <c r="AO68" s="128">
        <f t="shared" si="6"/>
        <v>970000</v>
      </c>
      <c r="AP68" s="174">
        <f>0.7%+0.03%+0.12%+0.03%</f>
        <v>0.0088</v>
      </c>
      <c r="AZ68" s="128">
        <v>170000</v>
      </c>
      <c r="BD68" s="128">
        <v>800000</v>
      </c>
      <c r="BQ68" s="128" t="s">
        <v>376</v>
      </c>
      <c r="BS68" s="128" t="s">
        <v>377</v>
      </c>
    </row>
    <row r="69" s="107" customFormat="1" customHeight="1" spans="1:71">
      <c r="A69" s="107">
        <v>46</v>
      </c>
      <c r="C69" s="223"/>
      <c r="I69" s="227" t="s">
        <v>5890</v>
      </c>
      <c r="J69" s="225">
        <v>101.56</v>
      </c>
      <c r="N69" s="107">
        <v>8220.6</v>
      </c>
      <c r="O69" s="157"/>
      <c r="AH69" s="188">
        <f t="shared" si="7"/>
        <v>0</v>
      </c>
      <c r="AK69" s="179">
        <f t="shared" si="9"/>
        <v>0</v>
      </c>
      <c r="AO69" s="128">
        <f t="shared" si="6"/>
        <v>0</v>
      </c>
    </row>
    <row r="70" s="128" customFormat="1" customHeight="1" spans="1:71">
      <c r="A70" s="128">
        <v>47</v>
      </c>
      <c r="B70" s="128"/>
      <c r="C70" s="211">
        <v>46033</v>
      </c>
      <c r="D70" s="128">
        <v>20260000141</v>
      </c>
      <c r="F70" s="1016" t="s">
        <v>5891</v>
      </c>
      <c r="G70" s="128" t="s">
        <v>5892</v>
      </c>
      <c r="H70" s="1016" t="s">
        <v>5893</v>
      </c>
      <c r="I70" s="212" t="s">
        <v>5894</v>
      </c>
      <c r="J70" s="213">
        <v>117.84</v>
      </c>
      <c r="K70" s="128">
        <v>117.84</v>
      </c>
      <c r="L70" s="128">
        <v>5091.649</v>
      </c>
      <c r="M70" s="128">
        <v>600000</v>
      </c>
      <c r="N70" s="128">
        <f>5113.23-300</f>
        <v>4813.23</v>
      </c>
      <c r="O70" s="168">
        <v>550458.72</v>
      </c>
      <c r="P70" s="1016" t="s">
        <v>5895</v>
      </c>
      <c r="Q70" s="171">
        <v>46036</v>
      </c>
      <c r="R70" s="128"/>
      <c r="S70" s="171"/>
      <c r="U70" s="128" t="s">
        <v>807</v>
      </c>
      <c r="V70" s="128">
        <v>10000</v>
      </c>
      <c r="W70" s="171">
        <v>46004</v>
      </c>
      <c r="X70" s="128">
        <v>327000</v>
      </c>
      <c r="Y70" s="171">
        <v>46033</v>
      </c>
      <c r="Z70" s="128">
        <v>63000</v>
      </c>
      <c r="AA70" s="171">
        <v>46043</v>
      </c>
      <c r="AB70" s="128">
        <v>200000</v>
      </c>
      <c r="AC70" s="171">
        <v>46057</v>
      </c>
      <c r="AH70" s="206">
        <f t="shared" si="7"/>
        <v>600000</v>
      </c>
      <c r="AK70" s="179">
        <f t="shared" si="9"/>
        <v>0</v>
      </c>
      <c r="AM70" s="128" t="s">
        <v>3480</v>
      </c>
      <c r="AO70" s="128">
        <f t="shared" si="6"/>
        <v>600000</v>
      </c>
      <c r="AP70" s="169">
        <f>0.6%+0.08%+0.03%</f>
        <v>0.0071</v>
      </c>
      <c r="BJ70" s="128">
        <v>400000</v>
      </c>
      <c r="BK70" s="128">
        <v>200000</v>
      </c>
      <c r="BQ70" s="128" t="s">
        <v>376</v>
      </c>
      <c r="BR70" s="128"/>
      <c r="BS70" s="128" t="s">
        <v>377</v>
      </c>
    </row>
    <row r="71" s="128" customFormat="1" customHeight="1" spans="1:71">
      <c r="A71" s="128">
        <v>48</v>
      </c>
      <c r="B71" s="128"/>
      <c r="C71" s="211">
        <v>46114</v>
      </c>
      <c r="D71" s="128">
        <v>20260001499</v>
      </c>
      <c r="F71" s="1016" t="s">
        <v>137</v>
      </c>
      <c r="G71" s="128" t="s">
        <v>138</v>
      </c>
      <c r="H71" s="1016" t="s">
        <v>139</v>
      </c>
      <c r="I71" s="215" t="s">
        <v>140</v>
      </c>
      <c r="J71" s="213">
        <v>117.84</v>
      </c>
      <c r="K71" s="128">
        <v>117.84</v>
      </c>
      <c r="L71" s="128">
        <v>4900</v>
      </c>
      <c r="M71" s="128">
        <v>577416</v>
      </c>
      <c r="N71" s="128">
        <v>5744.23</v>
      </c>
      <c r="O71" s="168">
        <v>529739.45</v>
      </c>
      <c r="P71" s="1016" t="s">
        <v>5896</v>
      </c>
      <c r="Q71" s="171">
        <v>46125</v>
      </c>
      <c r="R71" s="168"/>
      <c r="S71" s="171"/>
      <c r="U71" s="128" t="s">
        <v>5897</v>
      </c>
      <c r="V71" s="128">
        <v>20000</v>
      </c>
      <c r="W71" s="171">
        <v>46109</v>
      </c>
      <c r="X71" s="128">
        <v>200000</v>
      </c>
      <c r="Y71" s="171">
        <v>46112</v>
      </c>
      <c r="Z71" s="128">
        <v>200000</v>
      </c>
      <c r="AA71" s="171" t="s">
        <v>5898</v>
      </c>
      <c r="AB71" s="128">
        <v>60000</v>
      </c>
      <c r="AC71" s="128" t="s">
        <v>5899</v>
      </c>
      <c r="AD71" s="128">
        <v>97416</v>
      </c>
      <c r="AE71" s="171">
        <v>46113</v>
      </c>
      <c r="AH71" s="206">
        <f t="shared" si="7"/>
        <v>577416</v>
      </c>
      <c r="AK71" s="179">
        <f t="shared" si="9"/>
        <v>0</v>
      </c>
      <c r="AM71" s="128" t="s">
        <v>3480</v>
      </c>
      <c r="AO71" s="128">
        <f t="shared" si="6"/>
        <v>0</v>
      </c>
      <c r="AP71" s="178">
        <f>0.7%+0.04%+0.14%+0.03%</f>
        <v>0.0091</v>
      </c>
      <c r="BL71" s="128">
        <v>577416</v>
      </c>
      <c r="BQ71" s="128" t="s">
        <v>376</v>
      </c>
      <c r="BS71" s="128" t="s">
        <v>5900</v>
      </c>
    </row>
    <row r="72" s="128" customFormat="1" customHeight="1" spans="1:71">
      <c r="A72" s="128">
        <v>49</v>
      </c>
      <c r="B72" s="128"/>
      <c r="C72" s="211">
        <v>45573</v>
      </c>
      <c r="D72" s="128">
        <v>20240005944</v>
      </c>
      <c r="F72" s="1016" t="s">
        <v>5901</v>
      </c>
      <c r="G72" s="128" t="s">
        <v>5902</v>
      </c>
      <c r="H72" s="1016" t="s">
        <v>5903</v>
      </c>
      <c r="I72" s="212" t="s">
        <v>5904</v>
      </c>
      <c r="J72" s="213">
        <v>117.84</v>
      </c>
      <c r="K72" s="128">
        <v>117.84</v>
      </c>
      <c r="L72" s="128">
        <v>5500</v>
      </c>
      <c r="M72" s="128">
        <v>648120</v>
      </c>
      <c r="N72" s="128">
        <v>5500</v>
      </c>
      <c r="O72" s="168">
        <v>594605.5</v>
      </c>
      <c r="P72" s="1016" t="s">
        <v>5905</v>
      </c>
      <c r="Q72" s="171">
        <v>45954</v>
      </c>
      <c r="U72" s="128" t="s">
        <v>772</v>
      </c>
      <c r="V72" s="128">
        <v>10000</v>
      </c>
      <c r="W72" s="128" t="s">
        <v>516</v>
      </c>
      <c r="X72" s="128">
        <v>120120</v>
      </c>
      <c r="Y72" s="128" t="s">
        <v>893</v>
      </c>
      <c r="Z72" s="128">
        <v>518000</v>
      </c>
      <c r="AA72" s="128" t="s">
        <v>908</v>
      </c>
      <c r="AH72" s="206">
        <f t="shared" si="7"/>
        <v>648120</v>
      </c>
      <c r="AK72" s="179">
        <f t="shared" si="9"/>
        <v>0</v>
      </c>
      <c r="AL72" s="128">
        <v>13199710158</v>
      </c>
      <c r="AM72" s="128" t="s">
        <v>5906</v>
      </c>
      <c r="AO72" s="128">
        <f t="shared" si="6"/>
        <v>648120</v>
      </c>
      <c r="AP72" s="169">
        <f>0.4%+0.02%+0.08%+0.03%</f>
        <v>0.0053</v>
      </c>
      <c r="AV72" s="128">
        <v>130120</v>
      </c>
      <c r="AX72" s="128">
        <v>518000</v>
      </c>
      <c r="BQ72" s="128" t="s">
        <v>376</v>
      </c>
      <c r="BS72" s="128" t="s">
        <v>377</v>
      </c>
    </row>
    <row r="73" s="128" customFormat="1" customHeight="1" spans="1:71">
      <c r="A73" s="128">
        <v>50</v>
      </c>
      <c r="B73" s="128"/>
      <c r="C73" s="211">
        <v>45778</v>
      </c>
      <c r="D73" s="128">
        <v>20250002232</v>
      </c>
      <c r="E73" s="128"/>
      <c r="F73" s="1016" t="s">
        <v>5907</v>
      </c>
      <c r="G73" s="128" t="s">
        <v>5908</v>
      </c>
      <c r="H73" s="1016" t="s">
        <v>5909</v>
      </c>
      <c r="I73" s="215" t="s">
        <v>5910</v>
      </c>
      <c r="J73" s="213">
        <v>117.84</v>
      </c>
      <c r="K73" s="128">
        <v>117.84</v>
      </c>
      <c r="L73" s="128">
        <v>5795.99</v>
      </c>
      <c r="M73" s="128">
        <v>683000</v>
      </c>
      <c r="N73" s="128">
        <v>5795.99</v>
      </c>
      <c r="O73" s="168">
        <v>626605.5</v>
      </c>
      <c r="P73" s="1016" t="s">
        <v>5911</v>
      </c>
      <c r="Q73" s="171">
        <v>45953</v>
      </c>
      <c r="R73" s="128"/>
      <c r="S73" s="171"/>
      <c r="T73" s="128"/>
      <c r="U73" s="128" t="s">
        <v>677</v>
      </c>
      <c r="V73" s="128">
        <v>9000</v>
      </c>
      <c r="W73" s="128" t="s">
        <v>3370</v>
      </c>
      <c r="X73" s="128">
        <v>98000</v>
      </c>
      <c r="Y73" s="128" t="s">
        <v>5912</v>
      </c>
      <c r="Z73" s="128">
        <v>30000</v>
      </c>
      <c r="AA73" s="171">
        <v>45846</v>
      </c>
      <c r="AB73" s="128">
        <v>546000</v>
      </c>
      <c r="AC73" s="171">
        <v>45897</v>
      </c>
      <c r="AD73" s="128"/>
      <c r="AE73" s="128"/>
      <c r="AF73" s="128"/>
      <c r="AG73" s="128"/>
      <c r="AH73" s="206">
        <f t="shared" si="7"/>
        <v>683000</v>
      </c>
      <c r="AK73" s="179">
        <f t="shared" si="9"/>
        <v>0</v>
      </c>
      <c r="AL73" s="128">
        <v>13179839839</v>
      </c>
      <c r="AM73" s="128" t="s">
        <v>3640</v>
      </c>
      <c r="AN73" s="128"/>
      <c r="AO73" s="128">
        <f t="shared" si="6"/>
        <v>683000</v>
      </c>
      <c r="AP73" s="169">
        <f>0.4%+0.02%+0.08%+0.03%</f>
        <v>0.0053</v>
      </c>
      <c r="BE73" s="128">
        <v>137000</v>
      </c>
      <c r="BG73" s="128">
        <v>546000</v>
      </c>
      <c r="BQ73" s="128" t="s">
        <v>376</v>
      </c>
      <c r="BS73" s="128" t="s">
        <v>377</v>
      </c>
    </row>
    <row r="74" s="128" customFormat="1" customHeight="1" spans="1:71">
      <c r="A74" s="128">
        <v>51</v>
      </c>
      <c r="B74" s="128"/>
      <c r="C74" s="211">
        <v>45744</v>
      </c>
      <c r="D74" s="128">
        <v>20250001701</v>
      </c>
      <c r="F74" s="1016" t="s">
        <v>5913</v>
      </c>
      <c r="G74" s="128" t="s">
        <v>5914</v>
      </c>
      <c r="H74" s="1016" t="s">
        <v>5760</v>
      </c>
      <c r="I74" s="212" t="s">
        <v>5915</v>
      </c>
      <c r="J74" s="213">
        <v>117.84</v>
      </c>
      <c r="K74" s="128">
        <v>117.84</v>
      </c>
      <c r="L74" s="128">
        <v>5720</v>
      </c>
      <c r="M74" s="128">
        <v>674045</v>
      </c>
      <c r="N74" s="128">
        <v>5720</v>
      </c>
      <c r="O74" s="168">
        <v>618389.91</v>
      </c>
      <c r="P74" s="1016" t="s">
        <v>5916</v>
      </c>
      <c r="Q74" s="171">
        <v>45953</v>
      </c>
      <c r="U74" s="128" t="s">
        <v>524</v>
      </c>
      <c r="V74" s="128">
        <v>20000</v>
      </c>
      <c r="W74" s="128" t="s">
        <v>5917</v>
      </c>
      <c r="X74" s="128">
        <v>64045</v>
      </c>
      <c r="Y74" s="128" t="s">
        <v>5918</v>
      </c>
      <c r="Z74" s="128">
        <v>90000</v>
      </c>
      <c r="AA74" s="128" t="s">
        <v>2977</v>
      </c>
      <c r="AB74" s="128">
        <v>500000</v>
      </c>
      <c r="AC74" s="128" t="s">
        <v>2230</v>
      </c>
      <c r="AH74" s="206">
        <f t="shared" si="7"/>
        <v>674045</v>
      </c>
      <c r="AK74" s="179">
        <f t="shared" si="9"/>
        <v>0</v>
      </c>
      <c r="AL74" s="128">
        <v>18690885935</v>
      </c>
      <c r="AM74" s="128" t="s">
        <v>3402</v>
      </c>
      <c r="AO74" s="128">
        <f t="shared" ref="AO74:AO90" si="10">SUM(AQ74:BK74)</f>
        <v>674045</v>
      </c>
      <c r="AP74" s="174">
        <f>0.7%+0.04%+0.12%+0.03%</f>
        <v>0.0089</v>
      </c>
      <c r="BB74" s="128">
        <v>174045</v>
      </c>
      <c r="BC74" s="128">
        <v>500000</v>
      </c>
      <c r="BQ74" s="128" t="s">
        <v>376</v>
      </c>
      <c r="BS74" s="128" t="s">
        <v>377</v>
      </c>
    </row>
    <row r="75" s="128" customFormat="1" customHeight="1" spans="1:71">
      <c r="A75" s="128">
        <v>52</v>
      </c>
      <c r="B75" s="128"/>
      <c r="C75" s="211">
        <v>45957</v>
      </c>
      <c r="D75" s="128">
        <v>20250005538</v>
      </c>
      <c r="E75" s="128"/>
      <c r="F75" s="1016" t="s">
        <v>5919</v>
      </c>
      <c r="G75" s="128" t="s">
        <v>5920</v>
      </c>
      <c r="H75" s="1016" t="s">
        <v>5921</v>
      </c>
      <c r="I75" s="215" t="s">
        <v>5922</v>
      </c>
      <c r="J75" s="213">
        <v>117.84</v>
      </c>
      <c r="K75" s="128">
        <v>117.84</v>
      </c>
      <c r="L75" s="128">
        <v>5176.51</v>
      </c>
      <c r="M75" s="128">
        <v>610000</v>
      </c>
      <c r="N75" s="128">
        <v>5176.51</v>
      </c>
      <c r="O75" s="168">
        <v>559633.03</v>
      </c>
      <c r="P75" s="1016" t="s">
        <v>5923</v>
      </c>
      <c r="Q75" s="171">
        <v>45980</v>
      </c>
      <c r="R75" s="128"/>
      <c r="S75" s="171"/>
      <c r="T75" s="128"/>
      <c r="U75" s="128" t="s">
        <v>3522</v>
      </c>
      <c r="V75" s="128">
        <v>200000</v>
      </c>
      <c r="W75" s="171">
        <v>45958</v>
      </c>
      <c r="X75" s="128">
        <v>410000</v>
      </c>
      <c r="Y75" s="171">
        <v>45974</v>
      </c>
      <c r="Z75" s="128"/>
      <c r="AA75" s="171"/>
      <c r="AB75" s="128"/>
      <c r="AC75" s="128"/>
      <c r="AD75" s="128"/>
      <c r="AE75" s="128"/>
      <c r="AF75" s="128"/>
      <c r="AG75" s="128"/>
      <c r="AH75" s="206">
        <f t="shared" si="7"/>
        <v>610000</v>
      </c>
      <c r="AK75" s="179">
        <f t="shared" si="9"/>
        <v>0</v>
      </c>
      <c r="AL75" s="128">
        <v>13999603726</v>
      </c>
      <c r="AM75" s="128" t="s">
        <v>3402</v>
      </c>
      <c r="AN75" s="128"/>
      <c r="AO75" s="128">
        <f t="shared" si="10"/>
        <v>610000</v>
      </c>
      <c r="AP75" s="169">
        <f>0.7%+0.08%+0.03%</f>
        <v>0.0081</v>
      </c>
      <c r="BH75" s="128">
        <v>200000</v>
      </c>
      <c r="BJ75" s="128">
        <v>410000</v>
      </c>
      <c r="BN75" s="176"/>
      <c r="BO75" s="128"/>
      <c r="BQ75" s="176" t="s">
        <v>3376</v>
      </c>
      <c r="BS75" s="128" t="s">
        <v>377</v>
      </c>
    </row>
    <row r="76" s="128" customFormat="1" customHeight="1" spans="1:71">
      <c r="A76" s="128">
        <v>53</v>
      </c>
      <c r="C76" s="211">
        <v>45511</v>
      </c>
      <c r="D76" s="128">
        <v>20240004547</v>
      </c>
      <c r="F76" s="128" t="s">
        <v>5924</v>
      </c>
      <c r="G76" s="128" t="s">
        <v>5925</v>
      </c>
      <c r="H76" s="1016" t="s">
        <v>5926</v>
      </c>
      <c r="I76" s="212" t="s">
        <v>5927</v>
      </c>
      <c r="J76" s="213">
        <v>117.84</v>
      </c>
      <c r="K76" s="128">
        <v>117.84</v>
      </c>
      <c r="L76" s="128">
        <f>M76/K76</f>
        <v>5770.53632043449</v>
      </c>
      <c r="M76" s="128">
        <v>680000</v>
      </c>
      <c r="N76" s="128">
        <v>5770.535</v>
      </c>
      <c r="O76" s="168">
        <v>623853.21</v>
      </c>
      <c r="P76" s="1016" t="s">
        <v>5928</v>
      </c>
      <c r="Q76" s="171">
        <v>45953</v>
      </c>
      <c r="U76" s="128" t="s">
        <v>677</v>
      </c>
      <c r="V76" s="128">
        <v>10000</v>
      </c>
      <c r="W76" s="128" t="s">
        <v>4656</v>
      </c>
      <c r="X76" s="128">
        <v>250000</v>
      </c>
      <c r="Y76" s="128" t="s">
        <v>852</v>
      </c>
      <c r="Z76" s="128">
        <v>420000</v>
      </c>
      <c r="AA76" s="128" t="s">
        <v>487</v>
      </c>
      <c r="AH76" s="206">
        <f t="shared" si="7"/>
        <v>680000</v>
      </c>
      <c r="AK76" s="179">
        <f t="shared" ref="AK76:AK82" si="11">M76-AH76</f>
        <v>0</v>
      </c>
      <c r="AL76" s="128">
        <v>13199729933</v>
      </c>
      <c r="AM76" s="128" t="s">
        <v>5929</v>
      </c>
      <c r="AO76" s="128">
        <f t="shared" si="10"/>
        <v>680000</v>
      </c>
      <c r="AP76" s="178">
        <f>0.5%+0.02%+0.08%</f>
        <v>0.006</v>
      </c>
      <c r="AT76" s="128">
        <v>260000</v>
      </c>
      <c r="AV76" s="128">
        <v>420000</v>
      </c>
      <c r="BQ76" s="128" t="s">
        <v>376</v>
      </c>
      <c r="BS76" s="128" t="s">
        <v>377</v>
      </c>
    </row>
    <row r="77" s="128" customFormat="1" customHeight="1" spans="1:71">
      <c r="A77" s="128">
        <v>54</v>
      </c>
      <c r="B77" s="128"/>
      <c r="C77" s="211">
        <v>45744</v>
      </c>
      <c r="D77" s="128">
        <v>20250001703</v>
      </c>
      <c r="F77" s="1016" t="s">
        <v>5930</v>
      </c>
      <c r="G77" s="128" t="s">
        <v>5931</v>
      </c>
      <c r="H77" s="1016" t="s">
        <v>5618</v>
      </c>
      <c r="I77" s="215" t="s">
        <v>5932</v>
      </c>
      <c r="J77" s="213">
        <v>117.84</v>
      </c>
      <c r="K77" s="128">
        <v>117.84</v>
      </c>
      <c r="L77" s="128">
        <v>5800</v>
      </c>
      <c r="M77" s="128">
        <v>683472</v>
      </c>
      <c r="N77" s="128">
        <v>5800</v>
      </c>
      <c r="O77" s="168">
        <v>627038.53</v>
      </c>
      <c r="P77" s="1016" t="s">
        <v>5933</v>
      </c>
      <c r="Q77" s="171">
        <v>45953</v>
      </c>
      <c r="U77" s="128" t="s">
        <v>524</v>
      </c>
      <c r="V77" s="128">
        <v>20000</v>
      </c>
      <c r="W77" s="128" t="s">
        <v>5917</v>
      </c>
      <c r="X77" s="128">
        <v>59472</v>
      </c>
      <c r="Y77" s="128" t="s">
        <v>5918</v>
      </c>
      <c r="Z77" s="128">
        <v>64000</v>
      </c>
      <c r="AA77" s="128" t="s">
        <v>2977</v>
      </c>
      <c r="AB77" s="128">
        <v>540000</v>
      </c>
      <c r="AC77" s="128" t="s">
        <v>2230</v>
      </c>
      <c r="AH77" s="206">
        <f t="shared" si="7"/>
        <v>683472</v>
      </c>
      <c r="AK77" s="179">
        <f t="shared" si="11"/>
        <v>0</v>
      </c>
      <c r="AL77" s="128">
        <v>19190112023</v>
      </c>
      <c r="AM77" s="128" t="s">
        <v>3402</v>
      </c>
      <c r="AO77" s="128">
        <f t="shared" si="10"/>
        <v>683472</v>
      </c>
      <c r="AP77" s="174">
        <f>0.7%+0.04%+0.12%+0.03%</f>
        <v>0.0089</v>
      </c>
      <c r="BB77" s="128">
        <v>143472</v>
      </c>
      <c r="BC77" s="128">
        <v>540000</v>
      </c>
      <c r="BQ77" s="128" t="s">
        <v>376</v>
      </c>
      <c r="BS77" s="128" t="s">
        <v>377</v>
      </c>
    </row>
    <row r="78" s="128" customFormat="1" customHeight="1" spans="1:71">
      <c r="A78" s="128">
        <v>55</v>
      </c>
      <c r="B78" s="128"/>
      <c r="C78" s="211">
        <v>45607</v>
      </c>
      <c r="D78" s="128">
        <v>20240006533</v>
      </c>
      <c r="F78" s="1016" t="s">
        <v>5934</v>
      </c>
      <c r="G78" s="128" t="s">
        <v>5935</v>
      </c>
      <c r="H78" s="1016" t="s">
        <v>5936</v>
      </c>
      <c r="I78" s="212" t="s">
        <v>5937</v>
      </c>
      <c r="J78" s="213">
        <v>117.84</v>
      </c>
      <c r="K78" s="128">
        <v>117.84</v>
      </c>
      <c r="L78" s="128">
        <v>5855.4</v>
      </c>
      <c r="M78" s="128">
        <v>690000</v>
      </c>
      <c r="N78" s="128">
        <v>5993.76</v>
      </c>
      <c r="O78" s="168">
        <v>633027.52</v>
      </c>
      <c r="P78" s="1016" t="s">
        <v>5938</v>
      </c>
      <c r="Q78" s="171">
        <v>45954</v>
      </c>
      <c r="U78" s="128" t="s">
        <v>410</v>
      </c>
      <c r="V78" s="128">
        <v>20000</v>
      </c>
      <c r="W78" s="128" t="s">
        <v>2256</v>
      </c>
      <c r="X78" s="128">
        <v>670000</v>
      </c>
      <c r="Y78" s="128" t="s">
        <v>3382</v>
      </c>
      <c r="AH78" s="206">
        <f t="shared" si="7"/>
        <v>690000</v>
      </c>
      <c r="AK78" s="179">
        <f t="shared" si="11"/>
        <v>0</v>
      </c>
      <c r="AL78" s="128">
        <v>13667539298</v>
      </c>
      <c r="AM78" s="128" t="s">
        <v>3402</v>
      </c>
      <c r="AO78" s="128">
        <f t="shared" si="10"/>
        <v>690000</v>
      </c>
      <c r="AP78" s="169">
        <f>0.7%+0.08%+0.03%</f>
        <v>0.0081</v>
      </c>
      <c r="AW78" s="128">
        <v>690000</v>
      </c>
      <c r="BQ78" s="128" t="s">
        <v>376</v>
      </c>
      <c r="BS78" s="128" t="s">
        <v>377</v>
      </c>
    </row>
    <row r="79" s="128" customFormat="1" customHeight="1" spans="1:71">
      <c r="A79" s="128">
        <v>56</v>
      </c>
      <c r="B79" s="128"/>
      <c r="C79" s="211">
        <v>45569</v>
      </c>
      <c r="D79" s="128">
        <v>20240005772</v>
      </c>
      <c r="F79" s="128" t="s">
        <v>5939</v>
      </c>
      <c r="G79" s="128" t="s">
        <v>5940</v>
      </c>
      <c r="H79" s="1016" t="s">
        <v>5941</v>
      </c>
      <c r="I79" s="215" t="s">
        <v>5942</v>
      </c>
      <c r="J79" s="213">
        <v>117.84</v>
      </c>
      <c r="K79" s="128">
        <v>117.84</v>
      </c>
      <c r="L79" s="128">
        <v>5770.54</v>
      </c>
      <c r="M79" s="128">
        <v>680000</v>
      </c>
      <c r="N79" s="128">
        <v>5770.54</v>
      </c>
      <c r="O79" s="168">
        <v>623853.21</v>
      </c>
      <c r="P79" s="177" t="s">
        <v>5943</v>
      </c>
      <c r="Q79" s="171">
        <v>45953</v>
      </c>
      <c r="S79" s="171"/>
      <c r="U79" s="128" t="s">
        <v>840</v>
      </c>
      <c r="V79" s="128">
        <v>20000</v>
      </c>
      <c r="W79" s="171">
        <v>45564</v>
      </c>
      <c r="X79" s="128">
        <v>150000</v>
      </c>
      <c r="Y79" s="171" t="s">
        <v>613</v>
      </c>
      <c r="Z79" s="128">
        <v>510000</v>
      </c>
      <c r="AA79" s="128" t="s">
        <v>889</v>
      </c>
      <c r="AH79" s="206">
        <f t="shared" si="7"/>
        <v>680000</v>
      </c>
      <c r="AK79" s="179">
        <f t="shared" si="11"/>
        <v>0</v>
      </c>
      <c r="AL79" s="128">
        <v>13565064892</v>
      </c>
      <c r="AO79" s="128">
        <f t="shared" si="10"/>
        <v>680000</v>
      </c>
      <c r="AP79" s="169">
        <f>0.5%+0.1%</f>
        <v>0.006</v>
      </c>
      <c r="AV79" s="128">
        <v>680000</v>
      </c>
      <c r="BQ79" s="128" t="s">
        <v>376</v>
      </c>
      <c r="BS79" s="128" t="s">
        <v>377</v>
      </c>
    </row>
    <row r="80" s="128" customFormat="1" customHeight="1" spans="1:71">
      <c r="A80" s="128">
        <v>57</v>
      </c>
      <c r="B80" s="128"/>
      <c r="C80" s="211">
        <v>45570</v>
      </c>
      <c r="D80" s="128">
        <v>20240005923</v>
      </c>
      <c r="F80" s="1016" t="s">
        <v>5944</v>
      </c>
      <c r="G80" s="128" t="s">
        <v>5945</v>
      </c>
      <c r="I80" s="216" t="s">
        <v>5946</v>
      </c>
      <c r="J80" s="213">
        <v>117.84</v>
      </c>
      <c r="K80" s="128">
        <v>117.84</v>
      </c>
      <c r="L80" s="128">
        <v>6000</v>
      </c>
      <c r="M80" s="128">
        <v>707040</v>
      </c>
      <c r="N80" s="128">
        <v>6000</v>
      </c>
      <c r="O80" s="168">
        <v>648660.55</v>
      </c>
      <c r="P80" s="177" t="s">
        <v>5947</v>
      </c>
      <c r="Q80" s="171">
        <v>45954</v>
      </c>
      <c r="V80" s="128">
        <v>87040</v>
      </c>
      <c r="W80" s="128" t="s">
        <v>516</v>
      </c>
      <c r="X80" s="128">
        <v>320000</v>
      </c>
      <c r="Y80" s="128" t="s">
        <v>4194</v>
      </c>
      <c r="Z80" s="128">
        <v>300000</v>
      </c>
      <c r="AA80" s="128" t="s">
        <v>508</v>
      </c>
      <c r="AH80" s="206">
        <f t="shared" si="7"/>
        <v>707040</v>
      </c>
      <c r="AK80" s="179">
        <f t="shared" si="11"/>
        <v>0</v>
      </c>
      <c r="AL80" s="128">
        <v>18196293503</v>
      </c>
      <c r="AM80" s="128" t="s">
        <v>4698</v>
      </c>
      <c r="AO80" s="128">
        <f t="shared" si="10"/>
        <v>707040</v>
      </c>
      <c r="AP80" s="169">
        <f>0.7%+0.08%+0.03%</f>
        <v>0.0081</v>
      </c>
      <c r="AV80" s="128">
        <v>407040</v>
      </c>
      <c r="AW80" s="128">
        <v>300000</v>
      </c>
      <c r="BQ80" s="128" t="s">
        <v>376</v>
      </c>
      <c r="BS80" s="128" t="s">
        <v>377</v>
      </c>
    </row>
    <row r="81" s="128" customFormat="1" customHeight="1" spans="1:73">
      <c r="A81" s="128">
        <v>58</v>
      </c>
      <c r="B81" s="128"/>
      <c r="C81" s="211">
        <v>45646</v>
      </c>
      <c r="D81" s="128">
        <v>20240007355</v>
      </c>
      <c r="F81" s="1016" t="s">
        <v>5948</v>
      </c>
      <c r="G81" s="128" t="s">
        <v>4993</v>
      </c>
      <c r="H81" s="1016" t="s">
        <v>5949</v>
      </c>
      <c r="I81" s="212" t="s">
        <v>5950</v>
      </c>
      <c r="J81" s="213">
        <v>117.84</v>
      </c>
      <c r="K81" s="128">
        <v>117.84</v>
      </c>
      <c r="L81" s="128">
        <v>5643.25</v>
      </c>
      <c r="M81" s="128">
        <v>665000</v>
      </c>
      <c r="N81" s="128">
        <v>6023.67</v>
      </c>
      <c r="O81" s="168">
        <v>610091.74</v>
      </c>
      <c r="P81" s="1016" t="s">
        <v>5951</v>
      </c>
      <c r="Q81" s="171">
        <v>45954</v>
      </c>
      <c r="U81" s="128" t="s">
        <v>383</v>
      </c>
      <c r="V81" s="128">
        <v>20000</v>
      </c>
      <c r="W81" s="128" t="s">
        <v>3399</v>
      </c>
      <c r="X81" s="128">
        <v>200000</v>
      </c>
      <c r="Y81" s="128" t="s">
        <v>525</v>
      </c>
      <c r="Z81" s="128">
        <v>180000</v>
      </c>
      <c r="AA81" s="128" t="s">
        <v>525</v>
      </c>
      <c r="AB81" s="128">
        <v>265000</v>
      </c>
      <c r="AC81" s="128" t="s">
        <v>622</v>
      </c>
      <c r="AH81" s="206">
        <f t="shared" si="7"/>
        <v>665000</v>
      </c>
      <c r="AK81" s="179">
        <f t="shared" si="11"/>
        <v>0</v>
      </c>
      <c r="AL81" s="128">
        <v>13150459500</v>
      </c>
      <c r="AM81" s="128" t="s">
        <v>3487</v>
      </c>
      <c r="AO81" s="128">
        <f t="shared" si="10"/>
        <v>665000</v>
      </c>
      <c r="AP81" s="169">
        <f>0.6%+0.08%+0.03%</f>
        <v>0.0071</v>
      </c>
      <c r="AX81" s="128">
        <v>400000</v>
      </c>
      <c r="AY81" s="128">
        <v>265000</v>
      </c>
      <c r="BQ81" s="128" t="s">
        <v>376</v>
      </c>
      <c r="BS81" s="128" t="s">
        <v>377</v>
      </c>
    </row>
    <row r="82" s="128" customFormat="1" customHeight="1" spans="1:73">
      <c r="A82" s="128">
        <v>59</v>
      </c>
      <c r="B82" s="128"/>
      <c r="C82" s="211">
        <v>45591</v>
      </c>
      <c r="D82" s="128">
        <v>20240006294</v>
      </c>
      <c r="F82" s="1016" t="s">
        <v>5952</v>
      </c>
      <c r="G82" s="128" t="s">
        <v>5953</v>
      </c>
      <c r="I82" s="212" t="s">
        <v>5954</v>
      </c>
      <c r="J82" s="213">
        <v>117.84</v>
      </c>
      <c r="K82" s="128">
        <v>117.84</v>
      </c>
      <c r="L82" s="128">
        <v>5914.8</v>
      </c>
      <c r="M82" s="128">
        <v>697000</v>
      </c>
      <c r="N82" s="128">
        <v>6069.84</v>
      </c>
      <c r="O82" s="168">
        <v>639449.54</v>
      </c>
      <c r="P82" s="1016" t="s">
        <v>5955</v>
      </c>
      <c r="Q82" s="171">
        <v>45954</v>
      </c>
      <c r="S82" s="171"/>
      <c r="U82" s="128" t="s">
        <v>524</v>
      </c>
      <c r="V82" s="128">
        <f>20000+97000</f>
        <v>117000</v>
      </c>
      <c r="W82" s="171" t="s">
        <v>2256</v>
      </c>
      <c r="X82" s="128">
        <v>580000</v>
      </c>
      <c r="Y82" s="171" t="s">
        <v>4483</v>
      </c>
      <c r="AH82" s="206">
        <f t="shared" si="7"/>
        <v>697000</v>
      </c>
      <c r="AK82" s="179">
        <f t="shared" si="11"/>
        <v>0</v>
      </c>
      <c r="AL82" s="128">
        <v>18699501864</v>
      </c>
      <c r="AM82" s="128" t="s">
        <v>3402</v>
      </c>
      <c r="AO82" s="128">
        <f t="shared" si="10"/>
        <v>697000</v>
      </c>
      <c r="AP82" s="169">
        <f>0.6%+0.02%+0.08%+0.03%</f>
        <v>0.0073</v>
      </c>
      <c r="AW82" s="128">
        <v>697000</v>
      </c>
      <c r="BQ82" s="128" t="s">
        <v>376</v>
      </c>
      <c r="BS82" s="128" t="s">
        <v>377</v>
      </c>
    </row>
    <row r="83" s="128" customFormat="1" customHeight="1" spans="1:73">
      <c r="A83" s="128">
        <v>60</v>
      </c>
      <c r="B83" s="128"/>
      <c r="C83" s="211">
        <v>45717</v>
      </c>
      <c r="D83" s="128">
        <v>20250000963</v>
      </c>
      <c r="F83" s="1016" t="s">
        <v>5956</v>
      </c>
      <c r="G83" s="128" t="s">
        <v>5957</v>
      </c>
      <c r="H83" s="1016" t="s">
        <v>5958</v>
      </c>
      <c r="I83" s="212" t="s">
        <v>5959</v>
      </c>
      <c r="J83" s="213">
        <v>117.84</v>
      </c>
      <c r="K83" s="128">
        <v>117.84</v>
      </c>
      <c r="L83" s="128">
        <v>5897.82</v>
      </c>
      <c r="M83" s="128">
        <v>695000</v>
      </c>
      <c r="N83" s="128">
        <v>6050.84</v>
      </c>
      <c r="O83" s="168">
        <v>637614.68</v>
      </c>
      <c r="P83" s="177" t="s">
        <v>5960</v>
      </c>
      <c r="Q83" s="171">
        <v>45953</v>
      </c>
      <c r="U83" s="128" t="s">
        <v>393</v>
      </c>
      <c r="V83" s="128">
        <v>10000</v>
      </c>
      <c r="W83" s="128" t="s">
        <v>509</v>
      </c>
      <c r="X83" s="128">
        <v>109000</v>
      </c>
      <c r="Y83" s="128" t="s">
        <v>546</v>
      </c>
      <c r="Z83" s="128">
        <v>12000</v>
      </c>
      <c r="AA83" s="128" t="s">
        <v>3407</v>
      </c>
      <c r="AB83" s="128">
        <v>8000</v>
      </c>
      <c r="AC83" s="128" t="s">
        <v>865</v>
      </c>
      <c r="AD83" s="128">
        <v>556000</v>
      </c>
      <c r="AE83" s="128" t="s">
        <v>3153</v>
      </c>
      <c r="AH83" s="206">
        <f t="shared" si="7"/>
        <v>695000</v>
      </c>
      <c r="AK83" s="179">
        <f t="shared" ref="AK83:AK89" si="12">M83-AH83</f>
        <v>0</v>
      </c>
      <c r="AL83" s="128">
        <v>16698739888</v>
      </c>
      <c r="AM83" s="128" t="s">
        <v>3402</v>
      </c>
      <c r="AO83" s="128">
        <f t="shared" si="10"/>
        <v>695000</v>
      </c>
      <c r="AP83" s="169">
        <f>0.4%+0.03%+0.08%+0.03%</f>
        <v>0.0054</v>
      </c>
      <c r="BA83" s="128">
        <v>139000</v>
      </c>
      <c r="BC83" s="128">
        <v>556000</v>
      </c>
      <c r="BQ83" s="128" t="s">
        <v>376</v>
      </c>
      <c r="BS83" s="128" t="s">
        <v>377</v>
      </c>
    </row>
    <row r="84" s="128" customFormat="1" customHeight="1" spans="1:73">
      <c r="A84" s="128">
        <v>61</v>
      </c>
      <c r="B84" s="128"/>
      <c r="C84" s="211">
        <v>45566</v>
      </c>
      <c r="D84" s="128">
        <v>20240005540</v>
      </c>
      <c r="F84" s="1016" t="s">
        <v>5961</v>
      </c>
      <c r="G84" s="128" t="s">
        <v>5962</v>
      </c>
      <c r="I84" s="215" t="s">
        <v>5963</v>
      </c>
      <c r="J84" s="213">
        <v>117.84</v>
      </c>
      <c r="K84" s="128">
        <v>117.84</v>
      </c>
      <c r="L84" s="128">
        <v>5855.4</v>
      </c>
      <c r="M84" s="128">
        <v>690000</v>
      </c>
      <c r="N84" s="128">
        <v>5855.4</v>
      </c>
      <c r="O84" s="168">
        <v>633027.52</v>
      </c>
      <c r="P84" s="1016" t="s">
        <v>5964</v>
      </c>
      <c r="Q84" s="171">
        <v>45953</v>
      </c>
      <c r="S84" s="171"/>
      <c r="U84" s="128" t="s">
        <v>486</v>
      </c>
      <c r="V84" s="128">
        <v>20000</v>
      </c>
      <c r="W84" s="171">
        <v>45551</v>
      </c>
      <c r="X84" s="128">
        <v>124000</v>
      </c>
      <c r="Y84" s="171" t="s">
        <v>374</v>
      </c>
      <c r="Z84" s="128">
        <v>66000</v>
      </c>
      <c r="AA84" s="171" t="s">
        <v>545</v>
      </c>
      <c r="AB84" s="128">
        <v>480000</v>
      </c>
      <c r="AC84" s="128" t="s">
        <v>525</v>
      </c>
      <c r="AH84" s="206">
        <f t="shared" si="7"/>
        <v>690000</v>
      </c>
      <c r="AK84" s="179">
        <f t="shared" si="12"/>
        <v>0</v>
      </c>
      <c r="AL84" s="128">
        <v>18196233306</v>
      </c>
      <c r="AO84" s="128">
        <f t="shared" si="10"/>
        <v>690000</v>
      </c>
      <c r="AP84" s="169">
        <f>0.5%+0.04%+0.1%</f>
        <v>0.0064</v>
      </c>
      <c r="AT84" s="107"/>
      <c r="AU84" s="107"/>
      <c r="AV84" s="107">
        <v>144000</v>
      </c>
      <c r="AW84" s="107"/>
      <c r="AX84" s="107">
        <v>546000</v>
      </c>
      <c r="AY84" s="107"/>
      <c r="AZ84" s="107"/>
      <c r="BA84" s="107"/>
      <c r="BB84" s="107"/>
      <c r="BC84" s="107"/>
      <c r="BD84" s="107"/>
      <c r="BE84" s="107"/>
      <c r="BF84" s="107"/>
      <c r="BG84" s="107"/>
      <c r="BH84" s="107"/>
      <c r="BI84" s="107"/>
      <c r="BJ84" s="107"/>
      <c r="BK84" s="107"/>
      <c r="BL84" s="107"/>
      <c r="BM84" s="107"/>
      <c r="BQ84" s="128" t="s">
        <v>376</v>
      </c>
      <c r="BS84" s="128" t="s">
        <v>377</v>
      </c>
    </row>
    <row r="85" s="128" customFormat="1" customHeight="1" spans="1:73">
      <c r="A85" s="128">
        <v>62</v>
      </c>
      <c r="B85" s="128"/>
      <c r="C85" s="211">
        <v>45566</v>
      </c>
      <c r="D85" s="128">
        <v>20240005552</v>
      </c>
      <c r="F85" s="1016" t="s">
        <v>5965</v>
      </c>
      <c r="G85" s="128" t="s">
        <v>5966</v>
      </c>
      <c r="I85" s="212" t="s">
        <v>5967</v>
      </c>
      <c r="J85" s="213">
        <v>117.84</v>
      </c>
      <c r="K85" s="128">
        <v>117.84</v>
      </c>
      <c r="L85" s="128">
        <v>6079.76</v>
      </c>
      <c r="M85" s="128">
        <v>716438</v>
      </c>
      <c r="N85" s="128">
        <v>6079.76</v>
      </c>
      <c r="O85" s="168">
        <v>657282.57</v>
      </c>
      <c r="P85" s="1016" t="s">
        <v>5968</v>
      </c>
      <c r="Q85" s="171">
        <v>45953</v>
      </c>
      <c r="T85" s="1016" t="s">
        <v>423</v>
      </c>
      <c r="U85" s="128" t="s">
        <v>677</v>
      </c>
      <c r="V85" s="128">
        <v>2000</v>
      </c>
      <c r="W85" s="128" t="s">
        <v>3806</v>
      </c>
      <c r="X85" s="128">
        <v>20000</v>
      </c>
      <c r="Y85" s="128" t="s">
        <v>374</v>
      </c>
      <c r="Z85" s="128">
        <v>250000</v>
      </c>
      <c r="AA85" s="128" t="s">
        <v>1237</v>
      </c>
      <c r="AB85" s="128">
        <v>444438</v>
      </c>
      <c r="AC85" s="128" t="s">
        <v>1022</v>
      </c>
      <c r="AH85" s="206">
        <f t="shared" si="7"/>
        <v>716438</v>
      </c>
      <c r="AK85" s="179">
        <f t="shared" si="12"/>
        <v>0</v>
      </c>
      <c r="AL85" s="128">
        <v>19990286738</v>
      </c>
      <c r="AM85" s="128" t="s">
        <v>4698</v>
      </c>
      <c r="AO85" s="128">
        <f t="shared" si="10"/>
        <v>716438</v>
      </c>
      <c r="AP85" s="217">
        <f>0.5%+0.02%+0.08%+0.03%</f>
        <v>0.0063</v>
      </c>
      <c r="AW85" s="128">
        <v>716438</v>
      </c>
      <c r="BQ85" s="128" t="s">
        <v>376</v>
      </c>
      <c r="BS85" s="128" t="s">
        <v>377</v>
      </c>
    </row>
    <row r="86" s="128" customFormat="1" customHeight="1" spans="1:73">
      <c r="A86" s="128">
        <v>63</v>
      </c>
      <c r="B86" s="128"/>
      <c r="C86" s="211">
        <v>45674</v>
      </c>
      <c r="D86" s="128">
        <v>20250000306</v>
      </c>
      <c r="F86" s="128" t="s">
        <v>5969</v>
      </c>
      <c r="G86" s="128" t="s">
        <v>5970</v>
      </c>
      <c r="I86" s="215" t="s">
        <v>5971</v>
      </c>
      <c r="J86" s="213">
        <v>117.84</v>
      </c>
      <c r="K86" s="128">
        <v>117.84</v>
      </c>
      <c r="L86" s="128">
        <v>5835.03</v>
      </c>
      <c r="M86" s="128">
        <v>687600</v>
      </c>
      <c r="N86" s="128">
        <v>5835.03</v>
      </c>
      <c r="O86" s="168">
        <v>630825.69</v>
      </c>
      <c r="P86" s="1016" t="s">
        <v>5972</v>
      </c>
      <c r="Q86" s="171">
        <v>45954</v>
      </c>
      <c r="U86" s="128" t="s">
        <v>373</v>
      </c>
      <c r="V86" s="128">
        <f>40000+6600</f>
        <v>46600</v>
      </c>
      <c r="W86" s="128" t="s">
        <v>5973</v>
      </c>
      <c r="X86" s="128">
        <v>141000</v>
      </c>
      <c r="Y86" s="128" t="s">
        <v>3584</v>
      </c>
      <c r="Z86" s="128">
        <v>500000</v>
      </c>
      <c r="AA86" s="128" t="s">
        <v>3407</v>
      </c>
      <c r="AH86" s="206">
        <f t="shared" si="7"/>
        <v>687600</v>
      </c>
      <c r="AK86" s="179">
        <f t="shared" si="12"/>
        <v>0</v>
      </c>
      <c r="AL86" s="128">
        <v>18099596932</v>
      </c>
      <c r="AM86" s="128" t="s">
        <v>3480</v>
      </c>
      <c r="AO86" s="128">
        <f t="shared" si="10"/>
        <v>687600</v>
      </c>
      <c r="AP86" s="169">
        <f>0.7%+0.05%+0.1%+0.03%</f>
        <v>0.0088</v>
      </c>
      <c r="AZ86" s="128">
        <v>187600</v>
      </c>
      <c r="BA86" s="128">
        <v>500000</v>
      </c>
      <c r="BQ86" s="128" t="s">
        <v>376</v>
      </c>
      <c r="BS86" s="128" t="s">
        <v>377</v>
      </c>
    </row>
    <row r="87" s="128" customFormat="1" customHeight="1" spans="1:73">
      <c r="A87" s="128">
        <v>64</v>
      </c>
      <c r="B87" s="128"/>
      <c r="C87" s="211">
        <v>45701</v>
      </c>
      <c r="D87" s="128">
        <v>20250000609</v>
      </c>
      <c r="F87" s="1016" t="s">
        <v>5974</v>
      </c>
      <c r="G87" s="128" t="s">
        <v>5975</v>
      </c>
      <c r="I87" s="212" t="s">
        <v>5976</v>
      </c>
      <c r="J87" s="213">
        <v>117.84</v>
      </c>
      <c r="K87" s="128">
        <v>117.84</v>
      </c>
      <c r="L87" s="128">
        <v>6109.97</v>
      </c>
      <c r="M87" s="128">
        <v>720000</v>
      </c>
      <c r="N87" s="128">
        <v>6101.49</v>
      </c>
      <c r="O87" s="168">
        <v>660550.46</v>
      </c>
      <c r="P87" s="1016" t="s">
        <v>5977</v>
      </c>
      <c r="Q87" s="171">
        <v>45953</v>
      </c>
      <c r="U87" s="128" t="s">
        <v>524</v>
      </c>
      <c r="V87" s="128">
        <v>10000</v>
      </c>
      <c r="W87" s="128" t="s">
        <v>3531</v>
      </c>
      <c r="X87" s="128">
        <v>100000</v>
      </c>
      <c r="Y87" s="128" t="s">
        <v>5978</v>
      </c>
      <c r="Z87" s="128">
        <v>610000</v>
      </c>
      <c r="AA87" s="128" t="s">
        <v>1057</v>
      </c>
      <c r="AH87" s="206">
        <f t="shared" si="7"/>
        <v>720000</v>
      </c>
      <c r="AK87" s="179">
        <f t="shared" si="12"/>
        <v>0</v>
      </c>
      <c r="AL87" s="128">
        <v>17767650597</v>
      </c>
      <c r="AM87" s="128" t="s">
        <v>5979</v>
      </c>
      <c r="AO87" s="128">
        <f t="shared" si="10"/>
        <v>720000</v>
      </c>
      <c r="AP87" s="169">
        <f>0.4%+0.04%+0.1%+0.03%</f>
        <v>0.0057</v>
      </c>
      <c r="AZ87" s="128">
        <v>110000</v>
      </c>
      <c r="BA87" s="128">
        <v>610000</v>
      </c>
      <c r="BQ87" s="128" t="s">
        <v>376</v>
      </c>
      <c r="BS87" s="128" t="s">
        <v>377</v>
      </c>
    </row>
    <row r="88" s="128" customFormat="1" customHeight="1" spans="1:73">
      <c r="A88" s="128">
        <v>65</v>
      </c>
      <c r="B88" s="128"/>
      <c r="C88" s="211">
        <v>45782</v>
      </c>
      <c r="D88" s="128">
        <v>20250002572</v>
      </c>
      <c r="F88" s="1016" t="s">
        <v>5980</v>
      </c>
      <c r="G88" s="128" t="s">
        <v>5981</v>
      </c>
      <c r="H88" s="1016" t="s">
        <v>5982</v>
      </c>
      <c r="I88" s="215" t="s">
        <v>5983</v>
      </c>
      <c r="J88" s="213">
        <v>117.84</v>
      </c>
      <c r="K88" s="128">
        <v>117.84</v>
      </c>
      <c r="L88" s="128">
        <v>6850</v>
      </c>
      <c r="M88" s="128">
        <v>807204</v>
      </c>
      <c r="N88" s="128">
        <v>7126.6</v>
      </c>
      <c r="O88" s="168">
        <v>740554.13</v>
      </c>
      <c r="P88" s="1016" t="s">
        <v>5984</v>
      </c>
      <c r="Q88" s="171">
        <v>45953</v>
      </c>
      <c r="U88" s="128" t="s">
        <v>677</v>
      </c>
      <c r="V88" s="128">
        <v>20000</v>
      </c>
      <c r="W88" s="128" t="s">
        <v>509</v>
      </c>
      <c r="X88" s="128">
        <v>60000</v>
      </c>
      <c r="Y88" s="128" t="s">
        <v>3681</v>
      </c>
      <c r="Z88" s="128">
        <v>87204</v>
      </c>
      <c r="AA88" s="128" t="s">
        <v>2750</v>
      </c>
      <c r="AB88" s="128">
        <v>40000</v>
      </c>
      <c r="AC88" s="128" t="s">
        <v>5985</v>
      </c>
      <c r="AD88" s="128">
        <v>600000</v>
      </c>
      <c r="AE88" s="128" t="s">
        <v>3461</v>
      </c>
      <c r="AH88" s="206">
        <f t="shared" si="7"/>
        <v>807204</v>
      </c>
      <c r="AK88" s="179">
        <f t="shared" si="12"/>
        <v>0</v>
      </c>
      <c r="AL88" s="128">
        <v>18196240028</v>
      </c>
      <c r="AM88" s="128" t="s">
        <v>5986</v>
      </c>
      <c r="AO88" s="128">
        <f t="shared" si="10"/>
        <v>807204</v>
      </c>
      <c r="AP88" s="169">
        <f>0.7%+0.03%+0.08%+0.03%</f>
        <v>0.0084</v>
      </c>
      <c r="BC88" s="128">
        <v>807204</v>
      </c>
      <c r="BQ88" s="128" t="s">
        <v>376</v>
      </c>
      <c r="BS88" s="128" t="s">
        <v>377</v>
      </c>
    </row>
    <row r="89" s="128" customFormat="1" customHeight="1" spans="1:73">
      <c r="A89" s="128">
        <v>66</v>
      </c>
      <c r="B89" s="128">
        <v>1</v>
      </c>
      <c r="C89" s="228">
        <v>46190</v>
      </c>
      <c r="D89" s="229" t="s">
        <v>141</v>
      </c>
      <c r="F89" s="1016" t="s">
        <v>142</v>
      </c>
      <c r="G89" s="128" t="s">
        <v>143</v>
      </c>
      <c r="H89" s="1016" t="s">
        <v>144</v>
      </c>
      <c r="I89" s="212" t="s">
        <v>145</v>
      </c>
      <c r="J89" s="213">
        <v>117.84</v>
      </c>
      <c r="K89" s="128">
        <v>117.84</v>
      </c>
      <c r="L89" s="128">
        <v>6000</v>
      </c>
      <c r="M89" s="128">
        <v>707040</v>
      </c>
      <c r="N89" s="128">
        <v>7109.6</v>
      </c>
      <c r="O89" s="168">
        <v>648660.55</v>
      </c>
      <c r="P89" s="1016" t="s">
        <v>5987</v>
      </c>
      <c r="Q89" s="171">
        <v>46199</v>
      </c>
      <c r="R89" s="128">
        <f>297040+10000</f>
        <v>307040</v>
      </c>
      <c r="S89" s="171">
        <v>46178</v>
      </c>
      <c r="U89" s="128" t="s">
        <v>807</v>
      </c>
      <c r="V89" s="128">
        <v>10000</v>
      </c>
      <c r="W89" s="171">
        <v>46178</v>
      </c>
      <c r="X89" s="128">
        <v>297040</v>
      </c>
      <c r="Y89" s="171">
        <v>46190</v>
      </c>
      <c r="AH89" s="206">
        <f t="shared" si="7"/>
        <v>307040</v>
      </c>
      <c r="AK89" s="179">
        <f t="shared" si="12"/>
        <v>400000</v>
      </c>
      <c r="AL89" s="128">
        <v>13345327112</v>
      </c>
      <c r="AM89" s="128" t="s">
        <v>3480</v>
      </c>
      <c r="AO89" s="128">
        <f t="shared" si="10"/>
        <v>0</v>
      </c>
      <c r="AP89" s="178">
        <f>0.7%+0.03%</f>
        <v>0.0073</v>
      </c>
      <c r="BM89" s="168">
        <v>307040</v>
      </c>
      <c r="BO89" s="128">
        <f>BM89*AP89</f>
        <v>2241.392</v>
      </c>
      <c r="BQ89" s="128" t="s">
        <v>376</v>
      </c>
    </row>
    <row r="90" customHeight="1" spans="1:73">
      <c r="AO90" s="128">
        <f t="shared" si="10"/>
        <v>0</v>
      </c>
      <c r="AP90" s="107"/>
    </row>
    <row r="91" s="187" customFormat="1" customHeight="1" spans="1:73">
      <c r="A91" s="230" t="s">
        <v>70</v>
      </c>
      <c r="B91" s="230">
        <f>SUM(B24:B89)</f>
        <v>1</v>
      </c>
      <c r="C91" s="230"/>
      <c r="J91" s="156">
        <f>SUM(J4:J90)</f>
        <v>9054.69</v>
      </c>
      <c r="K91" s="156">
        <f>SUM(K24:K90)</f>
        <v>7971.72</v>
      </c>
      <c r="M91" s="156">
        <f>SUM(M4:M90)</f>
        <v>48493851</v>
      </c>
      <c r="O91" s="156">
        <f>SUM(O24:O90)</f>
        <v>44129839.44</v>
      </c>
      <c r="R91" s="156">
        <f>SUM(R4:R90)</f>
        <v>307040</v>
      </c>
      <c r="V91" s="156">
        <f>SUM(V4:V90)</f>
        <v>2474173</v>
      </c>
      <c r="W91" s="156"/>
      <c r="X91" s="156">
        <f>SUM(X4:X90)</f>
        <v>12726716</v>
      </c>
      <c r="Y91" s="156"/>
      <c r="Z91" s="156">
        <f>SUM(Z4:Z90)</f>
        <v>17850223</v>
      </c>
      <c r="AA91" s="156"/>
      <c r="AB91" s="156">
        <f>SUM(AB4:AB90)</f>
        <v>11393323</v>
      </c>
      <c r="AC91" s="156"/>
      <c r="AD91" s="156">
        <f>SUM(AD4:AD90)</f>
        <v>3401416</v>
      </c>
      <c r="AE91" s="156"/>
      <c r="AF91" s="156">
        <f>SUM(AF4:AF90)</f>
        <v>250000</v>
      </c>
      <c r="AH91" s="231">
        <f>SUM(AH4:AH90)</f>
        <v>48095851</v>
      </c>
      <c r="AI91" s="187">
        <f>SUM(AI24:AI90)</f>
        <v>0</v>
      </c>
      <c r="AJ91" s="187">
        <f>SUM(AJ24:AJ90)</f>
        <v>0</v>
      </c>
      <c r="AK91" s="156">
        <f>SUM(AK4:AK90)</f>
        <v>398000</v>
      </c>
      <c r="AO91" s="156">
        <f>SUM(AO24:AO90)</f>
        <v>46817068</v>
      </c>
      <c r="AP91" s="232"/>
      <c r="AQ91" s="156">
        <f t="shared" ref="AQ91:BG91" si="13">SUM(AQ24:AQ90)</f>
        <v>392712</v>
      </c>
      <c r="AR91" s="156">
        <f t="shared" si="13"/>
        <v>2614248</v>
      </c>
      <c r="AS91" s="156">
        <f t="shared" si="13"/>
        <v>3052429</v>
      </c>
      <c r="AT91" s="156">
        <f t="shared" si="13"/>
        <v>3787691</v>
      </c>
      <c r="AU91" s="156">
        <f t="shared" si="13"/>
        <v>2088480</v>
      </c>
      <c r="AV91" s="156">
        <f t="shared" si="13"/>
        <v>6670046</v>
      </c>
      <c r="AW91" s="156">
        <f t="shared" si="13"/>
        <v>5887164</v>
      </c>
      <c r="AX91" s="156">
        <f t="shared" si="13"/>
        <v>6750428</v>
      </c>
      <c r="AY91" s="156">
        <f t="shared" si="13"/>
        <v>3254906</v>
      </c>
      <c r="AZ91" s="156">
        <f t="shared" si="13"/>
        <v>567600</v>
      </c>
      <c r="BA91" s="156">
        <f t="shared" si="13"/>
        <v>2344000</v>
      </c>
      <c r="BB91" s="156">
        <f t="shared" si="13"/>
        <v>1157517</v>
      </c>
      <c r="BC91" s="156">
        <f t="shared" si="13"/>
        <v>2761962</v>
      </c>
      <c r="BD91" s="156">
        <f t="shared" si="13"/>
        <v>1160000</v>
      </c>
      <c r="BE91" s="156">
        <f t="shared" si="13"/>
        <v>1157000</v>
      </c>
      <c r="BF91" s="156">
        <f t="shared" ref="BF91:BO91" si="14">SUM(BF24:BF90)</f>
        <v>0</v>
      </c>
      <c r="BG91" s="156">
        <f t="shared" si="14"/>
        <v>546000</v>
      </c>
      <c r="BH91" s="156">
        <f t="shared" si="14"/>
        <v>914885</v>
      </c>
      <c r="BI91" s="156">
        <f t="shared" si="14"/>
        <v>700000</v>
      </c>
      <c r="BJ91" s="156">
        <f t="shared" si="14"/>
        <v>810000</v>
      </c>
      <c r="BK91" s="156">
        <f t="shared" si="14"/>
        <v>200000</v>
      </c>
      <c r="BL91" s="156">
        <f t="shared" si="14"/>
        <v>577416</v>
      </c>
      <c r="BM91" s="156">
        <f t="shared" si="14"/>
        <v>307040</v>
      </c>
      <c r="BN91" s="156">
        <f t="shared" si="14"/>
        <v>0</v>
      </c>
      <c r="BO91" s="156">
        <f t="shared" si="14"/>
        <v>2241.392</v>
      </c>
      <c r="BS91" s="187">
        <f t="shared" ref="BS91:BU91" si="15">SUM(BS24:BS90)</f>
        <v>0</v>
      </c>
      <c r="BT91" s="187">
        <f t="shared" si="15"/>
        <v>0</v>
      </c>
      <c r="BU91" s="187">
        <f t="shared" si="15"/>
        <v>0</v>
      </c>
    </row>
    <row r="92" customHeight="1" spans="1:73">
      <c r="AP92" s="233"/>
    </row>
    <row r="93" customHeight="1" spans="1:73">
      <c r="Q93" s="107" t="s">
        <v>5988</v>
      </c>
      <c r="AP93" s="233"/>
    </row>
    <row r="94" customHeight="1" spans="1:73">
      <c r="Q94" s="107" t="s">
        <v>3289</v>
      </c>
      <c r="R94" s="157">
        <v>307040</v>
      </c>
      <c r="AP94" s="233"/>
    </row>
    <row r="95" customHeight="1" spans="1:73">
      <c r="Q95" s="107" t="s">
        <v>94</v>
      </c>
      <c r="AP95" s="233"/>
    </row>
    <row r="96" customHeight="1" spans="1:73">
      <c r="Q96" s="107" t="s">
        <v>5989</v>
      </c>
      <c r="S96" s="180"/>
      <c r="AP96" s="233"/>
    </row>
    <row r="97" customHeight="1" spans="42:42">
      <c r="AP97" s="233"/>
    </row>
    <row r="98" customHeight="1" spans="42:42">
      <c r="AP98" s="233"/>
    </row>
    <row r="99" customHeight="1" spans="42:42">
      <c r="AP99" s="233"/>
    </row>
    <row r="100" customHeight="1" spans="42:42">
      <c r="AP100" s="233"/>
    </row>
    <row r="101" customHeight="1" spans="42:42">
      <c r="AP101" s="233"/>
    </row>
    <row r="102" customHeight="1" spans="42:42">
      <c r="AP102" s="233"/>
    </row>
  </sheetData>
  <autoFilter xmlns:etc="http://www.wps.cn/officeDocument/2017/etCustomData" ref="A3:BZ91" etc:filterBottomFollowUsedRange="0">
    <extLst/>
  </autoFilter>
  <mergeCells count="52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S2:BU3"/>
  </mergeCells>
  <conditionalFormatting sqref="J37">
    <cfRule type="expression" dxfId="1" priority="1" stopIfTrue="1">
      <formula>$F37&lt;&gt;0</formula>
    </cfRule>
  </conditionalFormatting>
  <conditionalFormatting sqref="J56">
    <cfRule type="expression" dxfId="1" priority="44" stopIfTrue="1">
      <formula>$F56&lt;&gt;0</formula>
    </cfRule>
  </conditionalFormatting>
  <conditionalFormatting sqref="J71">
    <cfRule type="expression" dxfId="1" priority="39" stopIfTrue="1">
      <formula>$F71&lt;&gt;0</formula>
    </cfRule>
  </conditionalFormatting>
  <conditionalFormatting sqref="J80">
    <cfRule type="expression" dxfId="1" priority="11" stopIfTrue="1">
      <formula>$F80&lt;&gt;0</formula>
    </cfRule>
  </conditionalFormatting>
  <conditionalFormatting sqref="J81">
    <cfRule type="expression" dxfId="1" priority="9" stopIfTrue="1">
      <formula>$F81&lt;&gt;0</formula>
    </cfRule>
  </conditionalFormatting>
  <conditionalFormatting sqref="J83">
    <cfRule type="expression" dxfId="1" priority="7" stopIfTrue="1">
      <formula>$F83&lt;&gt;0</formula>
    </cfRule>
  </conditionalFormatting>
  <conditionalFormatting sqref="J85">
    <cfRule type="expression" dxfId="1" priority="5" stopIfTrue="1">
      <formula>$F85&lt;&gt;0</formula>
    </cfRule>
  </conditionalFormatting>
  <conditionalFormatting sqref="J88">
    <cfRule type="expression" dxfId="1" priority="36" stopIfTrue="1">
      <formula>$F88&lt;&gt;0</formula>
    </cfRule>
  </conditionalFormatting>
  <conditionalFormatting sqref="J89">
    <cfRule type="expression" dxfId="1" priority="35" stopIfTrue="1">
      <formula>$F89&lt;&gt;0</formula>
    </cfRule>
  </conditionalFormatting>
  <conditionalFormatting sqref="J30:J31">
    <cfRule type="expression" dxfId="1" priority="33" stopIfTrue="1">
      <formula>$F30&lt;&gt;0</formula>
    </cfRule>
  </conditionalFormatting>
  <conditionalFormatting sqref="J32:J33">
    <cfRule type="expression" dxfId="1" priority="31" stopIfTrue="1">
      <formula>$F32&lt;&gt;0</formula>
    </cfRule>
  </conditionalFormatting>
  <conditionalFormatting sqref="J34:J35">
    <cfRule type="expression" dxfId="1" priority="29" stopIfTrue="1">
      <formula>$F34&lt;&gt;0</formula>
    </cfRule>
  </conditionalFormatting>
  <conditionalFormatting sqref="J38:J39">
    <cfRule type="expression" dxfId="1" priority="27" stopIfTrue="1">
      <formula>$F38&lt;&gt;0</formula>
    </cfRule>
  </conditionalFormatting>
  <conditionalFormatting sqref="J46:J47">
    <cfRule type="expression" dxfId="1" priority="25" stopIfTrue="1">
      <formula>$F46&lt;&gt;0</formula>
    </cfRule>
  </conditionalFormatting>
  <conditionalFormatting sqref="J48:J49">
    <cfRule type="expression" dxfId="1" priority="23" stopIfTrue="1">
      <formula>$F48&lt;&gt;0</formula>
    </cfRule>
  </conditionalFormatting>
  <conditionalFormatting sqref="J52:J53">
    <cfRule type="expression" dxfId="1" priority="21" stopIfTrue="1">
      <formula>$F52&lt;&gt;0</formula>
    </cfRule>
  </conditionalFormatting>
  <conditionalFormatting sqref="J54:J55">
    <cfRule type="expression" dxfId="1" priority="19" stopIfTrue="1">
      <formula>$F54&lt;&gt;0</formula>
    </cfRule>
  </conditionalFormatting>
  <conditionalFormatting sqref="J57:J59">
    <cfRule type="expression" dxfId="1" priority="42" stopIfTrue="1">
      <formula>$F57&lt;&gt;0</formula>
    </cfRule>
  </conditionalFormatting>
  <conditionalFormatting sqref="J60:J62">
    <cfRule type="expression" dxfId="1" priority="40" stopIfTrue="1">
      <formula>$F60&lt;&gt;0</formula>
    </cfRule>
  </conditionalFormatting>
  <conditionalFormatting sqref="J63:J64">
    <cfRule type="expression" dxfId="1" priority="17" stopIfTrue="1">
      <formula>$F63&lt;&gt;0</formula>
    </cfRule>
  </conditionalFormatting>
  <conditionalFormatting sqref="J67:J68">
    <cfRule type="expression" dxfId="1" priority="15" stopIfTrue="1">
      <formula>$F67&lt;&gt;0</formula>
    </cfRule>
  </conditionalFormatting>
  <conditionalFormatting sqref="J69:J70">
    <cfRule type="expression" dxfId="1" priority="13" stopIfTrue="1">
      <formula>$F69&lt;&gt;0</formula>
    </cfRule>
  </conditionalFormatting>
  <conditionalFormatting sqref="J73:J74">
    <cfRule type="expression" dxfId="1" priority="38" stopIfTrue="1">
      <formula>$F73&lt;&gt;0</formula>
    </cfRule>
  </conditionalFormatting>
  <conditionalFormatting sqref="J76:J77">
    <cfRule type="expression" dxfId="1" priority="37" stopIfTrue="1">
      <formula>$F76&lt;&gt;0</formula>
    </cfRule>
  </conditionalFormatting>
  <conditionalFormatting sqref="J78:J79">
    <cfRule type="expression" dxfId="1" priority="12" stopIfTrue="1">
      <formula>$F78&lt;&gt;0</formula>
    </cfRule>
  </conditionalFormatting>
  <conditionalFormatting sqref="J81:J82">
    <cfRule type="expression" dxfId="1" priority="10" stopIfTrue="1">
      <formula>$F81&lt;&gt;0</formula>
    </cfRule>
  </conditionalFormatting>
  <conditionalFormatting sqref="J83:J85">
    <cfRule type="expression" dxfId="1" priority="8" stopIfTrue="1">
      <formula>$F83&lt;&gt;0</formula>
    </cfRule>
  </conditionalFormatting>
  <conditionalFormatting sqref="J86:J87">
    <cfRule type="expression" dxfId="1" priority="3" stopIfTrue="1">
      <formula>$F86&lt;&gt;0</formula>
    </cfRule>
  </conditionalFormatting>
  <conditionalFormatting sqref="J24:J29 J40:J45">
    <cfRule type="expression" dxfId="1" priority="48" stopIfTrue="1">
      <formula>$F24&lt;&gt;0</formula>
    </cfRule>
  </conditionalFormatting>
  <conditionalFormatting sqref="J24:J29 J40:J45 J71:J78">
    <cfRule type="expression" dxfId="1" priority="49" stopIfTrue="1">
      <formula>$F24&lt;&gt;0</formula>
    </cfRule>
  </conditionalFormatting>
  <conditionalFormatting sqref="J36:J37 J50:J51 J65:J66">
    <cfRule type="expression" dxfId="1" priority="46" stopIfTrue="1">
      <formula>$F36&lt;&gt;0</formula>
    </cfRule>
  </conditionalFormatting>
  <conditionalFormatting sqref="J56 J78:J80">
    <cfRule type="expression" dxfId="1" priority="45" stopIfTrue="1">
      <formula>$F56&lt;&gt;0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autoPageBreaks="0"/>
  </sheetPr>
  <dimension ref="A1:BV174"/>
  <sheetViews>
    <sheetView zoomScale="85" zoomScaleNormal="85" workbookViewId="0">
      <pane ySplit="3" topLeftCell="A4" activePane="bottomLeft" state="frozen"/>
      <selection/>
      <selection pane="bottomLeft" activeCell="BD177" sqref="BD177"/>
    </sheetView>
  </sheetViews>
  <sheetFormatPr defaultColWidth="9" defaultRowHeight="26" customHeight="1"/>
  <cols>
    <col min="1" max="1" width="7.625" style="107" customWidth="1"/>
    <col min="2" max="2" width="5.875" style="107" customWidth="1"/>
    <col min="3" max="3" width="11" style="109" customWidth="1"/>
    <col min="4" max="4" width="14" style="107" customWidth="1"/>
    <col min="5" max="5" width="23.225" style="107" customWidth="1"/>
    <col min="6" max="6" width="10.875" style="107" customWidth="1"/>
    <col min="7" max="7" width="22.6583333333333" style="107" customWidth="1"/>
    <col min="8" max="8" width="18.8166666666667" style="107" customWidth="1"/>
    <col min="9" max="9" width="12.625" style="107" customWidth="1"/>
    <col min="10" max="10" width="10.775" style="107" customWidth="1"/>
    <col min="11" max="11" width="14.125" style="157" customWidth="1"/>
    <col min="12" max="12" width="12.875" style="157" customWidth="1"/>
    <col min="13" max="13" width="16.175" style="157" customWidth="1"/>
    <col min="14" max="14" width="19.125" style="157" customWidth="1"/>
    <col min="15" max="15" width="10.8833333333333" style="157" customWidth="1"/>
    <col min="16" max="16" width="18.675" style="107" customWidth="1"/>
    <col min="17" max="17" width="22.2" style="107" customWidth="1"/>
    <col min="18" max="18" width="15.5" style="107" customWidth="1"/>
    <col min="19" max="19" width="16.25" style="107" customWidth="1"/>
    <col min="20" max="20" width="12.025" style="107" customWidth="1"/>
    <col min="21" max="21" width="9" style="107" customWidth="1"/>
    <col min="22" max="22" width="9.53333333333333" style="107" customWidth="1"/>
    <col min="23" max="23" width="16.875" style="107" customWidth="1"/>
    <col min="24" max="24" width="11.375" style="107" customWidth="1"/>
    <col min="25" max="25" width="19.2166666666667" style="107" customWidth="1"/>
    <col min="26" max="26" width="10.75" style="107" customWidth="1"/>
    <col min="27" max="27" width="17.5" style="107" customWidth="1"/>
    <col min="28" max="28" width="13.875" style="107" customWidth="1"/>
    <col min="29" max="29" width="18.375" style="107" customWidth="1"/>
    <col min="30" max="30" width="11.25" style="107" customWidth="1"/>
    <col min="31" max="31" width="17.5" style="107" customWidth="1"/>
    <col min="32" max="32" width="10.375" style="107" customWidth="1"/>
    <col min="33" max="33" width="14.4083333333333" style="107" customWidth="1"/>
    <col min="34" max="34" width="11.3166666666667" style="107" customWidth="1"/>
    <col min="35" max="35" width="18.875" style="157" customWidth="1"/>
    <col min="36" max="37" width="9" style="107" customWidth="1"/>
    <col min="38" max="38" width="17.5" style="107" customWidth="1"/>
    <col min="39" max="39" width="16.5" style="107" customWidth="1"/>
    <col min="40" max="40" width="36.875" style="107" customWidth="1"/>
    <col min="41" max="41" width="9" style="107" customWidth="1"/>
    <col min="42" max="42" width="18" style="157" customWidth="1"/>
    <col min="43" max="43" width="8.375" style="107" customWidth="1"/>
    <col min="44" max="45" width="13.875" style="107" customWidth="1"/>
    <col min="46" max="50" width="18" style="107" customWidth="1"/>
    <col min="51" max="64" width="17.875" style="107" customWidth="1"/>
    <col min="65" max="65" width="9" style="107" customWidth="1"/>
    <col min="66" max="66" width="14.125" style="107"/>
    <col min="67" max="67" width="11.7166666666667" style="107" customWidth="1"/>
    <col min="68" max="69" width="9" style="107"/>
    <col min="70" max="70" width="14.1083333333333" style="107" customWidth="1"/>
    <col min="71" max="71" width="13.7416666666667" style="107" customWidth="1"/>
    <col min="72" max="72" width="13.5916666666667" style="107" customWidth="1"/>
    <col min="73" max="73" width="11.5583333333333" style="107" customWidth="1"/>
    <col min="74" max="16384" width="9" style="107"/>
  </cols>
  <sheetData>
    <row r="1" s="101" customFormat="1" customHeight="1" spans="1:73">
      <c r="A1" s="111" t="s">
        <v>5623</v>
      </c>
      <c r="B1" s="111"/>
      <c r="C1" s="113"/>
      <c r="D1" s="111"/>
      <c r="E1" s="111"/>
      <c r="F1" s="111"/>
      <c r="G1" s="111"/>
      <c r="H1" s="111"/>
      <c r="I1" s="111"/>
      <c r="J1" s="111"/>
      <c r="K1" s="112"/>
      <c r="L1" s="112"/>
      <c r="M1" s="112"/>
      <c r="N1" s="112"/>
      <c r="O1" s="112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2"/>
      <c r="AJ1" s="111"/>
      <c r="AK1" s="111"/>
      <c r="AL1" s="111"/>
      <c r="AM1" s="111"/>
      <c r="AN1" s="111"/>
      <c r="AO1" s="111"/>
      <c r="AP1" s="158"/>
      <c r="AQ1" s="159"/>
    </row>
    <row r="2" s="102" customFormat="1" customHeight="1" spans="1:73">
      <c r="A2" s="111" t="s">
        <v>40</v>
      </c>
      <c r="B2" s="102" t="s">
        <v>287</v>
      </c>
      <c r="C2" s="115" t="s">
        <v>288</v>
      </c>
      <c r="D2" s="102" t="s">
        <v>289</v>
      </c>
      <c r="G2" s="102" t="s">
        <v>291</v>
      </c>
      <c r="H2" s="102" t="s">
        <v>292</v>
      </c>
      <c r="I2" s="102" t="s">
        <v>290</v>
      </c>
      <c r="J2" s="102" t="s">
        <v>294</v>
      </c>
      <c r="K2" s="116" t="s">
        <v>1264</v>
      </c>
      <c r="L2" s="112" t="s">
        <v>296</v>
      </c>
      <c r="M2" s="112" t="s">
        <v>297</v>
      </c>
      <c r="N2" s="112" t="s">
        <v>298</v>
      </c>
      <c r="O2" s="116" t="s">
        <v>299</v>
      </c>
      <c r="P2" s="118" t="s">
        <v>301</v>
      </c>
      <c r="Q2" s="119"/>
      <c r="R2" s="119"/>
      <c r="S2" s="160" t="s">
        <v>302</v>
      </c>
      <c r="T2" s="120" t="s">
        <v>303</v>
      </c>
      <c r="U2" s="111" t="s">
        <v>304</v>
      </c>
      <c r="V2" s="120" t="s">
        <v>305</v>
      </c>
      <c r="W2" s="121" t="s">
        <v>306</v>
      </c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12" t="s">
        <v>307</v>
      </c>
      <c r="AJ2" s="115" t="s">
        <v>58</v>
      </c>
      <c r="AK2" s="102" t="s">
        <v>309</v>
      </c>
      <c r="AL2" s="119" t="s">
        <v>61</v>
      </c>
      <c r="AM2" s="102" t="s">
        <v>310</v>
      </c>
      <c r="AN2" s="102" t="s">
        <v>49</v>
      </c>
      <c r="AO2" s="102" t="s">
        <v>1266</v>
      </c>
      <c r="AP2" s="161" t="s">
        <v>320</v>
      </c>
      <c r="AQ2" s="162" t="s">
        <v>321</v>
      </c>
      <c r="AR2" s="124" t="s">
        <v>5625</v>
      </c>
      <c r="AS2" s="124" t="s">
        <v>5626</v>
      </c>
      <c r="AT2" s="124" t="s">
        <v>5627</v>
      </c>
      <c r="AU2" s="124" t="s">
        <v>5628</v>
      </c>
      <c r="AV2" s="124" t="s">
        <v>5629</v>
      </c>
      <c r="AW2" s="124" t="s">
        <v>5630</v>
      </c>
      <c r="AX2" s="124" t="s">
        <v>3327</v>
      </c>
      <c r="AY2" s="124" t="s">
        <v>3328</v>
      </c>
      <c r="AZ2" s="124" t="s">
        <v>3329</v>
      </c>
      <c r="BA2" s="124" t="s">
        <v>3330</v>
      </c>
      <c r="BB2" s="124" t="s">
        <v>5631</v>
      </c>
      <c r="BC2" s="124" t="s">
        <v>5632</v>
      </c>
      <c r="BD2" s="124" t="s">
        <v>5633</v>
      </c>
      <c r="BE2" s="124" t="s">
        <v>5634</v>
      </c>
      <c r="BF2" s="124" t="s">
        <v>5990</v>
      </c>
      <c r="BG2" s="124" t="s">
        <v>5635</v>
      </c>
      <c r="BH2" s="124" t="s">
        <v>5636</v>
      </c>
      <c r="BI2" s="124" t="s">
        <v>5991</v>
      </c>
      <c r="BJ2" s="124" t="s">
        <v>5637</v>
      </c>
      <c r="BK2" s="124" t="s">
        <v>5992</v>
      </c>
      <c r="BL2" s="124" t="s">
        <v>5638</v>
      </c>
      <c r="BM2" s="125"/>
      <c r="BN2" s="102" t="s">
        <v>351</v>
      </c>
      <c r="BP2" s="102" t="s">
        <v>106</v>
      </c>
      <c r="BQ2" s="102" t="s">
        <v>352</v>
      </c>
    </row>
    <row r="3" s="102" customFormat="1" customHeight="1" spans="1:73">
      <c r="A3" s="111"/>
      <c r="C3" s="115"/>
      <c r="F3" s="102" t="s">
        <v>1295</v>
      </c>
      <c r="K3" s="112"/>
      <c r="L3" s="112"/>
      <c r="M3" s="112"/>
      <c r="N3" s="112"/>
      <c r="O3" s="116"/>
      <c r="P3" s="118" t="s">
        <v>354</v>
      </c>
      <c r="Q3" s="119" t="s">
        <v>1296</v>
      </c>
      <c r="R3" s="119" t="s">
        <v>1297</v>
      </c>
      <c r="S3" s="121"/>
      <c r="T3" s="120"/>
      <c r="U3" s="111"/>
      <c r="V3" s="120"/>
      <c r="W3" s="121" t="s">
        <v>356</v>
      </c>
      <c r="X3" s="102" t="s">
        <v>357</v>
      </c>
      <c r="Y3" s="121" t="s">
        <v>358</v>
      </c>
      <c r="Z3" s="163" t="s">
        <v>357</v>
      </c>
      <c r="AA3" s="102" t="s">
        <v>359</v>
      </c>
      <c r="AB3" s="118" t="s">
        <v>357</v>
      </c>
      <c r="AC3" s="121" t="s">
        <v>360</v>
      </c>
      <c r="AD3" s="102" t="s">
        <v>357</v>
      </c>
      <c r="AE3" s="102" t="s">
        <v>361</v>
      </c>
      <c r="AF3" s="102" t="s">
        <v>357</v>
      </c>
      <c r="AG3" s="102" t="s">
        <v>362</v>
      </c>
      <c r="AH3" s="102" t="s">
        <v>357</v>
      </c>
      <c r="AI3" s="112"/>
      <c r="AL3" s="119"/>
      <c r="AP3" s="161"/>
      <c r="AQ3" s="162"/>
      <c r="AR3" s="124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4"/>
      <c r="BL3" s="124"/>
      <c r="BM3" s="125"/>
      <c r="BU3" s="102" t="s">
        <v>5993</v>
      </c>
    </row>
    <row r="4" s="107" customFormat="1" hidden="1" customHeight="1" spans="1:73">
      <c r="C4" s="109"/>
      <c r="J4" s="164" t="s">
        <v>5994</v>
      </c>
      <c r="K4" s="165">
        <v>72.03</v>
      </c>
      <c r="L4" s="157"/>
      <c r="M4" s="157"/>
      <c r="N4" s="157"/>
      <c r="O4" s="15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I4" s="157">
        <f>W4+Y4+AA4+AC4+AE4+AG4</f>
        <v>0</v>
      </c>
      <c r="AP4" s="101">
        <f>SUM(AR4:BM4)</f>
        <v>0</v>
      </c>
    </row>
    <row r="5" s="107" customFormat="1" hidden="1" customHeight="1" spans="1:73">
      <c r="C5" s="109"/>
      <c r="J5" s="164" t="s">
        <v>5995</v>
      </c>
      <c r="K5" s="165">
        <v>71.26</v>
      </c>
      <c r="L5" s="157"/>
      <c r="M5" s="157"/>
      <c r="N5" s="157"/>
      <c r="O5" s="15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I5" s="157">
        <f t="shared" ref="AI5:AI36" si="0">W5+Y5+AA5+AC5+AE5+AG5</f>
        <v>0</v>
      </c>
      <c r="AP5" s="101">
        <f t="shared" ref="AP5:AP18" si="1">SUM(AR5:BM5)</f>
        <v>0</v>
      </c>
    </row>
    <row r="6" s="107" customFormat="1" hidden="1" customHeight="1" spans="1:73">
      <c r="C6" s="109"/>
      <c r="J6" s="164" t="s">
        <v>5996</v>
      </c>
      <c r="K6" s="165">
        <v>50.87</v>
      </c>
      <c r="L6" s="157"/>
      <c r="M6" s="157"/>
      <c r="N6" s="157"/>
      <c r="O6" s="15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I6" s="157">
        <f t="shared" si="0"/>
        <v>0</v>
      </c>
      <c r="AP6" s="101">
        <f t="shared" si="1"/>
        <v>0</v>
      </c>
    </row>
    <row r="7" s="107" customFormat="1" hidden="1" customHeight="1" spans="1:73">
      <c r="C7" s="109"/>
      <c r="J7" s="164" t="s">
        <v>5997</v>
      </c>
      <c r="K7" s="165">
        <v>71.71</v>
      </c>
      <c r="L7" s="157"/>
      <c r="M7" s="157"/>
      <c r="N7" s="157"/>
      <c r="O7" s="15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I7" s="157">
        <f t="shared" si="0"/>
        <v>0</v>
      </c>
      <c r="AP7" s="101">
        <f t="shared" si="1"/>
        <v>0</v>
      </c>
    </row>
    <row r="8" s="107" customFormat="1" hidden="1" customHeight="1" spans="1:73">
      <c r="C8" s="109"/>
      <c r="J8" s="164" t="s">
        <v>5998</v>
      </c>
      <c r="K8" s="165">
        <v>71.71</v>
      </c>
      <c r="L8" s="157"/>
      <c r="M8" s="157"/>
      <c r="N8" s="157"/>
      <c r="O8" s="15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I8" s="157">
        <f t="shared" si="0"/>
        <v>0</v>
      </c>
      <c r="AP8" s="101">
        <f t="shared" si="1"/>
        <v>0</v>
      </c>
    </row>
    <row r="9" s="107" customFormat="1" hidden="1" customHeight="1" spans="1:73">
      <c r="C9" s="109"/>
      <c r="J9" s="164" t="s">
        <v>5999</v>
      </c>
      <c r="K9" s="165">
        <v>72.01</v>
      </c>
      <c r="L9" s="157"/>
      <c r="M9" s="157"/>
      <c r="N9" s="157"/>
      <c r="O9" s="15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I9" s="157">
        <f t="shared" si="0"/>
        <v>0</v>
      </c>
      <c r="AP9" s="101">
        <f t="shared" si="1"/>
        <v>0</v>
      </c>
    </row>
    <row r="10" s="107" customFormat="1" hidden="1" customHeight="1" spans="1:73">
      <c r="C10" s="109"/>
      <c r="J10" s="164" t="s">
        <v>6000</v>
      </c>
      <c r="K10" s="165">
        <v>48.19</v>
      </c>
      <c r="L10" s="157"/>
      <c r="M10" s="157"/>
      <c r="N10" s="157"/>
      <c r="O10" s="15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I10" s="157">
        <f t="shared" si="0"/>
        <v>0</v>
      </c>
      <c r="AP10" s="101">
        <f t="shared" si="1"/>
        <v>0</v>
      </c>
    </row>
    <row r="11" s="107" customFormat="1" hidden="1" customHeight="1" spans="1:73">
      <c r="C11" s="109"/>
      <c r="J11" s="164" t="s">
        <v>6001</v>
      </c>
      <c r="K11" s="165">
        <v>32.2</v>
      </c>
      <c r="L11" s="157"/>
      <c r="M11" s="157"/>
      <c r="N11" s="157"/>
      <c r="O11" s="15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I11" s="157">
        <f t="shared" si="0"/>
        <v>0</v>
      </c>
      <c r="AP11" s="101">
        <f t="shared" si="1"/>
        <v>0</v>
      </c>
    </row>
    <row r="12" s="107" customFormat="1" hidden="1" customHeight="1" spans="1:73">
      <c r="C12" s="109"/>
      <c r="J12" s="164" t="s">
        <v>6002</v>
      </c>
      <c r="K12" s="165">
        <v>47.09</v>
      </c>
      <c r="L12" s="157"/>
      <c r="M12" s="157"/>
      <c r="N12" s="157"/>
      <c r="O12" s="15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I12" s="157">
        <f t="shared" si="0"/>
        <v>0</v>
      </c>
      <c r="AP12" s="101">
        <f t="shared" si="1"/>
        <v>0</v>
      </c>
    </row>
    <row r="13" s="107" customFormat="1" hidden="1" customHeight="1" spans="1:73">
      <c r="C13" s="109"/>
      <c r="J13" s="164" t="s">
        <v>6003</v>
      </c>
      <c r="K13" s="165">
        <v>47.09</v>
      </c>
      <c r="L13" s="157"/>
      <c r="M13" s="157"/>
      <c r="N13" s="157"/>
      <c r="O13" s="15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I13" s="157">
        <f t="shared" si="0"/>
        <v>0</v>
      </c>
      <c r="AP13" s="101">
        <f t="shared" si="1"/>
        <v>0</v>
      </c>
    </row>
    <row r="14" s="107" customFormat="1" hidden="1" customHeight="1" spans="1:73">
      <c r="C14" s="109"/>
      <c r="J14" s="164" t="s">
        <v>6004</v>
      </c>
      <c r="K14" s="165">
        <v>48.17</v>
      </c>
      <c r="L14" s="157"/>
      <c r="M14" s="157"/>
      <c r="N14" s="157"/>
      <c r="O14" s="15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I14" s="157">
        <f t="shared" si="0"/>
        <v>0</v>
      </c>
      <c r="AP14" s="101">
        <f t="shared" si="1"/>
        <v>0</v>
      </c>
    </row>
    <row r="15" s="107" customFormat="1" hidden="1" customHeight="1" spans="1:73">
      <c r="C15" s="109"/>
      <c r="J15" s="164" t="s">
        <v>6005</v>
      </c>
      <c r="K15" s="165">
        <v>32.22</v>
      </c>
      <c r="L15" s="157"/>
      <c r="M15" s="157"/>
      <c r="N15" s="157"/>
      <c r="O15" s="15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I15" s="157">
        <f t="shared" si="0"/>
        <v>0</v>
      </c>
      <c r="AP15" s="101">
        <f t="shared" si="1"/>
        <v>0</v>
      </c>
    </row>
    <row r="16" s="107" customFormat="1" hidden="1" customHeight="1" spans="1:73">
      <c r="C16" s="109"/>
      <c r="J16" s="164" t="s">
        <v>6006</v>
      </c>
      <c r="K16" s="165">
        <v>32.2</v>
      </c>
      <c r="L16" s="157"/>
      <c r="M16" s="157"/>
      <c r="N16" s="157"/>
      <c r="O16" s="15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I16" s="157">
        <f t="shared" si="0"/>
        <v>0</v>
      </c>
      <c r="AP16" s="101">
        <f t="shared" si="1"/>
        <v>0</v>
      </c>
    </row>
    <row r="17" s="107" customFormat="1" hidden="1" customHeight="1" spans="1:70">
      <c r="C17" s="109"/>
      <c r="J17" s="164" t="s">
        <v>6007</v>
      </c>
      <c r="K17" s="165">
        <v>48.19</v>
      </c>
      <c r="L17" s="157" t="s">
        <v>6008</v>
      </c>
      <c r="M17" s="157"/>
      <c r="N17" s="157"/>
      <c r="O17" s="15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I17" s="157">
        <f t="shared" si="0"/>
        <v>0</v>
      </c>
      <c r="AP17" s="101">
        <f t="shared" si="1"/>
        <v>0</v>
      </c>
    </row>
    <row r="18" s="128" customFormat="1" hidden="1" customHeight="1" spans="1:70">
      <c r="A18" s="128">
        <v>1</v>
      </c>
      <c r="B18" s="128"/>
      <c r="C18" s="134"/>
      <c r="G18" s="128" t="s">
        <v>5667</v>
      </c>
      <c r="H18" s="128" t="s">
        <v>6009</v>
      </c>
      <c r="J18" s="166" t="s">
        <v>6010</v>
      </c>
      <c r="K18" s="167">
        <v>129.06</v>
      </c>
      <c r="L18" s="168">
        <v>129.06</v>
      </c>
      <c r="M18" s="168">
        <v>8601</v>
      </c>
      <c r="N18" s="168">
        <v>1110045</v>
      </c>
      <c r="O18" s="168">
        <v>8300.31</v>
      </c>
      <c r="V18" s="128" t="s">
        <v>393</v>
      </c>
      <c r="W18" s="128">
        <v>2000</v>
      </c>
      <c r="X18" s="128" t="s">
        <v>670</v>
      </c>
      <c r="Y18" s="128"/>
      <c r="Z18" s="128"/>
      <c r="AI18" s="168">
        <f t="shared" si="0"/>
        <v>2000</v>
      </c>
      <c r="AL18" s="128">
        <f>N18-AI18</f>
        <v>1108045</v>
      </c>
      <c r="AN18" s="128" t="s">
        <v>4698</v>
      </c>
      <c r="AP18" s="128">
        <f t="shared" si="1"/>
        <v>0</v>
      </c>
      <c r="AQ18" s="169">
        <f>0.4%+0.02%+0.08%</f>
        <v>0.005</v>
      </c>
      <c r="BR18" s="168" t="s">
        <v>6011</v>
      </c>
    </row>
    <row r="19" s="107" customFormat="1" hidden="1" customHeight="1" spans="1:70">
      <c r="A19" s="107">
        <v>2</v>
      </c>
      <c r="B19" s="107"/>
      <c r="C19" s="109"/>
      <c r="D19" s="107"/>
      <c r="J19" s="170" t="s">
        <v>6012</v>
      </c>
      <c r="K19" s="165">
        <v>109.7</v>
      </c>
      <c r="L19" s="157"/>
      <c r="M19" s="157"/>
      <c r="N19" s="157"/>
      <c r="O19" s="157">
        <v>8525.31</v>
      </c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I19" s="157">
        <f t="shared" si="0"/>
        <v>0</v>
      </c>
      <c r="AP19" s="101">
        <f t="shared" ref="AP19:AP30" si="2">SUM(AR19:BM19)</f>
        <v>0</v>
      </c>
    </row>
    <row r="20" s="128" customFormat="1" hidden="1" customHeight="1" spans="1:70">
      <c r="A20" s="128">
        <v>3</v>
      </c>
      <c r="B20" s="128"/>
      <c r="C20" s="138">
        <v>46143</v>
      </c>
      <c r="D20" s="128">
        <v>20260001848</v>
      </c>
      <c r="G20" s="128" t="s">
        <v>147</v>
      </c>
      <c r="H20" s="128" t="s">
        <v>148</v>
      </c>
      <c r="I20" s="1016" t="s">
        <v>149</v>
      </c>
      <c r="J20" s="166" t="s">
        <v>150</v>
      </c>
      <c r="K20" s="167">
        <v>126.91</v>
      </c>
      <c r="L20" s="168">
        <v>126.91</v>
      </c>
      <c r="M20" s="168">
        <v>4800</v>
      </c>
      <c r="N20" s="168">
        <v>609168</v>
      </c>
      <c r="O20" s="168">
        <v>5783.41</v>
      </c>
      <c r="P20" s="128">
        <v>558869.72</v>
      </c>
      <c r="Q20" s="1016" t="s">
        <v>6013</v>
      </c>
      <c r="R20" s="171">
        <v>46163</v>
      </c>
      <c r="S20" s="128"/>
      <c r="T20" s="128"/>
      <c r="U20" s="128"/>
      <c r="V20" s="128" t="s">
        <v>3511</v>
      </c>
      <c r="W20" s="128">
        <v>20000</v>
      </c>
      <c r="X20" s="128" t="s">
        <v>6014</v>
      </c>
      <c r="Y20" s="128">
        <f>567000+22000+168</f>
        <v>589168</v>
      </c>
      <c r="Z20" s="128" t="s">
        <v>6015</v>
      </c>
      <c r="AI20" s="168">
        <f t="shared" si="0"/>
        <v>609168</v>
      </c>
      <c r="AL20" s="128">
        <f>N20-AI20</f>
        <v>0</v>
      </c>
      <c r="AM20" s="128">
        <v>13899085388</v>
      </c>
      <c r="AN20" s="128" t="s">
        <v>3480</v>
      </c>
      <c r="AP20" s="128">
        <f t="shared" si="2"/>
        <v>609168</v>
      </c>
      <c r="AQ20" s="169">
        <f>0.7%+0.02%+0.08%+0.03%</f>
        <v>0.0083</v>
      </c>
      <c r="BK20" s="128">
        <v>609168</v>
      </c>
      <c r="BP20" s="128" t="s">
        <v>376</v>
      </c>
      <c r="BR20" s="128" t="s">
        <v>377</v>
      </c>
    </row>
    <row r="21" s="128" customFormat="1" hidden="1" customHeight="1" spans="1:70">
      <c r="A21" s="128">
        <v>4</v>
      </c>
      <c r="B21" s="128"/>
      <c r="C21" s="138">
        <v>46143</v>
      </c>
      <c r="D21" s="128">
        <v>20260001941</v>
      </c>
      <c r="G21" s="1016" t="s">
        <v>152</v>
      </c>
      <c r="H21" s="128" t="s">
        <v>153</v>
      </c>
      <c r="I21" s="1016" t="s">
        <v>154</v>
      </c>
      <c r="J21" s="172" t="s">
        <v>155</v>
      </c>
      <c r="K21" s="167">
        <v>126.5</v>
      </c>
      <c r="L21" s="168">
        <v>126.5</v>
      </c>
      <c r="M21" s="168">
        <v>5200</v>
      </c>
      <c r="N21" s="168">
        <v>657800</v>
      </c>
      <c r="O21" s="168">
        <v>5774.41</v>
      </c>
      <c r="P21" s="128">
        <v>603486.24</v>
      </c>
      <c r="Q21" s="1016" t="s">
        <v>6016</v>
      </c>
      <c r="R21" s="171">
        <v>46177</v>
      </c>
      <c r="S21" s="128">
        <v>75000</v>
      </c>
      <c r="T21" s="128" t="s">
        <v>6017</v>
      </c>
      <c r="U21" s="128"/>
      <c r="V21" s="128" t="s">
        <v>6018</v>
      </c>
      <c r="W21" s="128">
        <v>56800</v>
      </c>
      <c r="X21" s="128" t="s">
        <v>6019</v>
      </c>
      <c r="Y21" s="128">
        <v>75000</v>
      </c>
      <c r="Z21" s="128" t="s">
        <v>6017</v>
      </c>
      <c r="AI21" s="168">
        <f t="shared" si="0"/>
        <v>131800</v>
      </c>
      <c r="AL21" s="128">
        <f>N21-AI21</f>
        <v>526000</v>
      </c>
      <c r="AM21" s="128">
        <v>18299836237</v>
      </c>
      <c r="AN21" s="128" t="s">
        <v>3402</v>
      </c>
      <c r="AP21" s="128">
        <f t="shared" si="2"/>
        <v>131800</v>
      </c>
      <c r="AQ21" s="169">
        <f>0.7%+0.02%+0.08%+0.03%</f>
        <v>0.0083</v>
      </c>
      <c r="BL21" s="168">
        <v>131800</v>
      </c>
      <c r="BN21" s="128">
        <f>BL21*AQ21</f>
        <v>1093.94</v>
      </c>
      <c r="BP21" s="128" t="s">
        <v>376</v>
      </c>
      <c r="BR21" s="168" t="s">
        <v>6020</v>
      </c>
    </row>
    <row r="22" s="128" customFormat="1" hidden="1" customHeight="1" spans="1:70">
      <c r="A22" s="128">
        <v>5</v>
      </c>
      <c r="B22" s="128"/>
      <c r="C22" s="138">
        <v>45836</v>
      </c>
      <c r="D22" s="128">
        <v>20250003486</v>
      </c>
      <c r="E22" s="128"/>
      <c r="F22" s="128"/>
      <c r="G22" s="1016" t="s">
        <v>6021</v>
      </c>
      <c r="H22" s="128" t="s">
        <v>6022</v>
      </c>
      <c r="I22" s="1016" t="s">
        <v>6023</v>
      </c>
      <c r="J22" s="166" t="s">
        <v>6024</v>
      </c>
      <c r="K22" s="167">
        <v>126.91</v>
      </c>
      <c r="L22" s="168">
        <v>126.91</v>
      </c>
      <c r="M22" s="168">
        <v>5800</v>
      </c>
      <c r="N22" s="168">
        <v>736078</v>
      </c>
      <c r="O22" s="168">
        <v>5800</v>
      </c>
      <c r="P22" s="128">
        <v>675300.92</v>
      </c>
      <c r="Q22" s="1016" t="s">
        <v>6025</v>
      </c>
      <c r="R22" s="171">
        <v>46198</v>
      </c>
      <c r="S22" s="128"/>
      <c r="T22" s="171"/>
      <c r="U22" s="128"/>
      <c r="V22" s="128" t="s">
        <v>373</v>
      </c>
      <c r="W22" s="128">
        <v>20000</v>
      </c>
      <c r="X22" s="128" t="s">
        <v>3668</v>
      </c>
      <c r="Y22" s="128">
        <v>128078</v>
      </c>
      <c r="Z22" s="128" t="s">
        <v>6026</v>
      </c>
      <c r="AA22" s="128">
        <v>588000</v>
      </c>
      <c r="AB22" s="171">
        <v>45874</v>
      </c>
      <c r="AI22" s="168">
        <f t="shared" si="0"/>
        <v>736078</v>
      </c>
      <c r="AL22" s="128">
        <f t="shared" ref="AL22:AL27" si="3">N22-AI22</f>
        <v>0</v>
      </c>
      <c r="AM22" s="128">
        <v>18999192182</v>
      </c>
      <c r="AN22" s="128" t="s">
        <v>6027</v>
      </c>
      <c r="AP22" s="128">
        <f t="shared" si="2"/>
        <v>736078</v>
      </c>
      <c r="AQ22" s="173">
        <f>0.7%+0.05%+0.08%+0.03%</f>
        <v>0.0086</v>
      </c>
      <c r="AZ22" s="128">
        <v>148078</v>
      </c>
      <c r="BB22" s="128">
        <v>588000</v>
      </c>
      <c r="BP22" s="128" t="s">
        <v>2825</v>
      </c>
      <c r="BR22" s="128" t="s">
        <v>377</v>
      </c>
    </row>
    <row r="23" s="128" customFormat="1" hidden="1" customHeight="1" spans="1:70">
      <c r="A23" s="128">
        <v>6</v>
      </c>
      <c r="B23" s="128"/>
      <c r="C23" s="138">
        <v>45780</v>
      </c>
      <c r="D23" s="128">
        <v>20250002430</v>
      </c>
      <c r="G23" s="1016" t="s">
        <v>6028</v>
      </c>
      <c r="H23" s="128" t="s">
        <v>6029</v>
      </c>
      <c r="I23" s="128"/>
      <c r="J23" s="172" t="s">
        <v>6030</v>
      </c>
      <c r="K23" s="167">
        <v>126.5</v>
      </c>
      <c r="L23" s="168">
        <v>126.5</v>
      </c>
      <c r="M23" s="168">
        <v>5764.664</v>
      </c>
      <c r="N23" s="168">
        <v>729230</v>
      </c>
      <c r="O23" s="168">
        <v>5764.664</v>
      </c>
      <c r="P23" s="128">
        <v>669018.35</v>
      </c>
      <c r="Q23" s="1016" t="s">
        <v>6031</v>
      </c>
      <c r="R23" s="171">
        <v>46202</v>
      </c>
      <c r="S23" s="128"/>
      <c r="T23" s="128"/>
      <c r="U23" s="128"/>
      <c r="V23" s="128"/>
      <c r="W23" s="128">
        <f>189230+20000</f>
        <v>209230</v>
      </c>
      <c r="X23" s="128" t="s">
        <v>3681</v>
      </c>
      <c r="Y23" s="128">
        <v>520000</v>
      </c>
      <c r="Z23" s="128" t="s">
        <v>1161</v>
      </c>
      <c r="AI23" s="168">
        <f t="shared" si="0"/>
        <v>729230</v>
      </c>
      <c r="AL23" s="128">
        <f t="shared" si="3"/>
        <v>0</v>
      </c>
      <c r="AM23" s="128">
        <v>15099227108</v>
      </c>
      <c r="AN23" s="128" t="s">
        <v>3402</v>
      </c>
      <c r="AP23" s="168">
        <f t="shared" si="2"/>
        <v>729230</v>
      </c>
      <c r="AQ23" s="169">
        <f>0.4%+0.08%+0.03%</f>
        <v>0.0051</v>
      </c>
      <c r="AY23" s="128">
        <v>209230</v>
      </c>
      <c r="AZ23" s="128">
        <v>520000</v>
      </c>
      <c r="BP23" s="128" t="s">
        <v>376</v>
      </c>
      <c r="BR23" s="128" t="s">
        <v>377</v>
      </c>
    </row>
    <row r="24" s="128" customFormat="1" hidden="1" customHeight="1" spans="1:70">
      <c r="A24" s="128">
        <v>7</v>
      </c>
      <c r="B24" s="128"/>
      <c r="C24" s="138">
        <v>45864</v>
      </c>
      <c r="D24" s="128">
        <v>20250003942</v>
      </c>
      <c r="G24" s="1016" t="s">
        <v>6032</v>
      </c>
      <c r="H24" s="128" t="s">
        <v>6033</v>
      </c>
      <c r="I24" s="1016" t="s">
        <v>6034</v>
      </c>
      <c r="J24" s="166" t="s">
        <v>6035</v>
      </c>
      <c r="K24" s="167">
        <v>126.91</v>
      </c>
      <c r="L24" s="168">
        <v>126.91</v>
      </c>
      <c r="M24" s="168">
        <v>5815.14</v>
      </c>
      <c r="N24" s="168">
        <v>738000</v>
      </c>
      <c r="O24" s="168">
        <v>5815.14</v>
      </c>
      <c r="P24" s="128">
        <v>677064.22</v>
      </c>
      <c r="Q24" s="1016" t="s">
        <v>6036</v>
      </c>
      <c r="R24" s="171">
        <v>46198</v>
      </c>
      <c r="S24" s="128"/>
      <c r="T24" s="171"/>
      <c r="U24" s="128"/>
      <c r="V24" s="128" t="s">
        <v>400</v>
      </c>
      <c r="W24" s="128">
        <v>20000</v>
      </c>
      <c r="X24" s="128" t="s">
        <v>3695</v>
      </c>
      <c r="Y24" s="128">
        <v>200000</v>
      </c>
      <c r="Z24" s="171" t="s">
        <v>6037</v>
      </c>
      <c r="AA24" s="128">
        <v>80000</v>
      </c>
      <c r="AB24" s="171">
        <v>45877</v>
      </c>
      <c r="AC24" s="128">
        <v>438000</v>
      </c>
      <c r="AD24" s="171">
        <v>45924</v>
      </c>
      <c r="AI24" s="168">
        <f t="shared" si="0"/>
        <v>738000</v>
      </c>
      <c r="AL24" s="128">
        <f t="shared" si="3"/>
        <v>0</v>
      </c>
      <c r="AM24" s="128">
        <v>15001588945</v>
      </c>
      <c r="AN24" s="128" t="s">
        <v>3402</v>
      </c>
      <c r="AP24" s="168">
        <f t="shared" si="2"/>
        <v>738000</v>
      </c>
      <c r="AQ24" s="173">
        <f>0.4%+0.02%+0.08%+0.03%</f>
        <v>0.0053</v>
      </c>
      <c r="BA24" s="128">
        <v>220000</v>
      </c>
      <c r="BC24" s="128">
        <v>518000</v>
      </c>
      <c r="BP24" s="128" t="s">
        <v>2825</v>
      </c>
      <c r="BR24" s="128" t="s">
        <v>377</v>
      </c>
    </row>
    <row r="25" s="128" customFormat="1" hidden="1" customHeight="1" spans="1:70">
      <c r="A25" s="128">
        <v>8</v>
      </c>
      <c r="B25" s="128"/>
      <c r="C25" s="138">
        <v>45778</v>
      </c>
      <c r="D25" s="128">
        <v>20250002226</v>
      </c>
      <c r="G25" s="1016" t="s">
        <v>6038</v>
      </c>
      <c r="H25" s="128" t="s">
        <v>6039</v>
      </c>
      <c r="I25" s="1016" t="s">
        <v>5153</v>
      </c>
      <c r="J25" s="172" t="s">
        <v>6040</v>
      </c>
      <c r="K25" s="167">
        <v>126.5</v>
      </c>
      <c r="L25" s="168">
        <v>126.5</v>
      </c>
      <c r="M25" s="168">
        <v>5833.99</v>
      </c>
      <c r="N25" s="168">
        <v>738000</v>
      </c>
      <c r="O25" s="168">
        <v>5833.99</v>
      </c>
      <c r="P25" s="128">
        <v>677064.22</v>
      </c>
      <c r="Q25" s="1016" t="s">
        <v>6041</v>
      </c>
      <c r="R25" s="171">
        <v>46199</v>
      </c>
      <c r="S25" s="128"/>
      <c r="T25" s="128"/>
      <c r="U25" s="128"/>
      <c r="V25" s="128"/>
      <c r="W25" s="128">
        <v>20000</v>
      </c>
      <c r="X25" s="128" t="s">
        <v>3667</v>
      </c>
      <c r="Y25" s="128">
        <v>118000</v>
      </c>
      <c r="Z25" s="128" t="s">
        <v>3681</v>
      </c>
      <c r="AA25" s="128">
        <v>70000</v>
      </c>
      <c r="AB25" s="128" t="s">
        <v>3241</v>
      </c>
      <c r="AC25" s="128">
        <v>530000</v>
      </c>
      <c r="AD25" s="128" t="s">
        <v>3682</v>
      </c>
      <c r="AI25" s="168">
        <f t="shared" si="0"/>
        <v>738000</v>
      </c>
      <c r="AL25" s="128">
        <f t="shared" si="3"/>
        <v>0</v>
      </c>
      <c r="AM25" s="128">
        <v>17590035592</v>
      </c>
      <c r="AN25" s="128" t="s">
        <v>3402</v>
      </c>
      <c r="AP25" s="168">
        <f t="shared" si="2"/>
        <v>738000</v>
      </c>
      <c r="AQ25" s="169">
        <f>0.5%+0.02%+0.08%+0.03%</f>
        <v>0.0063</v>
      </c>
      <c r="AY25" s="128">
        <v>208000</v>
      </c>
      <c r="AZ25" s="128">
        <v>530000</v>
      </c>
      <c r="BP25" s="128" t="s">
        <v>376</v>
      </c>
      <c r="BR25" s="128" t="s">
        <v>377</v>
      </c>
    </row>
    <row r="26" s="128" customFormat="1" hidden="1" customHeight="1" spans="1:70">
      <c r="A26" s="128">
        <v>9</v>
      </c>
      <c r="B26" s="128"/>
      <c r="C26" s="138">
        <v>45713</v>
      </c>
      <c r="D26" s="128">
        <v>20250000823</v>
      </c>
      <c r="G26" s="1016" t="s">
        <v>6042</v>
      </c>
      <c r="H26" s="128" t="s">
        <v>6043</v>
      </c>
      <c r="I26" s="1016" t="s">
        <v>3563</v>
      </c>
      <c r="J26" s="166" t="s">
        <v>6044</v>
      </c>
      <c r="K26" s="167">
        <v>126.91</v>
      </c>
      <c r="L26" s="168">
        <v>126.91</v>
      </c>
      <c r="M26" s="168">
        <v>5800</v>
      </c>
      <c r="N26" s="168">
        <v>736078</v>
      </c>
      <c r="O26" s="168">
        <v>5800</v>
      </c>
      <c r="P26" s="128">
        <v>675300.92</v>
      </c>
      <c r="Q26" s="1016" t="s">
        <v>6045</v>
      </c>
      <c r="R26" s="171">
        <v>46199</v>
      </c>
      <c r="S26" s="128"/>
      <c r="T26" s="128"/>
      <c r="U26" s="128"/>
      <c r="V26" s="128" t="s">
        <v>393</v>
      </c>
      <c r="W26" s="128">
        <v>15000</v>
      </c>
      <c r="X26" s="128" t="s">
        <v>3058</v>
      </c>
      <c r="Y26" s="128">
        <f>205078+180000</f>
        <v>385078</v>
      </c>
      <c r="Z26" s="128" t="s">
        <v>3994</v>
      </c>
      <c r="AA26" s="128">
        <v>336000</v>
      </c>
      <c r="AB26" s="128" t="s">
        <v>912</v>
      </c>
      <c r="AI26" s="168">
        <f t="shared" si="0"/>
        <v>736078</v>
      </c>
      <c r="AL26" s="128">
        <f t="shared" si="3"/>
        <v>0</v>
      </c>
      <c r="AM26" s="128">
        <v>18999623109</v>
      </c>
      <c r="AN26" s="128" t="s">
        <v>3402</v>
      </c>
      <c r="AP26" s="168">
        <f t="shared" si="2"/>
        <v>736078</v>
      </c>
      <c r="AQ26" s="174">
        <f t="shared" ref="AQ26:AQ31" si="4">0.7%+0.03%+0.12%+0.03%</f>
        <v>0.0088</v>
      </c>
      <c r="AV26" s="128">
        <v>400078</v>
      </c>
      <c r="AW26" s="128">
        <v>336000</v>
      </c>
      <c r="BP26" s="128" t="s">
        <v>376</v>
      </c>
      <c r="BR26" s="128" t="s">
        <v>377</v>
      </c>
    </row>
    <row r="27" s="128" customFormat="1" ht="34" hidden="1" customHeight="1" spans="1:70">
      <c r="A27" s="128">
        <v>10</v>
      </c>
      <c r="B27" s="128"/>
      <c r="C27" s="138">
        <v>45735</v>
      </c>
      <c r="D27" s="128">
        <v>20250001384</v>
      </c>
      <c r="G27" s="1016" t="s">
        <v>6046</v>
      </c>
      <c r="H27" s="128" t="s">
        <v>6047</v>
      </c>
      <c r="I27" s="1016" t="s">
        <v>6048</v>
      </c>
      <c r="J27" s="172" t="s">
        <v>6049</v>
      </c>
      <c r="K27" s="167">
        <v>126.5</v>
      </c>
      <c r="L27" s="168">
        <v>126.5</v>
      </c>
      <c r="M27" s="168">
        <v>5841.89</v>
      </c>
      <c r="N27" s="168">
        <v>739000</v>
      </c>
      <c r="O27" s="168">
        <v>5841.9</v>
      </c>
      <c r="P27" s="128">
        <v>677981.65</v>
      </c>
      <c r="Q27" s="1016" t="s">
        <v>6050</v>
      </c>
      <c r="R27" s="171">
        <v>46199</v>
      </c>
      <c r="S27" s="128"/>
      <c r="T27" s="128"/>
      <c r="U27" s="128"/>
      <c r="V27" s="128" t="s">
        <v>662</v>
      </c>
      <c r="W27" s="128">
        <f>20000</f>
        <v>20000</v>
      </c>
      <c r="X27" s="128" t="s">
        <v>3602</v>
      </c>
      <c r="Y27" s="128">
        <v>300000</v>
      </c>
      <c r="Z27" s="128" t="s">
        <v>912</v>
      </c>
      <c r="AA27" s="128">
        <v>419000</v>
      </c>
      <c r="AB27" s="128" t="s">
        <v>1209</v>
      </c>
      <c r="AI27" s="168">
        <f t="shared" si="0"/>
        <v>739000</v>
      </c>
      <c r="AL27" s="128">
        <f t="shared" si="3"/>
        <v>0</v>
      </c>
      <c r="AM27" s="128">
        <v>15199391601</v>
      </c>
      <c r="AN27" s="128" t="s">
        <v>3402</v>
      </c>
      <c r="AP27" s="168">
        <f t="shared" si="2"/>
        <v>739000</v>
      </c>
      <c r="AQ27" s="174">
        <f>0.5%+0.08%+0.03%</f>
        <v>0.0061</v>
      </c>
      <c r="AW27" s="128">
        <v>739000</v>
      </c>
      <c r="BP27" s="128" t="s">
        <v>376</v>
      </c>
      <c r="BR27" s="128" t="s">
        <v>377</v>
      </c>
    </row>
    <row r="28" s="128" customFormat="1" hidden="1" customHeight="1" spans="1:70">
      <c r="A28" s="128">
        <v>11</v>
      </c>
      <c r="B28" s="128"/>
      <c r="C28" s="138">
        <v>45567</v>
      </c>
      <c r="D28" s="128">
        <v>20240005637</v>
      </c>
      <c r="G28" s="1016" t="s">
        <v>6051</v>
      </c>
      <c r="H28" s="128" t="s">
        <v>6052</v>
      </c>
      <c r="I28" s="1016" t="s">
        <v>6053</v>
      </c>
      <c r="J28" s="166" t="s">
        <v>6054</v>
      </c>
      <c r="K28" s="167">
        <v>126.91</v>
      </c>
      <c r="L28" s="168">
        <v>126.91</v>
      </c>
      <c r="M28" s="168">
        <v>5862.3</v>
      </c>
      <c r="N28" s="168">
        <v>743985</v>
      </c>
      <c r="O28" s="168">
        <v>5998.69</v>
      </c>
      <c r="P28" s="128">
        <v>682555.05</v>
      </c>
      <c r="Q28" s="1016" t="s">
        <v>6055</v>
      </c>
      <c r="R28" s="171">
        <v>46199</v>
      </c>
      <c r="T28" s="171"/>
      <c r="V28" s="128" t="s">
        <v>2278</v>
      </c>
      <c r="W28" s="128">
        <v>10000</v>
      </c>
      <c r="X28" s="171">
        <v>45560</v>
      </c>
      <c r="Y28" s="128">
        <v>119985</v>
      </c>
      <c r="Z28" s="171" t="s">
        <v>841</v>
      </c>
      <c r="AA28" s="128">
        <v>39000</v>
      </c>
      <c r="AB28" s="171" t="s">
        <v>3383</v>
      </c>
      <c r="AC28" s="128">
        <v>575000</v>
      </c>
      <c r="AD28" s="128" t="s">
        <v>908</v>
      </c>
      <c r="AI28" s="168">
        <f t="shared" si="0"/>
        <v>743985</v>
      </c>
      <c r="AL28" s="128">
        <f t="shared" ref="AL28:AL40" si="5">N28-AI28</f>
        <v>0</v>
      </c>
      <c r="AM28" s="128">
        <v>15899017992</v>
      </c>
      <c r="AN28" s="128" t="s">
        <v>6056</v>
      </c>
      <c r="AP28" s="168">
        <f t="shared" si="2"/>
        <v>743985</v>
      </c>
      <c r="AQ28" s="169">
        <f t="shared" si="4"/>
        <v>0.0088</v>
      </c>
      <c r="AT28" s="128">
        <v>743985</v>
      </c>
      <c r="BP28" s="128" t="s">
        <v>376</v>
      </c>
      <c r="BR28" s="128" t="s">
        <v>377</v>
      </c>
    </row>
    <row r="29" s="128" customFormat="1" hidden="1" customHeight="1" spans="1:70">
      <c r="A29" s="128">
        <v>12</v>
      </c>
      <c r="B29" s="128"/>
      <c r="C29" s="138">
        <v>45712</v>
      </c>
      <c r="D29" s="128">
        <v>20250000819</v>
      </c>
      <c r="G29" s="1016" t="s">
        <v>6057</v>
      </c>
      <c r="H29" s="128" t="s">
        <v>6058</v>
      </c>
      <c r="I29" s="128"/>
      <c r="J29" s="166" t="s">
        <v>6059</v>
      </c>
      <c r="K29" s="167">
        <v>126.5</v>
      </c>
      <c r="L29" s="168">
        <v>126.5</v>
      </c>
      <c r="M29" s="168">
        <v>5900</v>
      </c>
      <c r="N29" s="168">
        <v>746350</v>
      </c>
      <c r="O29" s="168">
        <v>5900</v>
      </c>
      <c r="P29" s="128">
        <v>684724.77</v>
      </c>
      <c r="Q29" s="1016" t="s">
        <v>6060</v>
      </c>
      <c r="R29" s="171">
        <v>46199</v>
      </c>
      <c r="S29" s="128"/>
      <c r="T29" s="171"/>
      <c r="U29" s="128"/>
      <c r="V29" s="128" t="s">
        <v>400</v>
      </c>
      <c r="W29" s="128">
        <v>206350</v>
      </c>
      <c r="X29" s="128" t="s">
        <v>489</v>
      </c>
      <c r="Y29" s="128">
        <v>540000</v>
      </c>
      <c r="Z29" s="171">
        <v>45992</v>
      </c>
      <c r="AI29" s="168">
        <f t="shared" si="0"/>
        <v>746350</v>
      </c>
      <c r="AL29" s="128">
        <f t="shared" si="5"/>
        <v>0</v>
      </c>
      <c r="AN29" s="128" t="s">
        <v>3402</v>
      </c>
      <c r="AP29" s="128">
        <f t="shared" si="2"/>
        <v>746350</v>
      </c>
      <c r="AQ29" s="174">
        <f>0.4%+0.03%+0.12%+0.03%</f>
        <v>0.0058</v>
      </c>
      <c r="BF29" s="128">
        <v>746350</v>
      </c>
      <c r="BP29" s="128" t="s">
        <v>376</v>
      </c>
      <c r="BR29" s="128" t="s">
        <v>377</v>
      </c>
    </row>
    <row r="30" s="128" customFormat="1" hidden="1" customHeight="1" spans="1:70">
      <c r="A30" s="128">
        <v>13</v>
      </c>
      <c r="B30" s="128"/>
      <c r="C30" s="138">
        <v>45591</v>
      </c>
      <c r="D30" s="128">
        <v>20240006297</v>
      </c>
      <c r="G30" s="1016" t="s">
        <v>6061</v>
      </c>
      <c r="H30" s="128" t="s">
        <v>6062</v>
      </c>
      <c r="J30" s="172" t="s">
        <v>6063</v>
      </c>
      <c r="K30" s="167">
        <v>126.91</v>
      </c>
      <c r="L30" s="168">
        <v>126.91</v>
      </c>
      <c r="M30" s="168">
        <v>5900</v>
      </c>
      <c r="N30" s="168">
        <v>748769</v>
      </c>
      <c r="O30" s="168">
        <v>6043.69</v>
      </c>
      <c r="P30" s="128">
        <v>686944.04</v>
      </c>
      <c r="Q30" s="1016" t="s">
        <v>6064</v>
      </c>
      <c r="R30" s="171">
        <v>46199</v>
      </c>
      <c r="V30" s="128" t="s">
        <v>496</v>
      </c>
      <c r="W30" s="128">
        <v>20000</v>
      </c>
      <c r="X30" s="128" t="s">
        <v>6065</v>
      </c>
      <c r="Y30" s="128">
        <f>88769+10000</f>
        <v>98769</v>
      </c>
      <c r="Z30" s="128" t="s">
        <v>2256</v>
      </c>
      <c r="AA30" s="128">
        <v>630000</v>
      </c>
      <c r="AB30" s="128" t="s">
        <v>4695</v>
      </c>
      <c r="AI30" s="168">
        <f t="shared" si="0"/>
        <v>748769</v>
      </c>
      <c r="AL30" s="128">
        <f t="shared" si="5"/>
        <v>0</v>
      </c>
      <c r="AM30" s="128">
        <v>15299355759</v>
      </c>
      <c r="AN30" s="128" t="s">
        <v>3402</v>
      </c>
      <c r="AP30" s="168">
        <f t="shared" si="2"/>
        <v>748769</v>
      </c>
      <c r="AQ30" s="169">
        <f>0.7%+0.04%+0.12%+0.03%</f>
        <v>0.0089</v>
      </c>
      <c r="AS30" s="128">
        <v>118769</v>
      </c>
      <c r="AU30" s="128">
        <v>630000</v>
      </c>
      <c r="BP30" s="128" t="s">
        <v>376</v>
      </c>
      <c r="BR30" s="128" t="s">
        <v>377</v>
      </c>
    </row>
    <row r="31" s="128" customFormat="1" hidden="1" customHeight="1" spans="1:70">
      <c r="A31" s="128">
        <v>14</v>
      </c>
      <c r="B31" s="128"/>
      <c r="C31" s="138">
        <v>45738</v>
      </c>
      <c r="D31" s="128">
        <v>20250001518</v>
      </c>
      <c r="G31" s="1016" t="s">
        <v>6066</v>
      </c>
      <c r="H31" s="128" t="s">
        <v>6067</v>
      </c>
      <c r="I31" s="128"/>
      <c r="J31" s="172" t="s">
        <v>6068</v>
      </c>
      <c r="K31" s="167">
        <v>126.5</v>
      </c>
      <c r="L31" s="168">
        <v>126.5</v>
      </c>
      <c r="M31" s="168">
        <v>5900</v>
      </c>
      <c r="N31" s="168">
        <v>746350</v>
      </c>
      <c r="O31" s="168">
        <v>5900</v>
      </c>
      <c r="P31" s="128">
        <v>684724.77</v>
      </c>
      <c r="Q31" s="1016" t="s">
        <v>6069</v>
      </c>
      <c r="R31" s="171">
        <v>46199</v>
      </c>
      <c r="S31" s="128"/>
      <c r="T31" s="171"/>
      <c r="U31" s="128"/>
      <c r="V31" s="128" t="s">
        <v>393</v>
      </c>
      <c r="W31" s="128">
        <f>20000+20000</f>
        <v>40000</v>
      </c>
      <c r="X31" s="128" t="s">
        <v>4179</v>
      </c>
      <c r="Y31" s="128">
        <v>406350</v>
      </c>
      <c r="Z31" s="128" t="s">
        <v>6070</v>
      </c>
      <c r="AA31" s="128">
        <v>22500</v>
      </c>
      <c r="AB31" s="171">
        <v>45867</v>
      </c>
      <c r="AC31" s="128">
        <v>277500</v>
      </c>
      <c r="AD31" s="128" t="s">
        <v>6071</v>
      </c>
      <c r="AI31" s="168">
        <f t="shared" si="0"/>
        <v>746350</v>
      </c>
      <c r="AL31" s="128">
        <f t="shared" si="5"/>
        <v>0</v>
      </c>
      <c r="AM31" s="128">
        <v>15199392863</v>
      </c>
      <c r="AN31" s="128" t="s">
        <v>3402</v>
      </c>
      <c r="AP31" s="168">
        <f t="shared" ref="AP31:AP62" si="6">SUM(AR31:BM31)</f>
        <v>746350</v>
      </c>
      <c r="AQ31" s="174">
        <f t="shared" si="4"/>
        <v>0.0088</v>
      </c>
      <c r="BA31" s="128">
        <v>746350</v>
      </c>
      <c r="BP31" s="128" t="s">
        <v>376</v>
      </c>
      <c r="BR31" s="128" t="s">
        <v>377</v>
      </c>
    </row>
    <row r="32" s="128" customFormat="1" hidden="1" customHeight="1" spans="1:70">
      <c r="A32" s="128">
        <v>15</v>
      </c>
      <c r="B32" s="128"/>
      <c r="C32" s="138">
        <v>45705</v>
      </c>
      <c r="D32" s="128">
        <v>20250000685</v>
      </c>
      <c r="G32" s="1016" t="s">
        <v>6072</v>
      </c>
      <c r="H32" s="128" t="s">
        <v>6073</v>
      </c>
      <c r="I32" s="1016" t="s">
        <v>2716</v>
      </c>
      <c r="J32" s="172" t="s">
        <v>6074</v>
      </c>
      <c r="K32" s="167">
        <v>126.91</v>
      </c>
      <c r="L32" s="168">
        <v>126.91</v>
      </c>
      <c r="M32" s="168">
        <v>5725</v>
      </c>
      <c r="N32" s="168">
        <v>726560</v>
      </c>
      <c r="O32" s="168">
        <v>5725</v>
      </c>
      <c r="P32" s="128">
        <v>666568.81</v>
      </c>
      <c r="Q32" s="1016" t="s">
        <v>6075</v>
      </c>
      <c r="R32" s="171">
        <v>46203</v>
      </c>
      <c r="S32" s="128"/>
      <c r="T32" s="128"/>
      <c r="U32" s="128"/>
      <c r="V32" s="128" t="s">
        <v>373</v>
      </c>
      <c r="W32" s="128">
        <v>20000</v>
      </c>
      <c r="X32" s="128" t="s">
        <v>5917</v>
      </c>
      <c r="Y32" s="128">
        <v>236560</v>
      </c>
      <c r="Z32" s="128" t="s">
        <v>3537</v>
      </c>
      <c r="AA32" s="128">
        <v>50000</v>
      </c>
      <c r="AB32" s="128" t="s">
        <v>6076</v>
      </c>
      <c r="AC32" s="128">
        <v>420000</v>
      </c>
      <c r="AD32" s="128" t="s">
        <v>2793</v>
      </c>
      <c r="AI32" s="168">
        <f t="shared" si="0"/>
        <v>726560</v>
      </c>
      <c r="AL32" s="128">
        <f t="shared" si="5"/>
        <v>0</v>
      </c>
      <c r="AM32" s="128">
        <v>15099468017</v>
      </c>
      <c r="AN32" s="128" t="s">
        <v>3480</v>
      </c>
      <c r="AP32" s="168">
        <f t="shared" si="6"/>
        <v>726560</v>
      </c>
      <c r="AQ32" s="174">
        <f>0.7%+0.04%+0.12%+0.03%</f>
        <v>0.0089</v>
      </c>
      <c r="AV32" s="128">
        <v>306560</v>
      </c>
      <c r="AW32" s="128">
        <v>420000</v>
      </c>
      <c r="BP32" s="128" t="s">
        <v>376</v>
      </c>
      <c r="BR32" s="128" t="s">
        <v>377</v>
      </c>
    </row>
    <row r="33" s="128" customFormat="1" hidden="1" customHeight="1" spans="1:70">
      <c r="A33" s="128">
        <v>16</v>
      </c>
      <c r="B33" s="128"/>
      <c r="C33" s="138">
        <v>45931</v>
      </c>
      <c r="D33" s="128">
        <v>20250004882</v>
      </c>
      <c r="G33" s="128" t="s">
        <v>6077</v>
      </c>
      <c r="H33" s="128" t="s">
        <v>6078</v>
      </c>
      <c r="I33" s="1016" t="s">
        <v>6079</v>
      </c>
      <c r="J33" s="172" t="s">
        <v>6080</v>
      </c>
      <c r="K33" s="167">
        <v>126.5</v>
      </c>
      <c r="L33" s="168">
        <v>126.5</v>
      </c>
      <c r="M33" s="168">
        <v>5459</v>
      </c>
      <c r="N33" s="168">
        <v>690563</v>
      </c>
      <c r="O33" s="168">
        <f>5709.69-300</f>
        <v>5409.69</v>
      </c>
      <c r="P33" s="128">
        <v>633544.04</v>
      </c>
      <c r="Q33" s="1016" t="s">
        <v>6081</v>
      </c>
      <c r="R33" s="171">
        <v>46203</v>
      </c>
      <c r="T33" s="171"/>
      <c r="U33" s="128"/>
      <c r="V33" s="128" t="s">
        <v>6082</v>
      </c>
      <c r="W33" s="128">
        <v>5563</v>
      </c>
      <c r="X33" s="171">
        <v>45918</v>
      </c>
      <c r="Y33" s="128">
        <v>545000</v>
      </c>
      <c r="Z33" s="171">
        <v>45992</v>
      </c>
      <c r="AA33" s="128">
        <v>140000</v>
      </c>
      <c r="AB33" s="171">
        <v>46016</v>
      </c>
      <c r="AC33" s="128"/>
      <c r="AD33" s="128"/>
      <c r="AE33" s="128"/>
      <c r="AF33" s="128"/>
      <c r="AG33" s="128"/>
      <c r="AH33" s="128"/>
      <c r="AI33" s="168">
        <f t="shared" si="0"/>
        <v>690563</v>
      </c>
      <c r="AL33" s="128">
        <f t="shared" si="5"/>
        <v>0</v>
      </c>
      <c r="AN33" s="175" t="s">
        <v>6083</v>
      </c>
      <c r="AO33" s="128"/>
      <c r="AP33" s="128">
        <f t="shared" si="6"/>
        <v>690563</v>
      </c>
      <c r="AQ33" s="173">
        <f>0.7%+0.03%+0.08%+0.03%</f>
        <v>0.0084</v>
      </c>
      <c r="AS33" s="176"/>
      <c r="AT33" s="176"/>
      <c r="AU33" s="176"/>
      <c r="AV33" s="176"/>
      <c r="AW33" s="176"/>
      <c r="AX33" s="176"/>
      <c r="AY33" s="176"/>
      <c r="AZ33" s="176"/>
      <c r="BA33" s="176"/>
      <c r="BB33" s="176"/>
      <c r="BF33" s="128">
        <v>690563</v>
      </c>
      <c r="BP33" s="128" t="s">
        <v>3376</v>
      </c>
      <c r="BR33" s="128" t="s">
        <v>377</v>
      </c>
    </row>
    <row r="34" s="128" customFormat="1" hidden="1" customHeight="1" spans="1:70">
      <c r="A34" s="128">
        <v>17</v>
      </c>
      <c r="B34" s="128"/>
      <c r="C34" s="138">
        <v>45746</v>
      </c>
      <c r="D34" s="128">
        <v>20250001732</v>
      </c>
      <c r="G34" s="1016" t="s">
        <v>6084</v>
      </c>
      <c r="H34" s="128" t="s">
        <v>6085</v>
      </c>
      <c r="I34" s="1016" t="s">
        <v>6086</v>
      </c>
      <c r="J34" s="166" t="s">
        <v>6087</v>
      </c>
      <c r="K34" s="167">
        <v>126.91</v>
      </c>
      <c r="L34" s="168">
        <v>126.91</v>
      </c>
      <c r="M34" s="168">
        <v>6004.82</v>
      </c>
      <c r="N34" s="168">
        <v>762072</v>
      </c>
      <c r="O34" s="168">
        <v>6004.82</v>
      </c>
      <c r="P34" s="128">
        <v>699148.62</v>
      </c>
      <c r="Q34" s="1016" t="s">
        <v>6088</v>
      </c>
      <c r="R34" s="171">
        <v>46203</v>
      </c>
      <c r="S34" s="128"/>
      <c r="T34" s="128"/>
      <c r="U34" s="128"/>
      <c r="V34" s="128"/>
      <c r="W34" s="128">
        <v>10000</v>
      </c>
      <c r="X34" s="128" t="s">
        <v>1057</v>
      </c>
      <c r="Y34" s="128">
        <v>382072</v>
      </c>
      <c r="Z34" s="128" t="s">
        <v>3786</v>
      </c>
      <c r="AA34" s="128">
        <v>70000</v>
      </c>
      <c r="AB34" s="128" t="s">
        <v>1146</v>
      </c>
      <c r="AC34" s="128">
        <v>300000</v>
      </c>
      <c r="AD34" s="128" t="s">
        <v>3153</v>
      </c>
      <c r="AI34" s="168">
        <f t="shared" si="0"/>
        <v>762072</v>
      </c>
      <c r="AL34" s="128">
        <f t="shared" si="5"/>
        <v>0</v>
      </c>
      <c r="AM34" s="128">
        <v>15234919765</v>
      </c>
      <c r="AN34" s="128" t="s">
        <v>3402</v>
      </c>
      <c r="AP34" s="168">
        <f t="shared" si="6"/>
        <v>762072</v>
      </c>
      <c r="AQ34" s="169">
        <f>0.7%+0.08%+0.03%</f>
        <v>0.0081</v>
      </c>
      <c r="AX34" s="128">
        <v>462072</v>
      </c>
      <c r="AY34" s="128">
        <v>300000</v>
      </c>
      <c r="BP34" s="128" t="s">
        <v>376</v>
      </c>
      <c r="BR34" s="128" t="s">
        <v>377</v>
      </c>
    </row>
    <row r="35" s="128" customFormat="1" hidden="1" customHeight="1" spans="1:70">
      <c r="A35" s="128">
        <v>18</v>
      </c>
      <c r="B35" s="128"/>
      <c r="C35" s="138">
        <v>45885</v>
      </c>
      <c r="D35" s="128">
        <v>20250004248</v>
      </c>
      <c r="G35" s="1016" t="s">
        <v>6089</v>
      </c>
      <c r="H35" s="128" t="s">
        <v>6090</v>
      </c>
      <c r="I35" s="128"/>
      <c r="J35" s="172" t="s">
        <v>6091</v>
      </c>
      <c r="K35" s="167">
        <v>126.5</v>
      </c>
      <c r="L35" s="168">
        <v>126.5</v>
      </c>
      <c r="M35" s="168">
        <v>5770.75</v>
      </c>
      <c r="N35" s="168">
        <v>730000</v>
      </c>
      <c r="O35" s="168">
        <v>5770.75</v>
      </c>
      <c r="P35" s="128">
        <v>669724.77</v>
      </c>
      <c r="Q35" s="1016" t="s">
        <v>6092</v>
      </c>
      <c r="R35" s="171">
        <v>46203</v>
      </c>
      <c r="S35" s="128"/>
      <c r="T35" s="171"/>
      <c r="U35" s="128"/>
      <c r="V35" s="128" t="s">
        <v>807</v>
      </c>
      <c r="W35" s="128">
        <v>122000</v>
      </c>
      <c r="X35" s="171">
        <v>45885</v>
      </c>
      <c r="Y35" s="128">
        <f>24000+584000</f>
        <v>608000</v>
      </c>
      <c r="Z35" s="171" t="s">
        <v>6093</v>
      </c>
      <c r="AI35" s="168">
        <f t="shared" si="0"/>
        <v>730000</v>
      </c>
      <c r="AL35" s="128">
        <f t="shared" si="5"/>
        <v>0</v>
      </c>
      <c r="AM35" s="128">
        <v>19354508165</v>
      </c>
      <c r="AN35" s="128" t="s">
        <v>6094</v>
      </c>
      <c r="AP35" s="128">
        <f t="shared" si="6"/>
        <v>730000</v>
      </c>
      <c r="AQ35" s="173">
        <f>0.7%+0.08%+0.03%</f>
        <v>0.0081</v>
      </c>
      <c r="BC35" s="128">
        <v>730000</v>
      </c>
      <c r="BP35" s="128" t="s">
        <v>2825</v>
      </c>
      <c r="BR35" s="128" t="s">
        <v>377</v>
      </c>
    </row>
    <row r="36" s="128" customFormat="1" hidden="1" customHeight="1" spans="1:70">
      <c r="A36" s="128">
        <v>19</v>
      </c>
      <c r="B36" s="128"/>
      <c r="C36" s="138">
        <v>45819</v>
      </c>
      <c r="D36" s="128">
        <v>20250003061</v>
      </c>
      <c r="G36" s="1016" t="s">
        <v>6095</v>
      </c>
      <c r="H36" s="128" t="s">
        <v>6096</v>
      </c>
      <c r="I36" s="1016" t="s">
        <v>6097</v>
      </c>
      <c r="J36" s="166" t="s">
        <v>6098</v>
      </c>
      <c r="K36" s="167">
        <v>126.91</v>
      </c>
      <c r="L36" s="168">
        <v>126.91</v>
      </c>
      <c r="M36" s="168">
        <v>6066</v>
      </c>
      <c r="N36" s="168">
        <v>769836</v>
      </c>
      <c r="O36" s="168">
        <v>6066</v>
      </c>
      <c r="P36" s="128">
        <v>706271.56</v>
      </c>
      <c r="Q36" s="1016" t="s">
        <v>6099</v>
      </c>
      <c r="R36" s="171">
        <v>46203</v>
      </c>
      <c r="S36" s="128"/>
      <c r="T36" s="171"/>
      <c r="U36" s="128"/>
      <c r="V36" s="128" t="s">
        <v>383</v>
      </c>
      <c r="W36" s="128">
        <v>20000</v>
      </c>
      <c r="X36" s="128" t="s">
        <v>4509</v>
      </c>
      <c r="Y36" s="128">
        <f>119836+50000</f>
        <v>169836</v>
      </c>
      <c r="Z36" s="128" t="s">
        <v>3626</v>
      </c>
      <c r="AA36" s="128">
        <v>20000</v>
      </c>
      <c r="AB36" s="128" t="s">
        <v>3393</v>
      </c>
      <c r="AC36" s="128">
        <v>560000</v>
      </c>
      <c r="AD36" s="171">
        <v>45849</v>
      </c>
      <c r="AI36" s="168">
        <f t="shared" si="0"/>
        <v>769836</v>
      </c>
      <c r="AL36" s="128">
        <f t="shared" si="5"/>
        <v>0</v>
      </c>
      <c r="AM36" s="128">
        <v>19999170419</v>
      </c>
      <c r="AN36" s="128" t="s">
        <v>3402</v>
      </c>
      <c r="AP36" s="168">
        <f t="shared" si="6"/>
        <v>769836</v>
      </c>
      <c r="AQ36" s="169">
        <f>0.4%+0.08%+0.03%</f>
        <v>0.0051</v>
      </c>
      <c r="AZ36" s="128">
        <v>209836</v>
      </c>
      <c r="BA36" s="128">
        <v>560000</v>
      </c>
      <c r="BP36" s="128" t="s">
        <v>376</v>
      </c>
      <c r="BR36" s="128" t="s">
        <v>377</v>
      </c>
    </row>
    <row r="37" s="128" customFormat="1" hidden="1" customHeight="1" spans="1:70">
      <c r="A37" s="128">
        <v>20</v>
      </c>
      <c r="B37" s="128"/>
      <c r="C37" s="138">
        <v>45814</v>
      </c>
      <c r="D37" s="128">
        <v>20250003057</v>
      </c>
      <c r="G37" s="1016" t="s">
        <v>6100</v>
      </c>
      <c r="H37" s="128" t="s">
        <v>6101</v>
      </c>
      <c r="I37" s="1016" t="s">
        <v>6102</v>
      </c>
      <c r="J37" s="172" t="s">
        <v>6103</v>
      </c>
      <c r="K37" s="167">
        <v>126.5</v>
      </c>
      <c r="L37" s="168">
        <v>126.5</v>
      </c>
      <c r="M37" s="168">
        <v>5750</v>
      </c>
      <c r="N37" s="168">
        <v>727375</v>
      </c>
      <c r="O37" s="168">
        <v>5750</v>
      </c>
      <c r="P37" s="128">
        <v>667316.51</v>
      </c>
      <c r="Q37" s="1016" t="s">
        <v>6104</v>
      </c>
      <c r="R37" s="171">
        <v>46203</v>
      </c>
      <c r="S37" s="128"/>
      <c r="T37" s="171"/>
      <c r="U37" s="128"/>
      <c r="V37" s="128" t="s">
        <v>373</v>
      </c>
      <c r="W37" s="128">
        <v>20000</v>
      </c>
      <c r="X37" s="128" t="s">
        <v>4509</v>
      </c>
      <c r="Y37" s="128">
        <v>76375</v>
      </c>
      <c r="Z37" s="128" t="s">
        <v>6105</v>
      </c>
      <c r="AA37" s="128">
        <v>50000</v>
      </c>
      <c r="AB37" s="128" t="s">
        <v>3661</v>
      </c>
      <c r="AC37" s="128">
        <v>581000</v>
      </c>
      <c r="AD37" s="171">
        <v>45863</v>
      </c>
      <c r="AI37" s="168">
        <f t="shared" ref="AI37:AI68" si="7">W37+Y37+AA37+AC37+AE37+AG37</f>
        <v>727375</v>
      </c>
      <c r="AL37" s="128">
        <f t="shared" si="5"/>
        <v>0</v>
      </c>
      <c r="AM37" s="128">
        <v>19609969426</v>
      </c>
      <c r="AN37" s="128" t="s">
        <v>3480</v>
      </c>
      <c r="AP37" s="168">
        <f t="shared" si="6"/>
        <v>727375</v>
      </c>
      <c r="AQ37" s="173">
        <f>0.7%+0.05%+0.08%+0.03%</f>
        <v>0.0086</v>
      </c>
      <c r="AZ37" s="128">
        <v>146375</v>
      </c>
      <c r="BA37" s="128">
        <v>581000</v>
      </c>
      <c r="BP37" s="128" t="s">
        <v>376</v>
      </c>
      <c r="BR37" s="128" t="s">
        <v>377</v>
      </c>
    </row>
    <row r="38" s="107" customFormat="1" hidden="1" customHeight="1" spans="1:70">
      <c r="A38" s="107">
        <v>21</v>
      </c>
      <c r="B38" s="107"/>
      <c r="C38" s="109"/>
      <c r="D38" s="107"/>
      <c r="J38" s="164" t="s">
        <v>6106</v>
      </c>
      <c r="K38" s="165">
        <v>126.91</v>
      </c>
      <c r="L38" s="157"/>
      <c r="M38" s="157"/>
      <c r="N38" s="157"/>
      <c r="O38" s="157">
        <v>7139.31</v>
      </c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I38" s="157">
        <f t="shared" si="7"/>
        <v>0</v>
      </c>
      <c r="AL38" s="101">
        <f t="shared" si="5"/>
        <v>0</v>
      </c>
      <c r="AP38" s="101">
        <f t="shared" si="6"/>
        <v>0</v>
      </c>
    </row>
    <row r="39" s="107" customFormat="1" hidden="1" customHeight="1" spans="1:70">
      <c r="A39" s="107">
        <v>22</v>
      </c>
      <c r="B39" s="107"/>
      <c r="C39" s="109"/>
      <c r="D39" s="107"/>
      <c r="J39" s="170" t="s">
        <v>6107</v>
      </c>
      <c r="K39" s="165">
        <v>126.5</v>
      </c>
      <c r="L39" s="157"/>
      <c r="M39" s="157"/>
      <c r="N39" s="157"/>
      <c r="O39" s="157">
        <v>7129.31</v>
      </c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I39" s="157">
        <f t="shared" si="7"/>
        <v>0</v>
      </c>
      <c r="AL39" s="101">
        <f t="shared" si="5"/>
        <v>0</v>
      </c>
      <c r="AP39" s="101">
        <f t="shared" si="6"/>
        <v>0</v>
      </c>
    </row>
    <row r="40" s="128" customFormat="1" ht="41" hidden="1" customHeight="1" spans="1:70">
      <c r="A40" s="128">
        <v>23</v>
      </c>
      <c r="B40" s="128"/>
      <c r="C40" s="138">
        <v>46129</v>
      </c>
      <c r="D40" s="128">
        <v>20260001676</v>
      </c>
      <c r="E40" s="177" t="s">
        <v>157</v>
      </c>
      <c r="G40" s="1016" t="s">
        <v>158</v>
      </c>
      <c r="H40" s="128" t="s">
        <v>159</v>
      </c>
      <c r="I40" s="128"/>
      <c r="J40" s="166" t="s">
        <v>160</v>
      </c>
      <c r="K40" s="167">
        <v>128.65</v>
      </c>
      <c r="L40" s="168">
        <v>128.65</v>
      </c>
      <c r="M40" s="168">
        <v>7503.69</v>
      </c>
      <c r="N40" s="168">
        <v>965350</v>
      </c>
      <c r="O40" s="168">
        <v>7705.31</v>
      </c>
      <c r="P40" s="128">
        <v>885642.2</v>
      </c>
      <c r="Q40" s="1016" t="s">
        <v>6108</v>
      </c>
      <c r="R40" s="171">
        <v>46203</v>
      </c>
      <c r="S40" s="128"/>
      <c r="T40" s="171"/>
      <c r="U40" s="128"/>
      <c r="V40" s="128"/>
      <c r="W40" s="128">
        <v>115350</v>
      </c>
      <c r="X40" s="171">
        <v>45924</v>
      </c>
      <c r="Y40" s="128">
        <v>350000</v>
      </c>
      <c r="Z40" s="171" t="s">
        <v>6109</v>
      </c>
      <c r="AA40" s="128">
        <v>500000</v>
      </c>
      <c r="AB40" s="171" t="s">
        <v>6110</v>
      </c>
      <c r="AC40" s="128"/>
      <c r="AD40" s="128"/>
      <c r="AE40" s="128"/>
      <c r="AF40" s="128"/>
      <c r="AG40" s="128"/>
      <c r="AH40" s="128"/>
      <c r="AI40" s="168">
        <f t="shared" si="7"/>
        <v>965350</v>
      </c>
      <c r="AL40" s="128">
        <f t="shared" si="5"/>
        <v>0</v>
      </c>
      <c r="AM40" s="128">
        <v>13779684567</v>
      </c>
      <c r="AP40" s="128">
        <f t="shared" si="6"/>
        <v>0</v>
      </c>
      <c r="AS40" s="176"/>
      <c r="AT40" s="176"/>
      <c r="AU40" s="176"/>
      <c r="AV40" s="176"/>
      <c r="AW40" s="176"/>
      <c r="AX40" s="176"/>
      <c r="AY40" s="176"/>
      <c r="AZ40" s="176"/>
      <c r="BA40" s="176"/>
      <c r="BB40" s="176"/>
      <c r="BP40" s="128" t="s">
        <v>376</v>
      </c>
      <c r="BR40" s="128" t="s">
        <v>377</v>
      </c>
    </row>
    <row r="41" s="107" customFormat="1" hidden="1" customHeight="1" spans="1:70">
      <c r="A41" s="107">
        <v>24</v>
      </c>
      <c r="B41" s="107"/>
      <c r="C41" s="109"/>
      <c r="D41" s="107"/>
      <c r="J41" s="170" t="s">
        <v>6111</v>
      </c>
      <c r="K41" s="165">
        <v>109.7</v>
      </c>
      <c r="L41" s="157"/>
      <c r="M41" s="157"/>
      <c r="N41" s="157"/>
      <c r="O41" s="157">
        <v>8525.31</v>
      </c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I41" s="157">
        <f t="shared" si="7"/>
        <v>0</v>
      </c>
      <c r="AP41" s="101">
        <f t="shared" si="6"/>
        <v>0</v>
      </c>
    </row>
    <row r="42" s="128" customFormat="1" hidden="1" customHeight="1" spans="1:70">
      <c r="A42" s="128">
        <v>25</v>
      </c>
      <c r="B42" s="128"/>
      <c r="C42" s="134"/>
      <c r="D42" s="128"/>
      <c r="G42" s="1016" t="s">
        <v>6112</v>
      </c>
      <c r="H42" s="128" t="s">
        <v>6113</v>
      </c>
      <c r="I42" s="1016" t="s">
        <v>6114</v>
      </c>
      <c r="J42" s="166" t="s">
        <v>6115</v>
      </c>
      <c r="K42" s="167">
        <v>126.5</v>
      </c>
      <c r="L42" s="168">
        <v>126.5</v>
      </c>
      <c r="M42" s="168">
        <v>5100</v>
      </c>
      <c r="N42" s="168">
        <v>645150</v>
      </c>
      <c r="O42" s="168">
        <v>5765.41</v>
      </c>
      <c r="P42" s="128"/>
      <c r="Q42" s="128"/>
      <c r="R42" s="128"/>
      <c r="S42" s="128"/>
      <c r="T42" s="128"/>
      <c r="U42" s="128"/>
      <c r="V42" s="128" t="s">
        <v>6018</v>
      </c>
      <c r="W42" s="128">
        <v>10000</v>
      </c>
      <c r="X42" s="128" t="s">
        <v>6116</v>
      </c>
      <c r="Y42" s="128"/>
      <c r="Z42" s="128"/>
      <c r="AI42" s="168">
        <f t="shared" si="7"/>
        <v>10000</v>
      </c>
      <c r="AL42" s="128">
        <f t="shared" ref="AL42:AL48" si="8">N42-AI42</f>
        <v>635150</v>
      </c>
      <c r="AM42" s="128">
        <v>18299047188</v>
      </c>
      <c r="AN42" s="128" t="s">
        <v>3402</v>
      </c>
      <c r="AP42" s="128">
        <f t="shared" si="6"/>
        <v>0</v>
      </c>
      <c r="AQ42" s="169">
        <f>0.7%+0.02%+0.08%+0.03%</f>
        <v>0.0083</v>
      </c>
      <c r="BR42" s="128" t="s">
        <v>6117</v>
      </c>
    </row>
    <row r="43" s="128" customFormat="1" hidden="1" customHeight="1" spans="1:70">
      <c r="A43" s="128">
        <v>26</v>
      </c>
      <c r="B43" s="128"/>
      <c r="C43" s="134"/>
      <c r="D43" s="128"/>
      <c r="G43" s="1016" t="s">
        <v>6118</v>
      </c>
      <c r="H43" s="128" t="s">
        <v>6119</v>
      </c>
      <c r="I43" s="1016" t="s">
        <v>6120</v>
      </c>
      <c r="J43" s="172" t="s">
        <v>6121</v>
      </c>
      <c r="K43" s="167">
        <v>126.5</v>
      </c>
      <c r="L43" s="168">
        <v>126.5</v>
      </c>
      <c r="M43" s="168">
        <v>4743</v>
      </c>
      <c r="N43" s="168">
        <v>600000</v>
      </c>
      <c r="O43" s="168">
        <v>5757.41</v>
      </c>
      <c r="P43" s="128"/>
      <c r="Q43" s="128"/>
      <c r="R43" s="128"/>
      <c r="S43" s="128"/>
      <c r="T43" s="128"/>
      <c r="U43" s="128"/>
      <c r="V43" s="128" t="s">
        <v>6018</v>
      </c>
      <c r="W43" s="128">
        <v>10000</v>
      </c>
      <c r="X43" s="128" t="s">
        <v>6122</v>
      </c>
      <c r="Y43" s="128"/>
      <c r="Z43" s="128"/>
      <c r="AI43" s="168">
        <f t="shared" si="7"/>
        <v>10000</v>
      </c>
      <c r="AL43" s="128">
        <f t="shared" si="8"/>
        <v>590000</v>
      </c>
      <c r="AM43" s="128">
        <v>13667543211</v>
      </c>
      <c r="AN43" s="128" t="s">
        <v>3480</v>
      </c>
      <c r="AP43" s="128">
        <f t="shared" si="6"/>
        <v>0</v>
      </c>
      <c r="AQ43" s="169">
        <f>0.7%+0.02%+0.08%+0.03%</f>
        <v>0.0083</v>
      </c>
      <c r="BR43" s="128" t="s">
        <v>6117</v>
      </c>
    </row>
    <row r="44" s="128" customFormat="1" hidden="1" customHeight="1" spans="1:70">
      <c r="A44" s="128">
        <v>27</v>
      </c>
      <c r="B44" s="128"/>
      <c r="C44" s="138">
        <v>45861</v>
      </c>
      <c r="D44" s="128">
        <v>20250003889</v>
      </c>
      <c r="G44" s="1016" t="s">
        <v>6123</v>
      </c>
      <c r="H44" s="128" t="s">
        <v>6124</v>
      </c>
      <c r="I44" s="128"/>
      <c r="J44" s="166" t="s">
        <v>6125</v>
      </c>
      <c r="K44" s="167">
        <v>126.5</v>
      </c>
      <c r="L44" s="168">
        <v>126.5</v>
      </c>
      <c r="M44" s="168">
        <v>5533.596</v>
      </c>
      <c r="N44" s="168">
        <v>700000</v>
      </c>
      <c r="O44" s="168">
        <v>5533.596</v>
      </c>
      <c r="P44" s="128">
        <v>642201.83</v>
      </c>
      <c r="Q44" s="1016" t="s">
        <v>6126</v>
      </c>
      <c r="R44" s="171">
        <v>46197</v>
      </c>
      <c r="S44" s="128"/>
      <c r="T44" s="171"/>
      <c r="U44" s="128"/>
      <c r="V44" s="128" t="s">
        <v>373</v>
      </c>
      <c r="W44" s="128">
        <v>20000</v>
      </c>
      <c r="X44" s="171" t="s">
        <v>6127</v>
      </c>
      <c r="Y44" s="128">
        <v>480000</v>
      </c>
      <c r="Z44" s="171" t="s">
        <v>6128</v>
      </c>
      <c r="AA44" s="128">
        <v>200000</v>
      </c>
      <c r="AB44" s="171">
        <v>45961</v>
      </c>
      <c r="AI44" s="168">
        <f t="shared" si="7"/>
        <v>700000</v>
      </c>
      <c r="AL44" s="128">
        <f t="shared" si="8"/>
        <v>0</v>
      </c>
      <c r="AM44" s="128">
        <v>18196446732</v>
      </c>
      <c r="AN44" s="128" t="s">
        <v>6094</v>
      </c>
      <c r="AP44" s="168">
        <f t="shared" si="6"/>
        <v>700000</v>
      </c>
      <c r="AQ44" s="169">
        <f>0.7%+0.03%+0.08%+0.03%</f>
        <v>0.0084</v>
      </c>
      <c r="BA44" s="128">
        <v>500000</v>
      </c>
      <c r="BD44" s="128">
        <v>200000</v>
      </c>
      <c r="BP44" s="128" t="s">
        <v>2825</v>
      </c>
      <c r="BR44" s="128" t="s">
        <v>377</v>
      </c>
    </row>
    <row r="45" s="128" customFormat="1" hidden="1" customHeight="1" spans="1:70">
      <c r="A45" s="128">
        <v>28</v>
      </c>
      <c r="B45" s="128"/>
      <c r="C45" s="138">
        <v>45866</v>
      </c>
      <c r="D45" s="128">
        <v>20250003972</v>
      </c>
      <c r="G45" s="1016" t="s">
        <v>6129</v>
      </c>
      <c r="H45" s="128" t="s">
        <v>6130</v>
      </c>
      <c r="I45" s="128"/>
      <c r="J45" s="166" t="s">
        <v>6131</v>
      </c>
      <c r="K45" s="167">
        <v>126.5</v>
      </c>
      <c r="L45" s="168">
        <v>126.5</v>
      </c>
      <c r="M45" s="168">
        <v>5848.92</v>
      </c>
      <c r="N45" s="168">
        <v>739888</v>
      </c>
      <c r="O45" s="168">
        <v>5807.69</v>
      </c>
      <c r="P45" s="128">
        <v>678796.33</v>
      </c>
      <c r="Q45" s="1016" t="s">
        <v>6132</v>
      </c>
      <c r="R45" s="171">
        <v>46197</v>
      </c>
      <c r="S45" s="128"/>
      <c r="T45" s="171"/>
      <c r="U45" s="128"/>
      <c r="V45" s="128" t="s">
        <v>486</v>
      </c>
      <c r="W45" s="128">
        <v>4888</v>
      </c>
      <c r="X45" s="171" t="s">
        <v>6133</v>
      </c>
      <c r="Y45" s="128">
        <v>160000</v>
      </c>
      <c r="Z45" s="171" t="s">
        <v>6134</v>
      </c>
      <c r="AA45" s="128">
        <v>575000</v>
      </c>
      <c r="AB45" s="171">
        <v>45923</v>
      </c>
      <c r="AI45" s="168">
        <f t="shared" si="7"/>
        <v>739888</v>
      </c>
      <c r="AL45" s="128">
        <f t="shared" si="8"/>
        <v>0</v>
      </c>
      <c r="AM45" s="128">
        <v>15899013701</v>
      </c>
      <c r="AN45" s="128" t="s">
        <v>6135</v>
      </c>
      <c r="AP45" s="128">
        <f t="shared" si="6"/>
        <v>739888</v>
      </c>
      <c r="AQ45" s="169">
        <f>0.7%+0.03%+0.08%+0.03%</f>
        <v>0.0084</v>
      </c>
      <c r="BB45" s="128">
        <v>164888</v>
      </c>
      <c r="BC45" s="128">
        <v>575000</v>
      </c>
      <c r="BP45" s="128" t="s">
        <v>2825</v>
      </c>
      <c r="BR45" s="128" t="s">
        <v>377</v>
      </c>
    </row>
    <row r="46" s="128" customFormat="1" hidden="1" customHeight="1" spans="1:70">
      <c r="A46" s="128">
        <v>29</v>
      </c>
      <c r="B46" s="128"/>
      <c r="C46" s="138">
        <v>45870</v>
      </c>
      <c r="D46" s="128">
        <v>20250004054</v>
      </c>
      <c r="G46" s="1016" t="s">
        <v>6136</v>
      </c>
      <c r="H46" s="128" t="s">
        <v>6137</v>
      </c>
      <c r="I46" s="1016" t="s">
        <v>6138</v>
      </c>
      <c r="J46" s="172" t="s">
        <v>6139</v>
      </c>
      <c r="K46" s="167">
        <v>126.5</v>
      </c>
      <c r="L46" s="168">
        <v>126.5</v>
      </c>
      <c r="M46" s="168">
        <v>5744.66</v>
      </c>
      <c r="N46" s="168">
        <v>726700</v>
      </c>
      <c r="O46" s="168">
        <v>5744.66</v>
      </c>
      <c r="P46" s="128">
        <v>666697.25</v>
      </c>
      <c r="Q46" s="1016" t="s">
        <v>6140</v>
      </c>
      <c r="R46" s="171">
        <v>46203</v>
      </c>
      <c r="S46" s="128"/>
      <c r="T46" s="171"/>
      <c r="U46" s="128"/>
      <c r="V46" s="128" t="s">
        <v>496</v>
      </c>
      <c r="W46" s="128">
        <v>20000</v>
      </c>
      <c r="X46" s="171" t="s">
        <v>6141</v>
      </c>
      <c r="Y46" s="128">
        <v>6700</v>
      </c>
      <c r="Z46" s="171" t="s">
        <v>6142</v>
      </c>
      <c r="AA46" s="128">
        <v>380000</v>
      </c>
      <c r="AB46" s="171">
        <v>45967</v>
      </c>
      <c r="AC46" s="128">
        <v>320000</v>
      </c>
      <c r="AD46" s="171" t="s">
        <v>1244</v>
      </c>
      <c r="AI46" s="168">
        <f t="shared" si="7"/>
        <v>726700</v>
      </c>
      <c r="AL46" s="128">
        <f t="shared" si="8"/>
        <v>0</v>
      </c>
      <c r="AM46" s="128">
        <v>15276291162</v>
      </c>
      <c r="AN46" s="128" t="s">
        <v>6027</v>
      </c>
      <c r="AP46" s="128">
        <f t="shared" si="6"/>
        <v>726700</v>
      </c>
      <c r="AQ46" s="169">
        <f>0.4%+0.02%+0.08%+0.03%</f>
        <v>0.0053</v>
      </c>
      <c r="BE46" s="128">
        <v>406700</v>
      </c>
      <c r="BJ46" s="128">
        <v>320000</v>
      </c>
      <c r="BP46" s="128" t="s">
        <v>2825</v>
      </c>
      <c r="BR46" s="128" t="s">
        <v>377</v>
      </c>
    </row>
    <row r="47" s="128" customFormat="1" hidden="1" customHeight="1" spans="1:70">
      <c r="A47" s="128">
        <v>30</v>
      </c>
      <c r="B47" s="128"/>
      <c r="C47" s="138">
        <v>46042</v>
      </c>
      <c r="D47" s="128">
        <v>20260000306</v>
      </c>
      <c r="G47" s="1016" t="s">
        <v>6143</v>
      </c>
      <c r="H47" s="128" t="s">
        <v>6144</v>
      </c>
      <c r="I47" s="1016" t="s">
        <v>6145</v>
      </c>
      <c r="J47" s="172" t="s">
        <v>6146</v>
      </c>
      <c r="K47" s="167">
        <v>126.5</v>
      </c>
      <c r="L47" s="168">
        <v>126.5</v>
      </c>
      <c r="M47" s="168">
        <v>5200</v>
      </c>
      <c r="N47" s="168">
        <v>657800</v>
      </c>
      <c r="O47" s="168">
        <f>5487.69-300</f>
        <v>5187.69</v>
      </c>
      <c r="P47" s="128">
        <v>603486.24</v>
      </c>
      <c r="Q47" s="1016" t="s">
        <v>6147</v>
      </c>
      <c r="R47" s="171">
        <v>46202</v>
      </c>
      <c r="T47" s="171"/>
      <c r="U47" s="128"/>
      <c r="V47" s="128" t="s">
        <v>687</v>
      </c>
      <c r="W47" s="128">
        <v>20000</v>
      </c>
      <c r="X47" s="171">
        <v>45999</v>
      </c>
      <c r="Y47" s="128">
        <v>500000</v>
      </c>
      <c r="Z47" s="171">
        <v>46040</v>
      </c>
      <c r="AA47" s="128">
        <v>137800</v>
      </c>
      <c r="AB47" s="171">
        <v>46042</v>
      </c>
      <c r="AI47" s="168">
        <f t="shared" si="7"/>
        <v>657800</v>
      </c>
      <c r="AL47" s="128">
        <f t="shared" si="8"/>
        <v>0</v>
      </c>
      <c r="AN47" s="128" t="s">
        <v>3480</v>
      </c>
      <c r="AP47" s="128">
        <f t="shared" si="6"/>
        <v>657800</v>
      </c>
      <c r="AQ47" s="169">
        <f>0.4%+0.02%+0.08%+0.03%</f>
        <v>0.0053</v>
      </c>
      <c r="BG47" s="128">
        <v>657800</v>
      </c>
      <c r="BP47" s="128" t="s">
        <v>376</v>
      </c>
      <c r="BR47" s="128" t="s">
        <v>377</v>
      </c>
    </row>
    <row r="48" s="128" customFormat="1" hidden="1" customHeight="1" spans="1:70">
      <c r="A48" s="128">
        <v>31</v>
      </c>
      <c r="B48" s="128"/>
      <c r="C48" s="138">
        <v>45793</v>
      </c>
      <c r="D48" s="128">
        <v>20250002764</v>
      </c>
      <c r="G48" s="1016" t="s">
        <v>6148</v>
      </c>
      <c r="H48" s="128" t="s">
        <v>6149</v>
      </c>
      <c r="I48" s="1016" t="s">
        <v>6150</v>
      </c>
      <c r="J48" s="172" t="s">
        <v>6151</v>
      </c>
      <c r="K48" s="167">
        <v>126.5</v>
      </c>
      <c r="L48" s="168">
        <v>126.5</v>
      </c>
      <c r="M48" s="168">
        <v>5897.23</v>
      </c>
      <c r="N48" s="168">
        <v>746000</v>
      </c>
      <c r="O48" s="168">
        <v>5897.23</v>
      </c>
      <c r="P48" s="128">
        <v>684403.67</v>
      </c>
      <c r="Q48" s="1016" t="s">
        <v>6152</v>
      </c>
      <c r="R48" s="171">
        <v>46203</v>
      </c>
      <c r="S48" s="128"/>
      <c r="T48" s="171"/>
      <c r="U48" s="128"/>
      <c r="V48" s="128"/>
      <c r="W48" s="128">
        <v>20000</v>
      </c>
      <c r="X48" s="128" t="s">
        <v>6153</v>
      </c>
      <c r="Y48" s="128">
        <v>316000</v>
      </c>
      <c r="Z48" s="128" t="s">
        <v>2230</v>
      </c>
      <c r="AA48" s="128">
        <v>40000</v>
      </c>
      <c r="AB48" s="128" t="s">
        <v>4540</v>
      </c>
      <c r="AC48" s="128">
        <v>370000</v>
      </c>
      <c r="AD48" s="171">
        <v>45862</v>
      </c>
      <c r="AI48" s="168">
        <f t="shared" si="7"/>
        <v>746000</v>
      </c>
      <c r="AL48" s="128">
        <f t="shared" si="8"/>
        <v>0</v>
      </c>
      <c r="AM48" s="128">
        <v>18139087923</v>
      </c>
      <c r="AN48" s="128" t="s">
        <v>6154</v>
      </c>
      <c r="AP48" s="168">
        <f t="shared" si="6"/>
        <v>746000</v>
      </c>
      <c r="AQ48" s="169">
        <f>0.4%+0.02%+0.08%+0.03%</f>
        <v>0.0053</v>
      </c>
      <c r="AY48" s="128">
        <v>376000</v>
      </c>
      <c r="BA48" s="128">
        <v>370000</v>
      </c>
      <c r="BP48" s="128" t="s">
        <v>376</v>
      </c>
      <c r="BR48" s="128" t="s">
        <v>377</v>
      </c>
    </row>
    <row r="49" s="128" customFormat="1" hidden="1" customHeight="1" spans="1:70">
      <c r="A49" s="128">
        <v>32</v>
      </c>
      <c r="B49" s="128"/>
      <c r="C49" s="138">
        <v>45666</v>
      </c>
      <c r="D49" s="128">
        <v>20250000145</v>
      </c>
      <c r="G49" s="1016" t="s">
        <v>6155</v>
      </c>
      <c r="H49" s="128" t="s">
        <v>6156</v>
      </c>
      <c r="I49" s="1016" t="s">
        <v>6157</v>
      </c>
      <c r="J49" s="172" t="s">
        <v>6158</v>
      </c>
      <c r="K49" s="167">
        <v>126.5</v>
      </c>
      <c r="L49" s="168">
        <v>126.5</v>
      </c>
      <c r="M49" s="168">
        <v>5849.8</v>
      </c>
      <c r="N49" s="168">
        <v>740000</v>
      </c>
      <c r="O49" s="168">
        <v>5849.8</v>
      </c>
      <c r="P49" s="128">
        <v>678899.08</v>
      </c>
      <c r="Q49" s="1016" t="s">
        <v>6159</v>
      </c>
      <c r="R49" s="171">
        <v>46203</v>
      </c>
      <c r="S49" s="128"/>
      <c r="T49" s="128"/>
      <c r="U49" s="128"/>
      <c r="V49" s="128" t="s">
        <v>2278</v>
      </c>
      <c r="W49" s="128">
        <v>10000</v>
      </c>
      <c r="X49" s="128" t="s">
        <v>621</v>
      </c>
      <c r="Y49" s="128">
        <v>230000</v>
      </c>
      <c r="Z49" s="128" t="s">
        <v>903</v>
      </c>
      <c r="AA49" s="128">
        <v>500000</v>
      </c>
      <c r="AB49" s="128" t="s">
        <v>6160</v>
      </c>
      <c r="AI49" s="168">
        <f t="shared" si="7"/>
        <v>740000</v>
      </c>
      <c r="AL49" s="128">
        <f t="shared" ref="AL49:AL59" si="9">N49-AI49</f>
        <v>0</v>
      </c>
      <c r="AM49" s="128">
        <v>13999619791</v>
      </c>
      <c r="AN49" s="128" t="s">
        <v>3402</v>
      </c>
      <c r="AP49" s="168">
        <f t="shared" si="6"/>
        <v>740000</v>
      </c>
      <c r="AQ49" s="169">
        <f>0.7%+0.02%+0.1%+0.03%</f>
        <v>0.0085</v>
      </c>
      <c r="AU49" s="128">
        <v>240000</v>
      </c>
      <c r="AW49" s="128">
        <v>500000</v>
      </c>
      <c r="BP49" s="128" t="s">
        <v>376</v>
      </c>
      <c r="BR49" s="128" t="s">
        <v>377</v>
      </c>
    </row>
    <row r="50" s="128" customFormat="1" hidden="1" customHeight="1" spans="1:70">
      <c r="A50" s="128">
        <v>33</v>
      </c>
      <c r="B50" s="128"/>
      <c r="C50" s="138">
        <v>45845</v>
      </c>
      <c r="D50" s="128">
        <v>20250003607</v>
      </c>
      <c r="G50" s="1016" t="s">
        <v>6161</v>
      </c>
      <c r="H50" s="128" t="s">
        <v>6162</v>
      </c>
      <c r="I50" s="1016" t="s">
        <v>6163</v>
      </c>
      <c r="J50" s="172" t="s">
        <v>6164</v>
      </c>
      <c r="K50" s="167">
        <v>126.5</v>
      </c>
      <c r="L50" s="168">
        <v>126.5</v>
      </c>
      <c r="M50" s="168">
        <v>5928.85</v>
      </c>
      <c r="N50" s="168">
        <v>750000</v>
      </c>
      <c r="O50" s="168">
        <v>5928.85</v>
      </c>
      <c r="P50" s="128">
        <v>688073.39</v>
      </c>
      <c r="Q50" s="1016" t="s">
        <v>6165</v>
      </c>
      <c r="R50" s="171">
        <v>46197</v>
      </c>
      <c r="S50" s="128"/>
      <c r="T50" s="171"/>
      <c r="U50" s="128"/>
      <c r="V50" s="128" t="s">
        <v>373</v>
      </c>
      <c r="W50" s="128">
        <v>20000</v>
      </c>
      <c r="X50" s="128" t="s">
        <v>3715</v>
      </c>
      <c r="Y50" s="128">
        <v>730000</v>
      </c>
      <c r="Z50" s="171">
        <v>45844</v>
      </c>
      <c r="AI50" s="168">
        <f t="shared" si="7"/>
        <v>750000</v>
      </c>
      <c r="AL50" s="128">
        <f t="shared" si="9"/>
        <v>0</v>
      </c>
      <c r="AM50" s="128">
        <v>15739340115</v>
      </c>
      <c r="AN50" s="177" t="s">
        <v>6135</v>
      </c>
      <c r="AP50" s="168">
        <f t="shared" si="6"/>
        <v>750000</v>
      </c>
      <c r="AQ50" s="173">
        <f>0.7%+0.05%+0.08%+0.03%</f>
        <v>0.0086</v>
      </c>
      <c r="BA50" s="128">
        <v>750000</v>
      </c>
      <c r="BP50" s="128" t="s">
        <v>2825</v>
      </c>
      <c r="BR50" s="128" t="s">
        <v>377</v>
      </c>
    </row>
    <row r="51" s="128" customFormat="1" hidden="1" customHeight="1" spans="1:70">
      <c r="A51" s="128">
        <v>34</v>
      </c>
      <c r="B51" s="128"/>
      <c r="C51" s="138">
        <v>45754</v>
      </c>
      <c r="D51" s="128">
        <v>20250001845</v>
      </c>
      <c r="G51" s="1016" t="s">
        <v>6166</v>
      </c>
      <c r="H51" s="128" t="s">
        <v>6167</v>
      </c>
      <c r="I51" s="128"/>
      <c r="J51" s="172" t="s">
        <v>6168</v>
      </c>
      <c r="K51" s="167">
        <v>126.5</v>
      </c>
      <c r="L51" s="168">
        <v>126.5</v>
      </c>
      <c r="M51" s="168">
        <v>5668.37</v>
      </c>
      <c r="N51" s="168">
        <v>717049</v>
      </c>
      <c r="O51" s="168">
        <v>5668.37</v>
      </c>
      <c r="P51" s="128">
        <v>657843.12</v>
      </c>
      <c r="Q51" s="1016" t="s">
        <v>6169</v>
      </c>
      <c r="R51" s="171">
        <v>46203</v>
      </c>
      <c r="S51" s="128"/>
      <c r="T51" s="128"/>
      <c r="U51" s="128"/>
      <c r="V51" s="128" t="s">
        <v>410</v>
      </c>
      <c r="W51" s="128">
        <v>20000</v>
      </c>
      <c r="X51" s="128" t="s">
        <v>2793</v>
      </c>
      <c r="Y51" s="128">
        <v>50000</v>
      </c>
      <c r="Z51" s="128" t="s">
        <v>3015</v>
      </c>
      <c r="AA51" s="128">
        <v>77049</v>
      </c>
      <c r="AB51" s="128" t="s">
        <v>3223</v>
      </c>
      <c r="AC51" s="128">
        <v>570000</v>
      </c>
      <c r="AD51" s="128" t="s">
        <v>3682</v>
      </c>
      <c r="AI51" s="168">
        <f t="shared" si="7"/>
        <v>717049</v>
      </c>
      <c r="AL51" s="128">
        <f t="shared" si="9"/>
        <v>0</v>
      </c>
      <c r="AM51" s="128">
        <v>15188306376</v>
      </c>
      <c r="AN51" s="128" t="s">
        <v>3450</v>
      </c>
      <c r="AP51" s="168">
        <f t="shared" si="6"/>
        <v>717049</v>
      </c>
      <c r="AQ51" s="169">
        <f>0.7%+0.08%+0.03%</f>
        <v>0.0081</v>
      </c>
      <c r="AX51" s="128">
        <v>147049</v>
      </c>
      <c r="AZ51" s="128">
        <v>570000</v>
      </c>
      <c r="BP51" s="128" t="s">
        <v>376</v>
      </c>
      <c r="BR51" s="128" t="s">
        <v>377</v>
      </c>
    </row>
    <row r="52" s="128" customFormat="1" hidden="1" customHeight="1" spans="1:70">
      <c r="A52" s="128">
        <v>35</v>
      </c>
      <c r="B52" s="128"/>
      <c r="C52" s="138">
        <v>45675</v>
      </c>
      <c r="D52" s="128">
        <v>20250000327</v>
      </c>
      <c r="G52" s="1016" t="s">
        <v>6170</v>
      </c>
      <c r="H52" s="128" t="s">
        <v>6171</v>
      </c>
      <c r="I52" s="1016" t="s">
        <v>6172</v>
      </c>
      <c r="J52" s="172" t="s">
        <v>6173</v>
      </c>
      <c r="K52" s="167">
        <v>126.5</v>
      </c>
      <c r="L52" s="168">
        <v>126.5</v>
      </c>
      <c r="M52" s="168">
        <v>5900</v>
      </c>
      <c r="N52" s="131">
        <v>746350</v>
      </c>
      <c r="O52" s="168">
        <v>6025.69</v>
      </c>
      <c r="P52" s="128">
        <v>684724.77</v>
      </c>
      <c r="Q52" s="1016" t="s">
        <v>6174</v>
      </c>
      <c r="R52" s="171">
        <v>46203</v>
      </c>
      <c r="S52" s="128"/>
      <c r="T52" s="128"/>
      <c r="U52" s="128"/>
      <c r="V52" s="128" t="s">
        <v>677</v>
      </c>
      <c r="W52" s="128">
        <v>20000</v>
      </c>
      <c r="X52" s="128" t="s">
        <v>1243</v>
      </c>
      <c r="Y52" s="128">
        <v>406350</v>
      </c>
      <c r="Z52" s="128" t="s">
        <v>773</v>
      </c>
      <c r="AA52" s="128">
        <v>30000</v>
      </c>
      <c r="AB52" s="128" t="s">
        <v>5048</v>
      </c>
      <c r="AC52" s="128">
        <v>290000</v>
      </c>
      <c r="AD52" s="128" t="s">
        <v>4968</v>
      </c>
      <c r="AI52" s="168">
        <f t="shared" si="7"/>
        <v>746350</v>
      </c>
      <c r="AL52" s="128">
        <f t="shared" si="9"/>
        <v>0</v>
      </c>
      <c r="AM52" s="128">
        <v>13199960206</v>
      </c>
      <c r="AN52" s="128" t="s">
        <v>3402</v>
      </c>
      <c r="AP52" s="168">
        <f t="shared" si="6"/>
        <v>746350</v>
      </c>
      <c r="AQ52" s="178">
        <f>0.7%+0.04%+0.12%+0.03%</f>
        <v>0.0089</v>
      </c>
      <c r="AV52" s="128">
        <v>456350</v>
      </c>
      <c r="AW52" s="128">
        <v>290000</v>
      </c>
      <c r="BP52" s="128" t="s">
        <v>376</v>
      </c>
      <c r="BR52" s="128" t="s">
        <v>377</v>
      </c>
    </row>
    <row r="53" s="128" customFormat="1" hidden="1" customHeight="1" spans="1:70">
      <c r="A53" s="128">
        <v>36</v>
      </c>
      <c r="B53" s="128"/>
      <c r="C53" s="138">
        <v>45779</v>
      </c>
      <c r="D53" s="128">
        <v>20250002390</v>
      </c>
      <c r="G53" s="1016" t="s">
        <v>6175</v>
      </c>
      <c r="H53" s="128" t="s">
        <v>6176</v>
      </c>
      <c r="I53" s="128"/>
      <c r="J53" s="172" t="s">
        <v>6177</v>
      </c>
      <c r="K53" s="167">
        <v>126.5</v>
      </c>
      <c r="L53" s="168">
        <v>126.5</v>
      </c>
      <c r="M53" s="168">
        <v>5691.7</v>
      </c>
      <c r="N53" s="168">
        <v>720000</v>
      </c>
      <c r="O53" s="168">
        <v>5691.7</v>
      </c>
      <c r="P53" s="128">
        <v>660550.46</v>
      </c>
      <c r="Q53" s="1016" t="s">
        <v>6178</v>
      </c>
      <c r="R53" s="171">
        <v>46202</v>
      </c>
      <c r="S53" s="128"/>
      <c r="T53" s="128"/>
      <c r="U53" s="128"/>
      <c r="V53" s="128"/>
      <c r="W53" s="128">
        <v>20000</v>
      </c>
      <c r="X53" s="128" t="s">
        <v>5049</v>
      </c>
      <c r="Y53" s="128">
        <v>73000</v>
      </c>
      <c r="Z53" s="128" t="s">
        <v>3360</v>
      </c>
      <c r="AA53" s="128">
        <v>57000</v>
      </c>
      <c r="AB53" s="128" t="s">
        <v>2231</v>
      </c>
      <c r="AC53" s="128">
        <v>570000</v>
      </c>
      <c r="AD53" s="128" t="s">
        <v>3626</v>
      </c>
      <c r="AI53" s="168">
        <f t="shared" si="7"/>
        <v>720000</v>
      </c>
      <c r="AL53" s="128">
        <f t="shared" si="9"/>
        <v>0</v>
      </c>
      <c r="AM53" s="128">
        <v>15299116365</v>
      </c>
      <c r="AN53" s="128" t="s">
        <v>3480</v>
      </c>
      <c r="AP53" s="168">
        <f t="shared" si="6"/>
        <v>720000</v>
      </c>
      <c r="AQ53" s="173">
        <f>0.4%+0.08%+0.03%</f>
        <v>0.0051</v>
      </c>
      <c r="AY53" s="128">
        <v>150000</v>
      </c>
      <c r="AZ53" s="128">
        <v>570000</v>
      </c>
      <c r="BP53" s="128" t="s">
        <v>376</v>
      </c>
      <c r="BR53" s="128" t="s">
        <v>377</v>
      </c>
    </row>
    <row r="54" s="128" customFormat="1" hidden="1" customHeight="1" spans="1:70">
      <c r="A54" s="128">
        <v>37</v>
      </c>
      <c r="B54" s="128"/>
      <c r="C54" s="138">
        <v>45704</v>
      </c>
      <c r="D54" s="128">
        <v>20250000656</v>
      </c>
      <c r="G54" s="1016" t="s">
        <v>6179</v>
      </c>
      <c r="H54" s="128" t="s">
        <v>6180</v>
      </c>
      <c r="I54" s="128"/>
      <c r="J54" s="172" t="s">
        <v>6181</v>
      </c>
      <c r="K54" s="167">
        <v>126.5</v>
      </c>
      <c r="L54" s="168">
        <v>126.5</v>
      </c>
      <c r="M54" s="168">
        <v>5928.85</v>
      </c>
      <c r="N54" s="168">
        <v>750000</v>
      </c>
      <c r="O54" s="168">
        <v>5928.85</v>
      </c>
      <c r="P54" s="128">
        <v>688073.39</v>
      </c>
      <c r="Q54" s="1016" t="s">
        <v>6182</v>
      </c>
      <c r="R54" s="171">
        <v>46197</v>
      </c>
      <c r="S54" s="128"/>
      <c r="T54" s="128"/>
      <c r="U54" s="128"/>
      <c r="V54" s="128" t="s">
        <v>383</v>
      </c>
      <c r="W54" s="128">
        <v>20000</v>
      </c>
      <c r="X54" s="128" t="s">
        <v>3058</v>
      </c>
      <c r="Y54" s="128">
        <f>70000+150000</f>
        <v>220000</v>
      </c>
      <c r="Z54" s="128" t="s">
        <v>6183</v>
      </c>
      <c r="AA54" s="128">
        <v>110000</v>
      </c>
      <c r="AB54" s="128" t="s">
        <v>2960</v>
      </c>
      <c r="AC54" s="128">
        <v>400000</v>
      </c>
      <c r="AD54" s="128" t="s">
        <v>3205</v>
      </c>
      <c r="AI54" s="168">
        <f t="shared" si="7"/>
        <v>750000</v>
      </c>
      <c r="AL54" s="128">
        <f t="shared" si="9"/>
        <v>0</v>
      </c>
      <c r="AM54" s="128">
        <v>15276145973</v>
      </c>
      <c r="AN54" s="128" t="s">
        <v>3402</v>
      </c>
      <c r="AP54" s="168">
        <f t="shared" si="6"/>
        <v>750000</v>
      </c>
      <c r="AQ54" s="174">
        <f>0.7%+0.04%+0.12%+0.03%</f>
        <v>0.0089</v>
      </c>
      <c r="AV54" s="128">
        <v>350000</v>
      </c>
      <c r="AW54" s="128">
        <v>400000</v>
      </c>
      <c r="BP54" s="128" t="s">
        <v>376</v>
      </c>
      <c r="BR54" s="128" t="s">
        <v>377</v>
      </c>
    </row>
    <row r="55" s="128" customFormat="1" hidden="1" customHeight="1" spans="1:70">
      <c r="A55" s="128">
        <v>38</v>
      </c>
      <c r="B55" s="128"/>
      <c r="C55" s="138">
        <v>45932</v>
      </c>
      <c r="D55" s="128">
        <v>20250004978</v>
      </c>
      <c r="G55" s="1016" t="s">
        <v>6184</v>
      </c>
      <c r="H55" s="128" t="s">
        <v>6185</v>
      </c>
      <c r="I55" s="1016" t="s">
        <v>6186</v>
      </c>
      <c r="J55" s="172" t="s">
        <v>6187</v>
      </c>
      <c r="K55" s="167">
        <v>126.5</v>
      </c>
      <c r="L55" s="168">
        <v>126.5</v>
      </c>
      <c r="M55" s="168">
        <v>5454.55</v>
      </c>
      <c r="N55" s="168">
        <v>690000</v>
      </c>
      <c r="O55" s="168">
        <v>5454.55</v>
      </c>
      <c r="T55" s="171"/>
      <c r="U55" s="128"/>
      <c r="V55" s="128" t="s">
        <v>486</v>
      </c>
      <c r="W55" s="128">
        <f>10000+130000</f>
        <v>140000</v>
      </c>
      <c r="X55" s="171" t="s">
        <v>6188</v>
      </c>
      <c r="Y55" s="128">
        <v>550000</v>
      </c>
      <c r="Z55" s="171">
        <v>45992</v>
      </c>
      <c r="AA55" s="128"/>
      <c r="AB55" s="128"/>
      <c r="AC55" s="128"/>
      <c r="AD55" s="128"/>
      <c r="AE55" s="128"/>
      <c r="AF55" s="128"/>
      <c r="AG55" s="128"/>
      <c r="AH55" s="128"/>
      <c r="AI55" s="168">
        <f t="shared" si="7"/>
        <v>690000</v>
      </c>
      <c r="AL55" s="128">
        <f t="shared" si="9"/>
        <v>0</v>
      </c>
      <c r="AM55" s="128">
        <v>18946680596</v>
      </c>
      <c r="AN55" s="175" t="s">
        <v>6189</v>
      </c>
      <c r="AO55" s="128"/>
      <c r="AP55" s="128">
        <f t="shared" si="6"/>
        <v>690000</v>
      </c>
      <c r="AQ55" s="173">
        <f>0.7%+0.04%+0.08%+0.03%</f>
        <v>0.0085</v>
      </c>
      <c r="AS55" s="176"/>
      <c r="AT55" s="176"/>
      <c r="AU55" s="176"/>
      <c r="AV55" s="176"/>
      <c r="AW55" s="176"/>
      <c r="AX55" s="176"/>
      <c r="AY55" s="176"/>
      <c r="AZ55" s="176"/>
      <c r="BA55" s="176"/>
      <c r="BB55" s="176"/>
      <c r="BD55" s="128">
        <v>140000</v>
      </c>
      <c r="BF55" s="128">
        <v>550000</v>
      </c>
      <c r="BP55" s="128" t="s">
        <v>3376</v>
      </c>
      <c r="BR55" s="128" t="s">
        <v>377</v>
      </c>
    </row>
    <row r="56" s="128" customFormat="1" hidden="1" customHeight="1" spans="1:70">
      <c r="A56" s="128">
        <v>39</v>
      </c>
      <c r="B56" s="128"/>
      <c r="C56" s="138">
        <v>45932</v>
      </c>
      <c r="D56" s="128">
        <v>20250005013</v>
      </c>
      <c r="G56" s="1016" t="s">
        <v>6190</v>
      </c>
      <c r="H56" s="128" t="s">
        <v>6191</v>
      </c>
      <c r="I56" s="1016" t="s">
        <v>6192</v>
      </c>
      <c r="J56" s="172" t="s">
        <v>6193</v>
      </c>
      <c r="K56" s="167">
        <v>126.5</v>
      </c>
      <c r="L56" s="168">
        <v>126.5</v>
      </c>
      <c r="M56" s="168">
        <v>5454.5</v>
      </c>
      <c r="N56" s="168">
        <v>690000</v>
      </c>
      <c r="O56" s="168">
        <f>5725.6-300</f>
        <v>5425.6</v>
      </c>
      <c r="P56" s="128">
        <v>633027.52</v>
      </c>
      <c r="Q56" s="1016" t="s">
        <v>6194</v>
      </c>
      <c r="R56" s="171">
        <v>46197</v>
      </c>
      <c r="T56" s="171"/>
      <c r="U56" s="128"/>
      <c r="V56" s="128" t="s">
        <v>486</v>
      </c>
      <c r="W56" s="128">
        <v>20000</v>
      </c>
      <c r="X56" s="171">
        <v>45922</v>
      </c>
      <c r="Y56" s="128">
        <v>670000</v>
      </c>
      <c r="Z56" s="171">
        <v>45932</v>
      </c>
      <c r="AA56" s="128"/>
      <c r="AB56" s="128"/>
      <c r="AC56" s="128"/>
      <c r="AD56" s="128"/>
      <c r="AE56" s="128"/>
      <c r="AF56" s="128"/>
      <c r="AG56" s="128"/>
      <c r="AH56" s="128"/>
      <c r="AI56" s="168">
        <f t="shared" si="7"/>
        <v>690000</v>
      </c>
      <c r="AL56" s="128">
        <f t="shared" si="9"/>
        <v>0</v>
      </c>
      <c r="AN56" s="128" t="s">
        <v>3480</v>
      </c>
      <c r="AO56" s="128"/>
      <c r="AP56" s="128">
        <f t="shared" si="6"/>
        <v>690000</v>
      </c>
      <c r="AQ56" s="173">
        <f>0.7%+0.04%+0.08%+0.03%</f>
        <v>0.0085</v>
      </c>
      <c r="AS56" s="176"/>
      <c r="AT56" s="176"/>
      <c r="AU56" s="176"/>
      <c r="AV56" s="176"/>
      <c r="AW56" s="176"/>
      <c r="AX56" s="176"/>
      <c r="AY56" s="176"/>
      <c r="AZ56" s="176"/>
      <c r="BA56" s="176"/>
      <c r="BB56" s="176"/>
      <c r="BD56" s="128">
        <v>690000</v>
      </c>
      <c r="BP56" s="128" t="s">
        <v>3376</v>
      </c>
      <c r="BR56" s="128" t="s">
        <v>377</v>
      </c>
    </row>
    <row r="57" s="128" customFormat="1" hidden="1" customHeight="1" spans="1:70">
      <c r="A57" s="128">
        <v>40</v>
      </c>
      <c r="B57" s="128"/>
      <c r="C57" s="138">
        <v>45903</v>
      </c>
      <c r="D57" s="128">
        <v>20250004496</v>
      </c>
      <c r="G57" s="1016" t="s">
        <v>6195</v>
      </c>
      <c r="H57" s="128" t="s">
        <v>6196</v>
      </c>
      <c r="I57" s="1016" t="s">
        <v>3706</v>
      </c>
      <c r="J57" s="172" t="s">
        <v>6197</v>
      </c>
      <c r="K57" s="167">
        <v>126.5</v>
      </c>
      <c r="L57" s="168">
        <v>126.5</v>
      </c>
      <c r="M57" s="168">
        <v>5454.54</v>
      </c>
      <c r="N57" s="168">
        <v>690000</v>
      </c>
      <c r="O57" s="168">
        <f>5717.69-300</f>
        <v>5417.69</v>
      </c>
      <c r="P57" s="128">
        <v>633027.52</v>
      </c>
      <c r="Q57" s="1016" t="s">
        <v>6198</v>
      </c>
      <c r="R57" s="171">
        <v>46203</v>
      </c>
      <c r="T57" s="171"/>
      <c r="U57" s="128"/>
      <c r="V57" s="128" t="s">
        <v>807</v>
      </c>
      <c r="W57" s="128">
        <v>10000</v>
      </c>
      <c r="X57" s="171">
        <v>45894</v>
      </c>
      <c r="Y57" s="128">
        <f>84000+44000</f>
        <v>128000</v>
      </c>
      <c r="Z57" s="171" t="s">
        <v>6199</v>
      </c>
      <c r="AA57" s="128">
        <v>552000</v>
      </c>
      <c r="AB57" s="171">
        <v>45958</v>
      </c>
      <c r="AI57" s="168">
        <f t="shared" si="7"/>
        <v>690000</v>
      </c>
      <c r="AL57" s="128">
        <f t="shared" si="9"/>
        <v>0</v>
      </c>
      <c r="AN57" s="128" t="s">
        <v>3480</v>
      </c>
      <c r="AP57" s="128">
        <f t="shared" si="6"/>
        <v>690000</v>
      </c>
      <c r="AQ57" s="173">
        <f>0.7%+0.08%+0.03%</f>
        <v>0.0081</v>
      </c>
      <c r="BC57" s="128">
        <v>138000</v>
      </c>
      <c r="BD57" s="128">
        <v>552000</v>
      </c>
      <c r="BP57" s="128" t="s">
        <v>2825</v>
      </c>
      <c r="BR57" s="128" t="s">
        <v>377</v>
      </c>
    </row>
    <row r="58" s="128" customFormat="1" hidden="1" customHeight="1" spans="1:70">
      <c r="A58" s="128">
        <v>41</v>
      </c>
      <c r="B58" s="128"/>
      <c r="C58" s="138">
        <v>45936</v>
      </c>
      <c r="D58" s="128">
        <v>20250005121</v>
      </c>
      <c r="G58" s="1016" t="s">
        <v>6200</v>
      </c>
      <c r="H58" s="128" t="s">
        <v>6201</v>
      </c>
      <c r="I58" s="128"/>
      <c r="J58" s="172" t="s">
        <v>6202</v>
      </c>
      <c r="K58" s="167">
        <v>126.5</v>
      </c>
      <c r="L58" s="168">
        <v>126.5</v>
      </c>
      <c r="M58" s="168">
        <v>5454.55</v>
      </c>
      <c r="N58" s="168">
        <v>690000</v>
      </c>
      <c r="O58" s="168">
        <f>5745.69-300</f>
        <v>5445.69</v>
      </c>
      <c r="P58" s="128">
        <v>633027.52</v>
      </c>
      <c r="Q58" s="1016" t="s">
        <v>6203</v>
      </c>
      <c r="R58" s="171">
        <v>46203</v>
      </c>
      <c r="T58" s="171"/>
      <c r="U58" s="128"/>
      <c r="V58" s="128" t="s">
        <v>3511</v>
      </c>
      <c r="W58" s="128">
        <f>140000+400000+20000</f>
        <v>560000</v>
      </c>
      <c r="X58" s="171" t="s">
        <v>6204</v>
      </c>
      <c r="Y58" s="128">
        <v>130000</v>
      </c>
      <c r="Z58" s="171">
        <v>45965</v>
      </c>
      <c r="AA58" s="128"/>
      <c r="AB58" s="128"/>
      <c r="AC58" s="128"/>
      <c r="AD58" s="128"/>
      <c r="AE58" s="128"/>
      <c r="AF58" s="128"/>
      <c r="AG58" s="128"/>
      <c r="AH58" s="128"/>
      <c r="AI58" s="168">
        <f t="shared" si="7"/>
        <v>690000</v>
      </c>
      <c r="AL58" s="128">
        <f t="shared" si="9"/>
        <v>0</v>
      </c>
      <c r="AP58" s="128">
        <f t="shared" si="6"/>
        <v>690000</v>
      </c>
      <c r="AQ58" s="173">
        <f>0.7%+0.03%+0.08%+0.03%</f>
        <v>0.0084</v>
      </c>
      <c r="AS58" s="176"/>
      <c r="AT58" s="176"/>
      <c r="AU58" s="176"/>
      <c r="AV58" s="176"/>
      <c r="AW58" s="176"/>
      <c r="AX58" s="176"/>
      <c r="AY58" s="176"/>
      <c r="AZ58" s="176"/>
      <c r="BA58" s="176"/>
      <c r="BB58" s="176"/>
      <c r="BD58" s="128">
        <v>560000</v>
      </c>
      <c r="BE58" s="128">
        <v>130000</v>
      </c>
      <c r="BP58" s="128" t="s">
        <v>3376</v>
      </c>
      <c r="BR58" s="128" t="s">
        <v>377</v>
      </c>
    </row>
    <row r="59" s="128" customFormat="1" hidden="1" customHeight="1" spans="1:70">
      <c r="A59" s="128">
        <v>42</v>
      </c>
      <c r="B59" s="128"/>
      <c r="C59" s="138">
        <v>45898</v>
      </c>
      <c r="D59" s="128">
        <v>20250004440</v>
      </c>
      <c r="G59" s="1016" t="s">
        <v>6205</v>
      </c>
      <c r="H59" s="128" t="s">
        <v>6206</v>
      </c>
      <c r="I59" s="128"/>
      <c r="J59" s="172" t="s">
        <v>6207</v>
      </c>
      <c r="K59" s="167">
        <v>126.5</v>
      </c>
      <c r="L59" s="168">
        <v>126.5</v>
      </c>
      <c r="M59" s="168">
        <v>5487</v>
      </c>
      <c r="N59" s="168">
        <v>694106</v>
      </c>
      <c r="O59" s="168">
        <f>5737.69-300</f>
        <v>5437.69</v>
      </c>
      <c r="P59" s="179">
        <v>636794.5</v>
      </c>
      <c r="Q59" s="1016" t="s">
        <v>6208</v>
      </c>
      <c r="R59" s="171">
        <v>46203</v>
      </c>
      <c r="T59" s="171"/>
      <c r="U59" s="128"/>
      <c r="V59" s="128" t="s">
        <v>383</v>
      </c>
      <c r="W59" s="128">
        <v>104106</v>
      </c>
      <c r="X59" s="171">
        <v>45898</v>
      </c>
      <c r="Y59" s="128">
        <v>40000</v>
      </c>
      <c r="Z59" s="171">
        <v>45908</v>
      </c>
      <c r="AA59" s="128">
        <v>550000</v>
      </c>
      <c r="AB59" s="171">
        <v>45943</v>
      </c>
      <c r="AC59" s="128"/>
      <c r="AD59" s="171"/>
      <c r="AI59" s="168">
        <f t="shared" si="7"/>
        <v>694106</v>
      </c>
      <c r="AL59" s="128">
        <f t="shared" si="9"/>
        <v>0</v>
      </c>
      <c r="AM59" s="128">
        <v>18920128311</v>
      </c>
      <c r="AN59" s="128" t="s">
        <v>3480</v>
      </c>
      <c r="AP59" s="128">
        <f t="shared" si="6"/>
        <v>694106</v>
      </c>
      <c r="AQ59" s="169">
        <f>0.7%+0.08%+0.03%</f>
        <v>0.0081</v>
      </c>
      <c r="BC59" s="128">
        <v>144106</v>
      </c>
      <c r="BD59" s="128">
        <v>550000</v>
      </c>
      <c r="BP59" s="128" t="s">
        <v>2825</v>
      </c>
      <c r="BR59" s="128" t="s">
        <v>377</v>
      </c>
    </row>
    <row r="60" s="107" customFormat="1" hidden="1" customHeight="1" spans="1:70">
      <c r="A60" s="107">
        <v>43</v>
      </c>
      <c r="B60" s="107"/>
      <c r="C60" s="109"/>
      <c r="D60" s="107"/>
      <c r="J60" s="170" t="s">
        <v>6209</v>
      </c>
      <c r="K60" s="165">
        <v>126.5</v>
      </c>
      <c r="L60" s="157"/>
      <c r="M60" s="157"/>
      <c r="N60" s="157"/>
      <c r="O60" s="157">
        <v>5745.69</v>
      </c>
      <c r="P60" s="107"/>
      <c r="Q60" s="107"/>
      <c r="R60" s="107"/>
      <c r="S60" s="107"/>
      <c r="T60" s="107"/>
      <c r="U60" s="107"/>
      <c r="V60" s="128"/>
      <c r="W60" s="107"/>
      <c r="X60" s="107"/>
      <c r="Y60" s="107"/>
      <c r="Z60" s="107"/>
      <c r="AI60" s="157">
        <f t="shared" si="7"/>
        <v>0</v>
      </c>
      <c r="AP60" s="101">
        <f t="shared" si="6"/>
        <v>0</v>
      </c>
    </row>
    <row r="61" s="107" customFormat="1" hidden="1" customHeight="1" spans="1:70">
      <c r="A61" s="107">
        <v>44</v>
      </c>
      <c r="B61" s="107"/>
      <c r="C61" s="109"/>
      <c r="D61" s="107"/>
      <c r="J61" s="170" t="s">
        <v>6210</v>
      </c>
      <c r="K61" s="165">
        <v>126.5</v>
      </c>
      <c r="L61" s="157"/>
      <c r="M61" s="157"/>
      <c r="N61" s="157"/>
      <c r="O61" s="157">
        <v>6609.31</v>
      </c>
      <c r="P61" s="107"/>
      <c r="Q61" s="107"/>
      <c r="R61" s="107"/>
      <c r="S61" s="107"/>
      <c r="T61" s="107"/>
      <c r="U61" s="107"/>
      <c r="V61" s="128"/>
      <c r="W61" s="107"/>
      <c r="X61" s="107"/>
      <c r="Y61" s="107"/>
      <c r="Z61" s="107"/>
      <c r="AI61" s="157">
        <f t="shared" si="7"/>
        <v>0</v>
      </c>
      <c r="AP61" s="101">
        <f t="shared" si="6"/>
        <v>0</v>
      </c>
    </row>
    <row r="62" s="107" customFormat="1" hidden="1" customHeight="1" spans="1:70">
      <c r="A62" s="107">
        <v>45</v>
      </c>
      <c r="B62" s="107"/>
      <c r="C62" s="109"/>
      <c r="D62" s="107"/>
      <c r="J62" s="170" t="s">
        <v>6211</v>
      </c>
      <c r="K62" s="165">
        <v>109.7</v>
      </c>
      <c r="L62" s="157"/>
      <c r="M62" s="157"/>
      <c r="N62" s="157"/>
      <c r="O62" s="157">
        <v>7775.31</v>
      </c>
      <c r="P62" s="107"/>
      <c r="Q62" s="107"/>
      <c r="R62" s="107"/>
      <c r="S62" s="107"/>
      <c r="T62" s="107"/>
      <c r="U62" s="107"/>
      <c r="V62" s="128"/>
      <c r="W62" s="107"/>
      <c r="X62" s="107"/>
      <c r="Y62" s="107"/>
      <c r="Z62" s="107"/>
      <c r="AI62" s="157">
        <f t="shared" si="7"/>
        <v>0</v>
      </c>
      <c r="AP62" s="101">
        <f t="shared" si="6"/>
        <v>0</v>
      </c>
    </row>
    <row r="63" s="128" customFormat="1" hidden="1" customHeight="1" spans="1:70">
      <c r="A63" s="128">
        <v>46</v>
      </c>
      <c r="B63" s="128"/>
      <c r="C63" s="138">
        <v>46143</v>
      </c>
      <c r="D63" s="128">
        <v>20260001866</v>
      </c>
      <c r="G63" s="1016" t="s">
        <v>162</v>
      </c>
      <c r="H63" s="128" t="s">
        <v>163</v>
      </c>
      <c r="I63" s="1016" t="s">
        <v>164</v>
      </c>
      <c r="J63" s="172" t="s">
        <v>165</v>
      </c>
      <c r="K63" s="167">
        <v>129.06</v>
      </c>
      <c r="L63" s="168">
        <v>129.06</v>
      </c>
      <c r="M63" s="168">
        <v>7360.92</v>
      </c>
      <c r="N63" s="168">
        <v>950000</v>
      </c>
      <c r="O63" s="168">
        <v>7360.92</v>
      </c>
      <c r="P63" s="128">
        <v>871559.63</v>
      </c>
      <c r="Q63" s="1016" t="s">
        <v>6212</v>
      </c>
      <c r="R63" s="171">
        <v>46167</v>
      </c>
      <c r="S63" s="128"/>
      <c r="T63" s="128"/>
      <c r="U63" s="128"/>
      <c r="V63" s="128" t="s">
        <v>3511</v>
      </c>
      <c r="W63" s="128">
        <v>20000</v>
      </c>
      <c r="X63" s="128" t="s">
        <v>6213</v>
      </c>
      <c r="Y63" s="128">
        <v>130000</v>
      </c>
      <c r="Z63" s="128" t="s">
        <v>6214</v>
      </c>
      <c r="AA63" s="128">
        <v>800000</v>
      </c>
      <c r="AB63" s="128" t="s">
        <v>6215</v>
      </c>
      <c r="AI63" s="168">
        <f t="shared" si="7"/>
        <v>950000</v>
      </c>
      <c r="AL63" s="128">
        <f>N63-AI63</f>
        <v>0</v>
      </c>
      <c r="AM63" s="128">
        <v>18139271088</v>
      </c>
      <c r="AN63" s="128" t="s">
        <v>3480</v>
      </c>
      <c r="AP63" s="128">
        <f t="shared" ref="AP63:AP94" si="10">SUM(AR63:BM63)</f>
        <v>950000</v>
      </c>
      <c r="AQ63" s="169">
        <f>0.7%+0.02%+0.08%+0.03%</f>
        <v>0.0083</v>
      </c>
      <c r="BK63" s="128">
        <v>950000</v>
      </c>
      <c r="BP63" s="128" t="s">
        <v>376</v>
      </c>
      <c r="BR63" s="168" t="s">
        <v>377</v>
      </c>
    </row>
    <row r="64" s="128" customFormat="1" hidden="1" customHeight="1" spans="1:70">
      <c r="A64" s="128">
        <v>47</v>
      </c>
      <c r="B64" s="128"/>
      <c r="C64" s="138">
        <v>46145</v>
      </c>
      <c r="D64" s="128">
        <v>20260002068</v>
      </c>
      <c r="G64" s="1016" t="s">
        <v>169</v>
      </c>
      <c r="H64" s="128" t="s">
        <v>170</v>
      </c>
      <c r="I64" s="1016" t="s">
        <v>171</v>
      </c>
      <c r="J64" s="172" t="s">
        <v>172</v>
      </c>
      <c r="K64" s="167">
        <v>126.5</v>
      </c>
      <c r="L64" s="168">
        <v>126.5</v>
      </c>
      <c r="M64" s="168">
        <v>5200</v>
      </c>
      <c r="N64" s="168">
        <v>657800</v>
      </c>
      <c r="O64" s="168">
        <v>5399.41</v>
      </c>
      <c r="P64" s="128">
        <v>603486.24</v>
      </c>
      <c r="Q64" s="1016" t="s">
        <v>6216</v>
      </c>
      <c r="R64" s="171">
        <v>46177</v>
      </c>
      <c r="S64" s="128"/>
      <c r="T64" s="128"/>
      <c r="U64" s="128"/>
      <c r="V64" s="128" t="s">
        <v>6018</v>
      </c>
      <c r="W64" s="128">
        <v>131800</v>
      </c>
      <c r="X64" s="128" t="s">
        <v>6217</v>
      </c>
      <c r="Y64" s="128"/>
      <c r="Z64" s="128"/>
      <c r="AI64" s="168">
        <f t="shared" si="7"/>
        <v>131800</v>
      </c>
      <c r="AL64" s="128">
        <f>N64-AI64</f>
        <v>526000</v>
      </c>
      <c r="AM64" s="128">
        <v>19909486045</v>
      </c>
      <c r="AN64" s="128" t="s">
        <v>3402</v>
      </c>
      <c r="AP64" s="128">
        <f t="shared" si="10"/>
        <v>131800</v>
      </c>
      <c r="AQ64" s="169">
        <f>0.7%+0.02%+0.08%+0.03%</f>
        <v>0.0083</v>
      </c>
      <c r="BK64" s="128">
        <v>131800</v>
      </c>
      <c r="BP64" s="128" t="s">
        <v>376</v>
      </c>
      <c r="BR64" s="168" t="s">
        <v>6218</v>
      </c>
    </row>
    <row r="65" s="107" customFormat="1" hidden="1" customHeight="1" spans="1:70">
      <c r="A65" s="107">
        <v>48</v>
      </c>
      <c r="B65" s="107"/>
      <c r="C65" s="109"/>
      <c r="D65" s="107"/>
      <c r="F65" s="180" t="s">
        <v>6219</v>
      </c>
      <c r="G65" s="107"/>
      <c r="H65" s="107"/>
      <c r="I65" s="107"/>
      <c r="J65" s="170" t="s">
        <v>6220</v>
      </c>
      <c r="K65" s="165">
        <v>126.91</v>
      </c>
      <c r="L65" s="157"/>
      <c r="M65" s="157"/>
      <c r="N65" s="157"/>
      <c r="O65" s="157">
        <v>5380.41</v>
      </c>
      <c r="P65" s="107"/>
      <c r="Q65" s="107"/>
      <c r="R65" s="107"/>
      <c r="S65" s="107"/>
      <c r="T65" s="107"/>
      <c r="U65" s="107"/>
      <c r="V65" s="128"/>
      <c r="W65" s="107"/>
      <c r="X65" s="107"/>
      <c r="Y65" s="107"/>
      <c r="Z65" s="107"/>
      <c r="AI65" s="157">
        <f t="shared" si="7"/>
        <v>0</v>
      </c>
      <c r="AP65" s="101">
        <f t="shared" si="10"/>
        <v>0</v>
      </c>
    </row>
    <row r="66" s="128" customFormat="1" hidden="1" customHeight="1" spans="1:70">
      <c r="A66" s="128">
        <v>49</v>
      </c>
      <c r="B66" s="128"/>
      <c r="C66" s="138">
        <v>45903</v>
      </c>
      <c r="D66" s="128">
        <v>20250004482</v>
      </c>
      <c r="G66" s="128" t="s">
        <v>6221</v>
      </c>
      <c r="H66" s="128" t="s">
        <v>6222</v>
      </c>
      <c r="I66" s="1016" t="s">
        <v>6223</v>
      </c>
      <c r="J66" s="172" t="s">
        <v>6224</v>
      </c>
      <c r="K66" s="167">
        <v>126.5</v>
      </c>
      <c r="L66" s="168">
        <v>126.5</v>
      </c>
      <c r="M66" s="168">
        <v>5494.07</v>
      </c>
      <c r="N66" s="168">
        <v>695000</v>
      </c>
      <c r="O66" s="168">
        <v>5494.07</v>
      </c>
      <c r="P66" s="128">
        <v>637614.68</v>
      </c>
      <c r="Q66" s="1016" t="s">
        <v>6225</v>
      </c>
      <c r="R66" s="171">
        <v>46202</v>
      </c>
      <c r="S66" s="128"/>
      <c r="T66" s="171"/>
      <c r="U66" s="128"/>
      <c r="V66" s="128" t="s">
        <v>807</v>
      </c>
      <c r="W66" s="128">
        <v>20000</v>
      </c>
      <c r="X66" s="171">
        <v>45899</v>
      </c>
      <c r="Y66" s="128">
        <v>525000</v>
      </c>
      <c r="Z66" s="171">
        <v>45902</v>
      </c>
      <c r="AA66" s="128">
        <v>150000</v>
      </c>
      <c r="AB66" s="171">
        <v>45961</v>
      </c>
      <c r="AI66" s="168">
        <f t="shared" si="7"/>
        <v>695000</v>
      </c>
      <c r="AL66" s="128">
        <f t="shared" ref="AL66:AL71" si="11">N66-AI66</f>
        <v>0</v>
      </c>
      <c r="AN66" s="128" t="s">
        <v>6154</v>
      </c>
      <c r="AP66" s="128">
        <f t="shared" si="10"/>
        <v>675000</v>
      </c>
      <c r="AQ66" s="173">
        <f>0.7%+0.08%+0.03%</f>
        <v>0.0081</v>
      </c>
      <c r="BC66" s="128">
        <v>525000</v>
      </c>
      <c r="BD66" s="128">
        <v>150000</v>
      </c>
      <c r="BP66" s="128" t="s">
        <v>2825</v>
      </c>
      <c r="BR66" s="128" t="s">
        <v>377</v>
      </c>
    </row>
    <row r="67" s="128" customFormat="1" hidden="1" customHeight="1" spans="1:70">
      <c r="A67" s="128">
        <v>50</v>
      </c>
      <c r="B67" s="128"/>
      <c r="C67" s="138">
        <v>46052</v>
      </c>
      <c r="D67" s="128">
        <v>20260000496</v>
      </c>
      <c r="G67" s="1016" t="s">
        <v>6226</v>
      </c>
      <c r="H67" s="128" t="s">
        <v>4264</v>
      </c>
      <c r="I67" s="1016" t="s">
        <v>6227</v>
      </c>
      <c r="J67" s="172" t="s">
        <v>6228</v>
      </c>
      <c r="K67" s="167">
        <v>126.91</v>
      </c>
      <c r="L67" s="168">
        <v>126.91</v>
      </c>
      <c r="M67" s="168">
        <v>5100</v>
      </c>
      <c r="N67" s="168">
        <v>647241</v>
      </c>
      <c r="O67" s="168">
        <v>5100</v>
      </c>
      <c r="P67" s="128">
        <v>593799.08</v>
      </c>
      <c r="Q67" s="1016" t="s">
        <v>6229</v>
      </c>
      <c r="R67" s="171">
        <v>46203</v>
      </c>
      <c r="S67" s="128"/>
      <c r="T67" s="171"/>
      <c r="U67" s="128"/>
      <c r="V67" s="128" t="s">
        <v>486</v>
      </c>
      <c r="W67" s="128">
        <v>20000</v>
      </c>
      <c r="X67" s="171">
        <v>45999</v>
      </c>
      <c r="Y67" s="128">
        <v>127241</v>
      </c>
      <c r="Z67" s="171">
        <v>46052</v>
      </c>
      <c r="AA67" s="128">
        <v>500000</v>
      </c>
      <c r="AB67" s="171">
        <v>46092</v>
      </c>
      <c r="AI67" s="168">
        <f t="shared" si="7"/>
        <v>647241</v>
      </c>
      <c r="AL67" s="128">
        <f t="shared" si="11"/>
        <v>0</v>
      </c>
      <c r="AP67" s="128">
        <f t="shared" si="10"/>
        <v>647241</v>
      </c>
      <c r="AQ67" s="169">
        <f>0.4%+0.02%+0.08%+0.03%</f>
        <v>0.0053</v>
      </c>
      <c r="BG67" s="128">
        <v>147241</v>
      </c>
      <c r="BI67" s="128">
        <v>500000</v>
      </c>
      <c r="BP67" s="128" t="s">
        <v>376</v>
      </c>
      <c r="BR67" s="128" t="s">
        <v>377</v>
      </c>
    </row>
    <row r="68" s="128" customFormat="1" hidden="1" customHeight="1" spans="1:70">
      <c r="A68" s="128">
        <v>51</v>
      </c>
      <c r="B68" s="128"/>
      <c r="C68" s="138">
        <v>46146</v>
      </c>
      <c r="D68" s="128">
        <v>20260002159</v>
      </c>
      <c r="G68" s="1016" t="s">
        <v>174</v>
      </c>
      <c r="H68" s="128" t="s">
        <v>175</v>
      </c>
      <c r="I68" s="1016" t="s">
        <v>176</v>
      </c>
      <c r="J68" s="172" t="s">
        <v>177</v>
      </c>
      <c r="K68" s="167">
        <v>126.5</v>
      </c>
      <c r="L68" s="168">
        <v>126.5</v>
      </c>
      <c r="M68" s="168">
        <v>5138.339</v>
      </c>
      <c r="N68" s="168">
        <v>650000</v>
      </c>
      <c r="O68" s="168">
        <v>5829.69</v>
      </c>
      <c r="P68" s="128">
        <v>596330.28</v>
      </c>
      <c r="Q68" s="1016" t="s">
        <v>6230</v>
      </c>
      <c r="R68" s="171">
        <v>46167</v>
      </c>
      <c r="S68" s="128"/>
      <c r="T68" s="171"/>
      <c r="U68" s="128"/>
      <c r="V68" s="128" t="s">
        <v>6231</v>
      </c>
      <c r="W68" s="128">
        <v>5000</v>
      </c>
      <c r="X68" s="171">
        <v>46033</v>
      </c>
      <c r="Y68" s="128">
        <v>645000</v>
      </c>
      <c r="Z68" s="171" t="s">
        <v>6232</v>
      </c>
      <c r="AI68" s="168">
        <f t="shared" si="7"/>
        <v>650000</v>
      </c>
      <c r="AL68" s="128">
        <f t="shared" si="11"/>
        <v>0</v>
      </c>
      <c r="AM68" s="128">
        <v>15688306167</v>
      </c>
      <c r="AN68" s="128" t="s">
        <v>3480</v>
      </c>
      <c r="AP68" s="128">
        <f t="shared" si="10"/>
        <v>650000</v>
      </c>
      <c r="AQ68" s="169">
        <f>0.7%+0.02%+0.08%+0.03%</f>
        <v>0.0083</v>
      </c>
      <c r="BK68" s="128">
        <v>650000</v>
      </c>
      <c r="BP68" s="128" t="s">
        <v>376</v>
      </c>
      <c r="BR68" s="128" t="s">
        <v>377</v>
      </c>
    </row>
    <row r="69" s="128" customFormat="1" hidden="1" customHeight="1" spans="1:70">
      <c r="A69" s="128">
        <v>52</v>
      </c>
      <c r="B69" s="128"/>
      <c r="C69" s="138">
        <v>46090</v>
      </c>
      <c r="D69" s="128">
        <v>20260001115</v>
      </c>
      <c r="G69" s="1016" t="s">
        <v>6233</v>
      </c>
      <c r="H69" s="128" t="s">
        <v>6234</v>
      </c>
      <c r="I69" s="128"/>
      <c r="J69" s="172" t="s">
        <v>6235</v>
      </c>
      <c r="K69" s="167">
        <v>126.91</v>
      </c>
      <c r="L69" s="168">
        <v>126.91</v>
      </c>
      <c r="M69" s="168">
        <v>5500</v>
      </c>
      <c r="N69" s="168">
        <v>698005</v>
      </c>
      <c r="O69" s="168">
        <v>5810.69</v>
      </c>
      <c r="P69" s="128">
        <v>640371.56</v>
      </c>
      <c r="Q69" s="1016" t="s">
        <v>6236</v>
      </c>
      <c r="R69" s="171">
        <v>46202</v>
      </c>
      <c r="S69" s="128"/>
      <c r="T69" s="171"/>
      <c r="U69" s="128"/>
      <c r="V69" s="128" t="s">
        <v>3511</v>
      </c>
      <c r="W69" s="128">
        <v>10000</v>
      </c>
      <c r="X69" s="171">
        <v>46085</v>
      </c>
      <c r="Y69" s="128">
        <v>130005</v>
      </c>
      <c r="Z69" s="171">
        <v>46090</v>
      </c>
      <c r="AA69" s="128">
        <v>558000</v>
      </c>
      <c r="AB69" s="171" t="s">
        <v>6237</v>
      </c>
      <c r="AI69" s="168">
        <f t="shared" ref="AI69:AI100" si="12">W69+Y69+AA69+AC69+AE69+AG69</f>
        <v>698005</v>
      </c>
      <c r="AL69" s="128">
        <f t="shared" si="11"/>
        <v>0</v>
      </c>
      <c r="AM69" s="128">
        <v>19259062490</v>
      </c>
      <c r="AP69" s="128">
        <f t="shared" si="10"/>
        <v>698005</v>
      </c>
      <c r="AQ69" s="178">
        <f>0.7%+0.05%+0.14%+0.03%</f>
        <v>0.0092</v>
      </c>
      <c r="BI69" s="128">
        <v>140005</v>
      </c>
      <c r="BK69" s="128">
        <v>558000</v>
      </c>
      <c r="BP69" s="128" t="s">
        <v>376</v>
      </c>
      <c r="BR69" s="128" t="s">
        <v>377</v>
      </c>
    </row>
    <row r="70" s="128" customFormat="1" hidden="1" customHeight="1" spans="1:70">
      <c r="A70" s="128">
        <v>53</v>
      </c>
      <c r="B70" s="128"/>
      <c r="C70" s="138">
        <v>45899</v>
      </c>
      <c r="D70" s="128">
        <v>20250004454</v>
      </c>
      <c r="G70" s="1016" t="s">
        <v>6238</v>
      </c>
      <c r="H70" s="128" t="s">
        <v>6239</v>
      </c>
      <c r="I70" s="1016" t="s">
        <v>6240</v>
      </c>
      <c r="J70" s="172" t="s">
        <v>6241</v>
      </c>
      <c r="K70" s="167">
        <v>126.5</v>
      </c>
      <c r="L70" s="168">
        <v>126.5</v>
      </c>
      <c r="M70" s="168">
        <v>5849.8</v>
      </c>
      <c r="N70" s="168">
        <v>740000</v>
      </c>
      <c r="O70" s="168">
        <v>5774.665</v>
      </c>
      <c r="P70" s="128"/>
      <c r="Q70" s="128"/>
      <c r="R70" s="128"/>
      <c r="S70" s="128"/>
      <c r="T70" s="171"/>
      <c r="U70" s="128"/>
      <c r="V70" s="128" t="s">
        <v>383</v>
      </c>
      <c r="W70" s="128">
        <v>20000</v>
      </c>
      <c r="X70" s="171" t="s">
        <v>6141</v>
      </c>
      <c r="Y70" s="128">
        <v>378000</v>
      </c>
      <c r="Z70" s="171">
        <v>45930</v>
      </c>
      <c r="AA70" s="128">
        <v>342000</v>
      </c>
      <c r="AB70" s="171">
        <v>45940</v>
      </c>
      <c r="AI70" s="168">
        <f t="shared" si="12"/>
        <v>740000</v>
      </c>
      <c r="AL70" s="128">
        <f t="shared" si="11"/>
        <v>0</v>
      </c>
      <c r="AM70" s="128">
        <v>18935756209</v>
      </c>
      <c r="AN70" s="128" t="s">
        <v>6135</v>
      </c>
      <c r="AP70" s="128">
        <f t="shared" si="10"/>
        <v>740000</v>
      </c>
      <c r="AQ70" s="178">
        <f>0.6%+0.08%+0.03%</f>
        <v>0.0071</v>
      </c>
      <c r="BD70" s="128">
        <v>740000</v>
      </c>
      <c r="BP70" s="128" t="s">
        <v>2825</v>
      </c>
      <c r="BR70" s="128" t="s">
        <v>377</v>
      </c>
    </row>
    <row r="71" s="128" customFormat="1" hidden="1" customHeight="1" spans="1:70">
      <c r="A71" s="128">
        <v>54</v>
      </c>
      <c r="B71" s="128"/>
      <c r="C71" s="138">
        <v>46055</v>
      </c>
      <c r="D71" s="128">
        <v>20260000591</v>
      </c>
      <c r="G71" s="1016" t="s">
        <v>6242</v>
      </c>
      <c r="H71" s="128" t="s">
        <v>6243</v>
      </c>
      <c r="I71" s="1016" t="s">
        <v>6244</v>
      </c>
      <c r="J71" s="166" t="s">
        <v>6245</v>
      </c>
      <c r="K71" s="167">
        <v>126.91</v>
      </c>
      <c r="L71" s="168">
        <v>126.91</v>
      </c>
      <c r="M71" s="168">
        <v>5247.81</v>
      </c>
      <c r="N71" s="168">
        <v>666000</v>
      </c>
      <c r="O71" s="168">
        <f>5530.69-300</f>
        <v>5230.69</v>
      </c>
      <c r="P71" s="128">
        <v>611009.17</v>
      </c>
      <c r="Q71" s="1016" t="s">
        <v>6246</v>
      </c>
      <c r="R71" s="171">
        <v>46203</v>
      </c>
      <c r="T71" s="171"/>
      <c r="U71" s="128"/>
      <c r="V71" s="128" t="s">
        <v>5897</v>
      </c>
      <c r="W71" s="128">
        <v>10000</v>
      </c>
      <c r="X71" s="171">
        <v>46047</v>
      </c>
      <c r="Y71" s="128">
        <v>90000</v>
      </c>
      <c r="Z71" s="171">
        <v>46055</v>
      </c>
      <c r="AA71" s="128">
        <v>566000</v>
      </c>
      <c r="AB71" s="171">
        <v>46106</v>
      </c>
      <c r="AI71" s="168">
        <f t="shared" si="12"/>
        <v>666000</v>
      </c>
      <c r="AL71" s="128">
        <f t="shared" si="11"/>
        <v>0</v>
      </c>
      <c r="AM71" s="128">
        <v>18935757826</v>
      </c>
      <c r="AN71" s="128" t="s">
        <v>3480</v>
      </c>
      <c r="AP71" s="128">
        <f t="shared" si="10"/>
        <v>666000</v>
      </c>
      <c r="AQ71" s="178">
        <f>0.7%+0.03%+0.08%+0.03%</f>
        <v>0.0084</v>
      </c>
      <c r="BH71" s="128">
        <v>100000</v>
      </c>
      <c r="BI71" s="128">
        <v>566000</v>
      </c>
      <c r="BP71" s="128" t="s">
        <v>376</v>
      </c>
      <c r="BR71" s="128" t="s">
        <v>377</v>
      </c>
    </row>
    <row r="72" s="128" customFormat="1" hidden="1" customHeight="1" spans="1:70">
      <c r="A72" s="128">
        <v>55</v>
      </c>
      <c r="B72" s="128"/>
      <c r="C72" s="138">
        <v>45745</v>
      </c>
      <c r="D72" s="128">
        <v>20250001705</v>
      </c>
      <c r="G72" s="1016" t="s">
        <v>6247</v>
      </c>
      <c r="H72" s="128" t="s">
        <v>6248</v>
      </c>
      <c r="I72" s="1016" t="s">
        <v>6249</v>
      </c>
      <c r="J72" s="172" t="s">
        <v>6250</v>
      </c>
      <c r="K72" s="167">
        <v>126.5</v>
      </c>
      <c r="L72" s="168">
        <v>126.5</v>
      </c>
      <c r="M72" s="168">
        <v>5650</v>
      </c>
      <c r="N72" s="168">
        <v>714725</v>
      </c>
      <c r="O72" s="168">
        <v>5650</v>
      </c>
      <c r="P72" s="128">
        <v>655711.01</v>
      </c>
      <c r="Q72" s="1016" t="s">
        <v>6251</v>
      </c>
      <c r="R72" s="171">
        <v>46198</v>
      </c>
      <c r="S72" s="128"/>
      <c r="T72" s="128"/>
      <c r="U72" s="128"/>
      <c r="V72" s="128" t="s">
        <v>772</v>
      </c>
      <c r="W72" s="128">
        <v>20000</v>
      </c>
      <c r="X72" s="128" t="s">
        <v>5789</v>
      </c>
      <c r="Y72" s="128">
        <f>150000+44725</f>
        <v>194725</v>
      </c>
      <c r="Z72" s="128" t="s">
        <v>3667</v>
      </c>
      <c r="AA72" s="128">
        <v>500000</v>
      </c>
      <c r="AB72" s="128" t="s">
        <v>3626</v>
      </c>
      <c r="AI72" s="168">
        <f t="shared" si="12"/>
        <v>714725</v>
      </c>
      <c r="AL72" s="128">
        <f t="shared" ref="AL72:AL83" si="13">N72-AI72</f>
        <v>0</v>
      </c>
      <c r="AM72" s="128">
        <v>15809960239</v>
      </c>
      <c r="AN72" s="128" t="s">
        <v>3480</v>
      </c>
      <c r="AP72" s="168">
        <f t="shared" si="10"/>
        <v>714725</v>
      </c>
      <c r="AQ72" s="178">
        <f t="shared" ref="AQ72:AQ76" si="14">0.7%+0.02%+0.08%+0.03%</f>
        <v>0.0083</v>
      </c>
      <c r="AW72" s="128">
        <v>214725</v>
      </c>
      <c r="AZ72" s="128">
        <v>500000</v>
      </c>
      <c r="BP72" s="128" t="s">
        <v>376</v>
      </c>
      <c r="BR72" s="128" t="s">
        <v>377</v>
      </c>
    </row>
    <row r="73" s="128" customFormat="1" hidden="1" customHeight="1" spans="1:70">
      <c r="A73" s="128">
        <v>56</v>
      </c>
      <c r="B73" s="128"/>
      <c r="C73" s="138">
        <v>45966</v>
      </c>
      <c r="D73" s="128">
        <v>20250005672</v>
      </c>
      <c r="G73" s="1016" t="s">
        <v>6252</v>
      </c>
      <c r="H73" s="128" t="s">
        <v>6253</v>
      </c>
      <c r="I73" s="1016" t="s">
        <v>6254</v>
      </c>
      <c r="J73" s="166" t="s">
        <v>6255</v>
      </c>
      <c r="K73" s="167">
        <v>126.91</v>
      </c>
      <c r="L73" s="168">
        <v>126.91</v>
      </c>
      <c r="M73" s="168">
        <v>5295.69</v>
      </c>
      <c r="N73" s="168">
        <v>672076</v>
      </c>
      <c r="O73" s="168">
        <f>5595.69-300</f>
        <v>5295.69</v>
      </c>
      <c r="P73" s="128">
        <v>616583.49</v>
      </c>
      <c r="Q73" s="1016" t="s">
        <v>6256</v>
      </c>
      <c r="R73" s="171">
        <v>46203</v>
      </c>
      <c r="T73" s="171"/>
      <c r="U73" s="128"/>
      <c r="V73" s="128" t="s">
        <v>807</v>
      </c>
      <c r="W73" s="128">
        <v>11076</v>
      </c>
      <c r="X73" s="171">
        <v>45964</v>
      </c>
      <c r="Y73" s="128">
        <v>124000</v>
      </c>
      <c r="Z73" s="171">
        <v>45979</v>
      </c>
      <c r="AA73" s="128">
        <v>537000</v>
      </c>
      <c r="AB73" s="171">
        <v>45995</v>
      </c>
      <c r="AI73" s="168">
        <f t="shared" si="12"/>
        <v>672076</v>
      </c>
      <c r="AL73" s="128">
        <f t="shared" si="13"/>
        <v>0</v>
      </c>
      <c r="AM73" s="128">
        <v>1899352850</v>
      </c>
      <c r="AN73" s="128" t="s">
        <v>3480</v>
      </c>
      <c r="AP73" s="128">
        <f t="shared" si="10"/>
        <v>672076</v>
      </c>
      <c r="AQ73" s="178">
        <f>0.7%+0.08%+0.03%</f>
        <v>0.0081</v>
      </c>
      <c r="BE73" s="128">
        <v>135076</v>
      </c>
      <c r="BF73" s="128">
        <v>537000</v>
      </c>
      <c r="BP73" s="128" t="s">
        <v>3376</v>
      </c>
      <c r="BR73" s="128" t="s">
        <v>377</v>
      </c>
    </row>
    <row r="74" s="128" customFormat="1" hidden="1" customHeight="1" spans="1:70">
      <c r="A74" s="128">
        <v>57</v>
      </c>
      <c r="B74" s="128"/>
      <c r="C74" s="138">
        <v>45935</v>
      </c>
      <c r="D74" s="128">
        <v>20250005097</v>
      </c>
      <c r="G74" s="1016" t="s">
        <v>6257</v>
      </c>
      <c r="H74" s="128" t="s">
        <v>6258</v>
      </c>
      <c r="I74" s="1016" t="s">
        <v>6259</v>
      </c>
      <c r="J74" s="172" t="s">
        <v>6260</v>
      </c>
      <c r="K74" s="167">
        <v>126.5</v>
      </c>
      <c r="L74" s="168">
        <v>126.5</v>
      </c>
      <c r="M74" s="168">
        <v>5370</v>
      </c>
      <c r="N74" s="168">
        <v>679305</v>
      </c>
      <c r="O74" s="168">
        <f>5659.69-300</f>
        <v>5359.69</v>
      </c>
      <c r="T74" s="171"/>
      <c r="U74" s="128"/>
      <c r="V74" s="128" t="s">
        <v>6261</v>
      </c>
      <c r="W74" s="128">
        <f>20000+116305</f>
        <v>136305</v>
      </c>
      <c r="X74" s="171" t="s">
        <v>6262</v>
      </c>
      <c r="Y74" s="128">
        <v>543000</v>
      </c>
      <c r="Z74" s="171">
        <v>45975</v>
      </c>
      <c r="AA74" s="128"/>
      <c r="AB74" s="128"/>
      <c r="AC74" s="128"/>
      <c r="AD74" s="128"/>
      <c r="AE74" s="128"/>
      <c r="AF74" s="128"/>
      <c r="AG74" s="128"/>
      <c r="AH74" s="128"/>
      <c r="AI74" s="168">
        <f t="shared" si="12"/>
        <v>679305</v>
      </c>
      <c r="AL74" s="128">
        <f t="shared" si="13"/>
        <v>0</v>
      </c>
      <c r="AN74" s="128" t="s">
        <v>6083</v>
      </c>
      <c r="AO74" s="128"/>
      <c r="AP74" s="128">
        <f t="shared" si="10"/>
        <v>679305</v>
      </c>
      <c r="AQ74" s="178">
        <f t="shared" si="14"/>
        <v>0.0083</v>
      </c>
      <c r="AS74" s="176"/>
      <c r="AT74" s="176"/>
      <c r="AU74" s="176"/>
      <c r="AV74" s="176"/>
      <c r="AW74" s="176"/>
      <c r="AX74" s="176"/>
      <c r="AY74" s="176"/>
      <c r="AZ74" s="176"/>
      <c r="BA74" s="176"/>
      <c r="BB74" s="176"/>
      <c r="BD74" s="128">
        <v>136305</v>
      </c>
      <c r="BE74" s="128">
        <v>543000</v>
      </c>
      <c r="BP74" s="128" t="s">
        <v>3376</v>
      </c>
      <c r="BR74" s="128" t="s">
        <v>377</v>
      </c>
    </row>
    <row r="75" s="128" customFormat="1" hidden="1" customHeight="1" spans="1:70">
      <c r="A75" s="128">
        <v>58</v>
      </c>
      <c r="B75" s="128"/>
      <c r="C75" s="138">
        <v>45778</v>
      </c>
      <c r="D75" s="128">
        <v>20250002311</v>
      </c>
      <c r="G75" s="1016" t="s">
        <v>6263</v>
      </c>
      <c r="H75" s="128" t="s">
        <v>6264</v>
      </c>
      <c r="I75" s="1016" t="s">
        <v>5090</v>
      </c>
      <c r="J75" s="166" t="s">
        <v>6265</v>
      </c>
      <c r="K75" s="167">
        <v>126.91</v>
      </c>
      <c r="L75" s="168">
        <v>126.91</v>
      </c>
      <c r="M75" s="168">
        <v>5909.7</v>
      </c>
      <c r="N75" s="168">
        <v>750000</v>
      </c>
      <c r="O75" s="168">
        <v>5909.7</v>
      </c>
      <c r="P75" s="128">
        <v>688073.39</v>
      </c>
      <c r="Q75" s="1016" t="s">
        <v>6266</v>
      </c>
      <c r="R75" s="171">
        <v>46203</v>
      </c>
      <c r="S75" s="128"/>
      <c r="T75" s="128"/>
      <c r="U75" s="128"/>
      <c r="V75" s="128" t="s">
        <v>383</v>
      </c>
      <c r="W75" s="128">
        <v>20000</v>
      </c>
      <c r="X75" s="128" t="s">
        <v>6267</v>
      </c>
      <c r="Y75" s="128">
        <v>180000</v>
      </c>
      <c r="Z75" s="128" t="s">
        <v>4244</v>
      </c>
      <c r="AA75" s="128">
        <v>50000</v>
      </c>
      <c r="AB75" s="128" t="s">
        <v>1146</v>
      </c>
      <c r="AC75" s="128">
        <v>500000</v>
      </c>
      <c r="AD75" s="128" t="s">
        <v>4986</v>
      </c>
      <c r="AI75" s="168">
        <f t="shared" si="12"/>
        <v>750000</v>
      </c>
      <c r="AL75" s="128">
        <f t="shared" si="13"/>
        <v>0</v>
      </c>
      <c r="AM75" s="128">
        <v>18609043527</v>
      </c>
      <c r="AN75" s="128" t="s">
        <v>3402</v>
      </c>
      <c r="AP75" s="168">
        <f t="shared" si="10"/>
        <v>750000</v>
      </c>
      <c r="AQ75" s="178">
        <f>0.7%+0.08%+0.03%</f>
        <v>0.0081</v>
      </c>
      <c r="AY75" s="128">
        <v>250000</v>
      </c>
      <c r="AZ75" s="128">
        <v>500000</v>
      </c>
      <c r="BP75" s="128" t="s">
        <v>376</v>
      </c>
      <c r="BR75" s="128" t="s">
        <v>377</v>
      </c>
    </row>
    <row r="76" s="128" customFormat="1" hidden="1" customHeight="1" spans="1:70">
      <c r="A76" s="128">
        <v>59</v>
      </c>
      <c r="B76" s="128"/>
      <c r="C76" s="181">
        <v>45931</v>
      </c>
      <c r="D76" s="128">
        <v>20250004944</v>
      </c>
      <c r="G76" s="1016" t="s">
        <v>6268</v>
      </c>
      <c r="H76" s="128" t="s">
        <v>6269</v>
      </c>
      <c r="I76" s="128"/>
      <c r="J76" s="172" t="s">
        <v>6270</v>
      </c>
      <c r="K76" s="167">
        <v>126.5</v>
      </c>
      <c r="L76" s="168">
        <v>126.5</v>
      </c>
      <c r="M76" s="168">
        <v>5675.49</v>
      </c>
      <c r="N76" s="168">
        <v>717950</v>
      </c>
      <c r="O76" s="168">
        <v>5675.49</v>
      </c>
      <c r="P76" s="128"/>
      <c r="Q76" s="128"/>
      <c r="R76" s="128"/>
      <c r="S76" s="128"/>
      <c r="T76" s="171"/>
      <c r="U76" s="128"/>
      <c r="V76" s="128" t="s">
        <v>6261</v>
      </c>
      <c r="W76" s="128">
        <v>247950</v>
      </c>
      <c r="X76" s="171">
        <v>45931</v>
      </c>
      <c r="Y76" s="128">
        <v>470000</v>
      </c>
      <c r="Z76" s="171">
        <v>45975</v>
      </c>
      <c r="AA76" s="128"/>
      <c r="AB76" s="128"/>
      <c r="AC76" s="128"/>
      <c r="AD76" s="128"/>
      <c r="AE76" s="128"/>
      <c r="AF76" s="128"/>
      <c r="AG76" s="128"/>
      <c r="AH76" s="128"/>
      <c r="AI76" s="168">
        <f t="shared" si="12"/>
        <v>717950</v>
      </c>
      <c r="AL76" s="128">
        <f t="shared" si="13"/>
        <v>0</v>
      </c>
      <c r="AM76" s="128">
        <v>13654552751</v>
      </c>
      <c r="AN76" s="128" t="s">
        <v>3402</v>
      </c>
      <c r="AO76" s="128"/>
      <c r="AP76" s="128">
        <f t="shared" si="10"/>
        <v>717950</v>
      </c>
      <c r="AQ76" s="178">
        <f t="shared" si="14"/>
        <v>0.0083</v>
      </c>
      <c r="AS76" s="176"/>
      <c r="AT76" s="176"/>
      <c r="AU76" s="176"/>
      <c r="AV76" s="176"/>
      <c r="AW76" s="176"/>
      <c r="AX76" s="176"/>
      <c r="AY76" s="176"/>
      <c r="AZ76" s="176"/>
      <c r="BA76" s="176"/>
      <c r="BB76" s="176"/>
      <c r="BD76" s="128">
        <v>247950</v>
      </c>
      <c r="BE76" s="128">
        <v>470000</v>
      </c>
      <c r="BP76" s="128" t="s">
        <v>3376</v>
      </c>
      <c r="BR76" s="128" t="s">
        <v>377</v>
      </c>
    </row>
    <row r="77" s="128" customFormat="1" hidden="1" customHeight="1" spans="1:70">
      <c r="A77" s="128">
        <v>60</v>
      </c>
      <c r="B77" s="128"/>
      <c r="C77" s="138">
        <v>46053</v>
      </c>
      <c r="D77" s="128">
        <v>20260000520</v>
      </c>
      <c r="G77" s="1016" t="s">
        <v>6271</v>
      </c>
      <c r="H77" s="128" t="s">
        <v>6272</v>
      </c>
      <c r="I77" s="128"/>
      <c r="J77" s="166" t="s">
        <v>6273</v>
      </c>
      <c r="K77" s="167">
        <v>126.91</v>
      </c>
      <c r="L77" s="168">
        <v>126.91</v>
      </c>
      <c r="M77" s="168">
        <v>5421.16</v>
      </c>
      <c r="N77" s="168">
        <v>688000</v>
      </c>
      <c r="O77" s="168">
        <f>5665.69-300</f>
        <v>5365.69</v>
      </c>
      <c r="P77" s="128">
        <v>631192.66</v>
      </c>
      <c r="Q77" s="1016" t="s">
        <v>6274</v>
      </c>
      <c r="R77" s="171">
        <v>46203</v>
      </c>
      <c r="T77" s="171"/>
      <c r="U77" s="128"/>
      <c r="V77" s="128" t="s">
        <v>3522</v>
      </c>
      <c r="W77" s="128">
        <v>20000</v>
      </c>
      <c r="X77" s="171">
        <v>45958</v>
      </c>
      <c r="Y77" s="128">
        <v>118000</v>
      </c>
      <c r="Z77" s="171">
        <v>46055</v>
      </c>
      <c r="AA77" s="128">
        <v>550000</v>
      </c>
      <c r="AB77" s="171">
        <v>46079</v>
      </c>
      <c r="AI77" s="168">
        <f t="shared" si="12"/>
        <v>688000</v>
      </c>
      <c r="AL77" s="128">
        <f t="shared" si="13"/>
        <v>0</v>
      </c>
      <c r="AN77" s="128" t="s">
        <v>3480</v>
      </c>
      <c r="AP77" s="128">
        <f t="shared" si="10"/>
        <v>688000</v>
      </c>
      <c r="AQ77" s="178">
        <f>0.7%+0.08%+0.03%</f>
        <v>0.0081</v>
      </c>
      <c r="BH77" s="128">
        <v>688000</v>
      </c>
      <c r="BP77" s="128" t="s">
        <v>376</v>
      </c>
      <c r="BR77" s="128" t="s">
        <v>377</v>
      </c>
    </row>
    <row r="78" s="128" customFormat="1" hidden="1" customHeight="1" spans="1:70">
      <c r="A78" s="128">
        <v>61</v>
      </c>
      <c r="B78" s="128"/>
      <c r="C78" s="138">
        <v>45933</v>
      </c>
      <c r="D78" s="128">
        <v>20250005024</v>
      </c>
      <c r="G78" s="1016" t="s">
        <v>6275</v>
      </c>
      <c r="H78" s="128" t="s">
        <v>6276</v>
      </c>
      <c r="I78" s="128"/>
      <c r="J78" s="172" t="s">
        <v>6277</v>
      </c>
      <c r="K78" s="167">
        <v>126.5</v>
      </c>
      <c r="L78" s="168">
        <v>126.5</v>
      </c>
      <c r="M78" s="168">
        <v>5420</v>
      </c>
      <c r="N78" s="168">
        <v>685630</v>
      </c>
      <c r="O78" s="168">
        <f>5709.69-300</f>
        <v>5409.69</v>
      </c>
      <c r="P78" s="128">
        <v>629018.35</v>
      </c>
      <c r="Q78" s="1016" t="s">
        <v>6278</v>
      </c>
      <c r="R78" s="171">
        <v>46203</v>
      </c>
      <c r="T78" s="171"/>
      <c r="U78" s="128"/>
      <c r="V78" s="128" t="s">
        <v>3511</v>
      </c>
      <c r="W78" s="128">
        <v>51630</v>
      </c>
      <c r="X78" s="171">
        <v>45933</v>
      </c>
      <c r="Y78" s="128">
        <v>86000</v>
      </c>
      <c r="Z78" s="171">
        <v>45965</v>
      </c>
      <c r="AA78" s="128">
        <v>548000</v>
      </c>
      <c r="AB78" s="171">
        <v>46027</v>
      </c>
      <c r="AC78" s="128"/>
      <c r="AD78" s="128"/>
      <c r="AE78" s="128"/>
      <c r="AF78" s="128"/>
      <c r="AG78" s="128"/>
      <c r="AH78" s="128"/>
      <c r="AI78" s="168">
        <f t="shared" si="12"/>
        <v>685630</v>
      </c>
      <c r="AL78" s="128">
        <f t="shared" si="13"/>
        <v>0</v>
      </c>
      <c r="AN78" s="128" t="s">
        <v>3480</v>
      </c>
      <c r="AP78" s="128">
        <f t="shared" si="10"/>
        <v>685630</v>
      </c>
      <c r="AQ78" s="178">
        <f>0.7%+0.03%+0.08%+0.03%</f>
        <v>0.0084</v>
      </c>
      <c r="AS78" s="176"/>
      <c r="AT78" s="176"/>
      <c r="AU78" s="176"/>
      <c r="AV78" s="176"/>
      <c r="AW78" s="176"/>
      <c r="AX78" s="176"/>
      <c r="AY78" s="176"/>
      <c r="AZ78" s="176"/>
      <c r="BA78" s="176"/>
      <c r="BB78" s="176"/>
      <c r="BE78" s="128">
        <v>137630</v>
      </c>
      <c r="BG78" s="128">
        <v>548000</v>
      </c>
      <c r="BP78" s="128" t="s">
        <v>3376</v>
      </c>
      <c r="BR78" s="128" t="s">
        <v>377</v>
      </c>
    </row>
    <row r="79" s="128" customFormat="1" hidden="1" customHeight="1" spans="1:70">
      <c r="A79" s="128">
        <v>62</v>
      </c>
      <c r="B79" s="128"/>
      <c r="C79" s="138">
        <v>45933</v>
      </c>
      <c r="D79" s="128">
        <v>20250005016</v>
      </c>
      <c r="G79" s="1016" t="s">
        <v>6279</v>
      </c>
      <c r="H79" s="128" t="s">
        <v>6280</v>
      </c>
      <c r="I79" s="128"/>
      <c r="J79" s="166" t="s">
        <v>6281</v>
      </c>
      <c r="K79" s="167">
        <v>126.91</v>
      </c>
      <c r="L79" s="168">
        <v>126.91</v>
      </c>
      <c r="M79" s="168">
        <v>5397.53</v>
      </c>
      <c r="N79" s="168">
        <v>685000</v>
      </c>
      <c r="O79" s="168">
        <f>5690.69-300</f>
        <v>5390.69</v>
      </c>
      <c r="P79" s="128">
        <v>628440.37</v>
      </c>
      <c r="Q79" s="1016" t="s">
        <v>6282</v>
      </c>
      <c r="R79" s="171">
        <v>46203</v>
      </c>
      <c r="T79" s="171"/>
      <c r="U79" s="128"/>
      <c r="V79" s="128" t="s">
        <v>6082</v>
      </c>
      <c r="W79" s="128">
        <v>10000</v>
      </c>
      <c r="X79" s="171">
        <v>45923</v>
      </c>
      <c r="Y79" s="128">
        <v>365000</v>
      </c>
      <c r="Z79" s="171">
        <v>45933</v>
      </c>
      <c r="AA79" s="128">
        <v>60000</v>
      </c>
      <c r="AB79" s="171">
        <v>45960</v>
      </c>
      <c r="AC79" s="128">
        <v>250000</v>
      </c>
      <c r="AD79" s="171">
        <v>45975</v>
      </c>
      <c r="AE79" s="128"/>
      <c r="AF79" s="128"/>
      <c r="AG79" s="128"/>
      <c r="AH79" s="128"/>
      <c r="AI79" s="168">
        <f t="shared" si="12"/>
        <v>685000</v>
      </c>
      <c r="AL79" s="128">
        <f t="shared" si="13"/>
        <v>0</v>
      </c>
      <c r="AM79" s="128">
        <v>18293209746</v>
      </c>
      <c r="AN79" s="128" t="s">
        <v>3480</v>
      </c>
      <c r="AO79" s="128"/>
      <c r="AP79" s="128">
        <f t="shared" si="10"/>
        <v>685000</v>
      </c>
      <c r="AQ79" s="178">
        <f>0.7%+0.03%+0.08%+0.03%</f>
        <v>0.0084</v>
      </c>
      <c r="AS79" s="176"/>
      <c r="AT79" s="176"/>
      <c r="AU79" s="176"/>
      <c r="AV79" s="176"/>
      <c r="AW79" s="176"/>
      <c r="AX79" s="176"/>
      <c r="AY79" s="176"/>
      <c r="AZ79" s="176"/>
      <c r="BA79" s="176"/>
      <c r="BB79" s="176"/>
      <c r="BD79" s="128">
        <v>375000</v>
      </c>
      <c r="BE79" s="128">
        <v>310000</v>
      </c>
      <c r="BP79" s="128" t="s">
        <v>3376</v>
      </c>
      <c r="BR79" s="128" t="s">
        <v>377</v>
      </c>
    </row>
    <row r="80" s="128" customFormat="1" hidden="1" customHeight="1" spans="1:70">
      <c r="A80" s="128">
        <v>63</v>
      </c>
      <c r="B80" s="128"/>
      <c r="C80" s="138">
        <v>45957</v>
      </c>
      <c r="D80" s="128">
        <v>20250005507</v>
      </c>
      <c r="G80" s="1016" t="s">
        <v>6283</v>
      </c>
      <c r="H80" s="128" t="s">
        <v>6284</v>
      </c>
      <c r="I80" s="1016" t="s">
        <v>6285</v>
      </c>
      <c r="J80" s="172" t="s">
        <v>6286</v>
      </c>
      <c r="K80" s="167">
        <v>126.5</v>
      </c>
      <c r="L80" s="168">
        <v>126.5</v>
      </c>
      <c r="M80" s="168">
        <v>5440</v>
      </c>
      <c r="N80" s="168">
        <v>688160</v>
      </c>
      <c r="O80" s="168">
        <f>5729.69-300</f>
        <v>5429.69</v>
      </c>
      <c r="T80" s="171"/>
      <c r="U80" s="128"/>
      <c r="V80" s="128" t="s">
        <v>6261</v>
      </c>
      <c r="W80" s="128">
        <v>10000</v>
      </c>
      <c r="X80" s="171">
        <v>45937</v>
      </c>
      <c r="Y80" s="128">
        <v>58160</v>
      </c>
      <c r="Z80" s="171">
        <v>45956</v>
      </c>
      <c r="AA80" s="128">
        <v>50000</v>
      </c>
      <c r="AB80" s="171">
        <v>45957</v>
      </c>
      <c r="AC80" s="128">
        <v>20000</v>
      </c>
      <c r="AD80" s="171">
        <v>45981</v>
      </c>
      <c r="AE80" s="128">
        <v>550000</v>
      </c>
      <c r="AF80" s="171">
        <v>45995</v>
      </c>
      <c r="AG80" s="128"/>
      <c r="AH80" s="128"/>
      <c r="AI80" s="168">
        <f t="shared" si="12"/>
        <v>688160</v>
      </c>
      <c r="AL80" s="128">
        <f t="shared" si="13"/>
        <v>0</v>
      </c>
      <c r="AM80" s="128">
        <v>13999022848</v>
      </c>
      <c r="AN80" s="128" t="s">
        <v>3480</v>
      </c>
      <c r="AO80" s="128"/>
      <c r="AP80" s="128">
        <f t="shared" si="10"/>
        <v>668160</v>
      </c>
      <c r="AQ80" s="178">
        <f>0.7%+0.02%+0.08%+0.03%</f>
        <v>0.0083</v>
      </c>
      <c r="AS80" s="176"/>
      <c r="AT80" s="176"/>
      <c r="AU80" s="176"/>
      <c r="AV80" s="176"/>
      <c r="AW80" s="176"/>
      <c r="AX80" s="176"/>
      <c r="AY80" s="176"/>
      <c r="AZ80" s="176"/>
      <c r="BA80" s="176"/>
      <c r="BB80" s="176"/>
      <c r="BD80" s="128">
        <v>118160</v>
      </c>
      <c r="BF80" s="128">
        <v>550000</v>
      </c>
      <c r="BP80" s="128" t="s">
        <v>3376</v>
      </c>
      <c r="BR80" s="128" t="s">
        <v>377</v>
      </c>
    </row>
    <row r="81" s="128" customFormat="1" hidden="1" customHeight="1" spans="1:70">
      <c r="A81" s="128">
        <v>64</v>
      </c>
      <c r="B81" s="128"/>
      <c r="C81" s="138">
        <v>45965</v>
      </c>
      <c r="D81" s="128">
        <v>20250005655</v>
      </c>
      <c r="G81" s="1016" t="s">
        <v>6287</v>
      </c>
      <c r="H81" s="128" t="s">
        <v>6288</v>
      </c>
      <c r="I81" s="1016" t="s">
        <v>6289</v>
      </c>
      <c r="J81" s="166" t="s">
        <v>6290</v>
      </c>
      <c r="K81" s="167">
        <v>126.91</v>
      </c>
      <c r="L81" s="168">
        <v>126.91</v>
      </c>
      <c r="M81" s="168">
        <v>5515.72</v>
      </c>
      <c r="N81" s="168">
        <v>700000</v>
      </c>
      <c r="O81" s="168">
        <f>5710.69-300</f>
        <v>5410.69</v>
      </c>
      <c r="P81" s="128">
        <v>642201.83</v>
      </c>
      <c r="Q81" s="1016" t="s">
        <v>6291</v>
      </c>
      <c r="R81" s="171">
        <v>46203</v>
      </c>
      <c r="T81" s="171"/>
      <c r="U81" s="128"/>
      <c r="V81" s="128" t="s">
        <v>5897</v>
      </c>
      <c r="W81" s="128">
        <v>20000</v>
      </c>
      <c r="X81" s="171">
        <v>45963</v>
      </c>
      <c r="Y81" s="128">
        <v>180000</v>
      </c>
      <c r="Z81" s="171">
        <v>45965</v>
      </c>
      <c r="AA81" s="128">
        <v>500000</v>
      </c>
      <c r="AB81" s="171">
        <v>46002</v>
      </c>
      <c r="AI81" s="168">
        <f t="shared" si="12"/>
        <v>700000</v>
      </c>
      <c r="AL81" s="128">
        <f t="shared" si="13"/>
        <v>0</v>
      </c>
      <c r="AM81" s="128">
        <v>15739399271</v>
      </c>
      <c r="AN81" s="128" t="s">
        <v>3480</v>
      </c>
      <c r="AP81" s="128">
        <f t="shared" si="10"/>
        <v>700000</v>
      </c>
      <c r="AQ81" s="178">
        <f>0.7%+0.03%+0.08%+0.03%</f>
        <v>0.0084</v>
      </c>
      <c r="BE81" s="128">
        <v>200000</v>
      </c>
      <c r="BF81" s="128">
        <v>500000</v>
      </c>
      <c r="BP81" s="128" t="s">
        <v>3376</v>
      </c>
      <c r="BR81" s="128" t="s">
        <v>377</v>
      </c>
    </row>
    <row r="82" s="107" customFormat="1" hidden="1" customHeight="1" spans="1:70">
      <c r="A82" s="107">
        <v>65</v>
      </c>
      <c r="B82" s="107"/>
      <c r="C82" s="109"/>
      <c r="D82" s="107"/>
      <c r="J82" s="170" t="s">
        <v>6292</v>
      </c>
      <c r="K82" s="165">
        <v>126.5</v>
      </c>
      <c r="L82" s="157"/>
      <c r="M82" s="157"/>
      <c r="N82" s="157"/>
      <c r="O82" s="157">
        <v>7089.31</v>
      </c>
      <c r="P82" s="107"/>
      <c r="Q82" s="107"/>
      <c r="R82" s="107"/>
      <c r="S82" s="107"/>
      <c r="T82" s="107"/>
      <c r="U82" s="107"/>
      <c r="V82" s="128"/>
      <c r="W82" s="107"/>
      <c r="X82" s="107"/>
      <c r="Y82" s="107"/>
      <c r="Z82" s="107"/>
      <c r="AI82" s="157">
        <f t="shared" si="12"/>
        <v>0</v>
      </c>
      <c r="AL82" s="128">
        <f t="shared" si="13"/>
        <v>0</v>
      </c>
      <c r="AP82" s="101">
        <f t="shared" si="10"/>
        <v>0</v>
      </c>
      <c r="AQ82" s="178"/>
    </row>
    <row r="83" s="128" customFormat="1" hidden="1" customHeight="1" spans="1:70">
      <c r="A83" s="128">
        <v>66</v>
      </c>
      <c r="B83" s="128"/>
      <c r="C83" s="138">
        <v>45994</v>
      </c>
      <c r="D83" s="128">
        <v>20250006183</v>
      </c>
      <c r="G83" s="1016" t="s">
        <v>6293</v>
      </c>
      <c r="H83" s="128" t="s">
        <v>6294</v>
      </c>
      <c r="I83" s="128"/>
      <c r="J83" s="166" t="s">
        <v>6295</v>
      </c>
      <c r="K83" s="167">
        <v>126.91</v>
      </c>
      <c r="L83" s="168">
        <v>126.91</v>
      </c>
      <c r="M83" s="168">
        <f>N83/L83</f>
        <v>6200</v>
      </c>
      <c r="N83" s="168">
        <v>786842</v>
      </c>
      <c r="O83" s="168">
        <v>6200</v>
      </c>
      <c r="P83" s="128">
        <v>721873.39</v>
      </c>
      <c r="Q83" s="1016" t="s">
        <v>6296</v>
      </c>
      <c r="R83" s="171">
        <v>46196</v>
      </c>
      <c r="S83" s="128"/>
      <c r="T83" s="171"/>
      <c r="U83" s="128"/>
      <c r="V83" s="128" t="s">
        <v>807</v>
      </c>
      <c r="W83" s="128">
        <v>118842</v>
      </c>
      <c r="X83" s="171">
        <v>45994</v>
      </c>
      <c r="Y83" s="128">
        <v>668000</v>
      </c>
      <c r="Z83" s="171">
        <v>46010</v>
      </c>
      <c r="AI83" s="168">
        <f t="shared" si="12"/>
        <v>786842</v>
      </c>
      <c r="AL83" s="128">
        <f t="shared" si="13"/>
        <v>0</v>
      </c>
      <c r="AM83" s="128">
        <v>13999000452</v>
      </c>
      <c r="AP83" s="128">
        <f t="shared" si="10"/>
        <v>786842</v>
      </c>
      <c r="AQ83" s="178">
        <f>0.6%+0.08%+0.03%</f>
        <v>0.0071</v>
      </c>
      <c r="BF83" s="128">
        <v>786842</v>
      </c>
      <c r="BP83" s="128" t="s">
        <v>3376</v>
      </c>
      <c r="BR83" s="128" t="s">
        <v>377</v>
      </c>
    </row>
    <row r="84" s="107" customFormat="1" hidden="1" customHeight="1" spans="1:70">
      <c r="C84" s="109"/>
      <c r="J84" s="164" t="s">
        <v>6297</v>
      </c>
      <c r="K84" s="165">
        <v>78.68</v>
      </c>
      <c r="L84" s="157"/>
      <c r="M84" s="157"/>
      <c r="N84" s="157"/>
      <c r="O84" s="157"/>
      <c r="P84" s="107"/>
      <c r="Q84" s="107"/>
      <c r="R84" s="107"/>
      <c r="S84" s="107"/>
      <c r="T84" s="107"/>
      <c r="U84" s="107"/>
      <c r="V84" s="128"/>
      <c r="W84" s="107"/>
      <c r="X84" s="107"/>
      <c r="Y84" s="107"/>
      <c r="Z84" s="107"/>
      <c r="AI84" s="157">
        <f t="shared" si="12"/>
        <v>0</v>
      </c>
      <c r="AP84" s="101">
        <f t="shared" si="10"/>
        <v>0</v>
      </c>
      <c r="AQ84" s="178"/>
    </row>
    <row r="85" s="107" customFormat="1" hidden="1" customHeight="1" spans="1:70">
      <c r="C85" s="109"/>
      <c r="J85" s="164" t="s">
        <v>6298</v>
      </c>
      <c r="K85" s="165">
        <v>78.15</v>
      </c>
      <c r="L85" s="157"/>
      <c r="M85" s="157"/>
      <c r="N85" s="157"/>
      <c r="O85" s="157"/>
      <c r="P85" s="107"/>
      <c r="Q85" s="107"/>
      <c r="R85" s="107"/>
      <c r="S85" s="107"/>
      <c r="T85" s="107"/>
      <c r="U85" s="107"/>
      <c r="V85" s="128"/>
      <c r="W85" s="107"/>
      <c r="X85" s="107"/>
      <c r="Y85" s="107"/>
      <c r="Z85" s="107"/>
      <c r="AI85" s="157">
        <f t="shared" si="12"/>
        <v>0</v>
      </c>
      <c r="AP85" s="101">
        <f t="shared" si="10"/>
        <v>0</v>
      </c>
      <c r="AQ85" s="178"/>
    </row>
    <row r="86" s="107" customFormat="1" hidden="1" customHeight="1" spans="1:70">
      <c r="C86" s="109"/>
      <c r="J86" s="164" t="s">
        <v>6299</v>
      </c>
      <c r="K86" s="165">
        <v>78.15</v>
      </c>
      <c r="L86" s="157"/>
      <c r="M86" s="157"/>
      <c r="N86" s="157"/>
      <c r="O86" s="157"/>
      <c r="P86" s="107"/>
      <c r="Q86" s="107"/>
      <c r="R86" s="107"/>
      <c r="S86" s="107"/>
      <c r="T86" s="107"/>
      <c r="U86" s="107"/>
      <c r="V86" s="128"/>
      <c r="W86" s="107"/>
      <c r="X86" s="107"/>
      <c r="Y86" s="107"/>
      <c r="Z86" s="107"/>
      <c r="AI86" s="157">
        <f t="shared" si="12"/>
        <v>0</v>
      </c>
      <c r="AP86" s="101">
        <f t="shared" si="10"/>
        <v>0</v>
      </c>
      <c r="AQ86" s="178"/>
    </row>
    <row r="87" s="107" customFormat="1" hidden="1" customHeight="1" spans="1:70">
      <c r="C87" s="109"/>
      <c r="J87" s="164" t="s">
        <v>6300</v>
      </c>
      <c r="K87" s="165">
        <v>78.52</v>
      </c>
      <c r="L87" s="157"/>
      <c r="M87" s="157"/>
      <c r="N87" s="157"/>
      <c r="O87" s="157"/>
      <c r="P87" s="107"/>
      <c r="Q87" s="107"/>
      <c r="R87" s="107"/>
      <c r="S87" s="107"/>
      <c r="T87" s="107"/>
      <c r="U87" s="107"/>
      <c r="V87" s="128"/>
      <c r="W87" s="107"/>
      <c r="X87" s="107"/>
      <c r="Y87" s="107"/>
      <c r="Z87" s="107"/>
      <c r="AI87" s="157">
        <f t="shared" si="12"/>
        <v>0</v>
      </c>
      <c r="AP87" s="101">
        <f t="shared" si="10"/>
        <v>0</v>
      </c>
      <c r="AQ87" s="178"/>
    </row>
    <row r="88" s="107" customFormat="1" hidden="1" customHeight="1" spans="1:70">
      <c r="C88" s="109"/>
      <c r="J88" s="164" t="s">
        <v>6301</v>
      </c>
      <c r="K88" s="165">
        <v>104.31</v>
      </c>
      <c r="L88" s="157"/>
      <c r="M88" s="157"/>
      <c r="N88" s="157"/>
      <c r="O88" s="157"/>
      <c r="P88" s="107"/>
      <c r="Q88" s="107"/>
      <c r="R88" s="107"/>
      <c r="S88" s="107"/>
      <c r="T88" s="107"/>
      <c r="U88" s="107"/>
      <c r="V88" s="128"/>
      <c r="W88" s="107"/>
      <c r="X88" s="107"/>
      <c r="Y88" s="107"/>
      <c r="Z88" s="107"/>
      <c r="AI88" s="157">
        <f t="shared" si="12"/>
        <v>0</v>
      </c>
      <c r="AP88" s="101">
        <f t="shared" si="10"/>
        <v>0</v>
      </c>
      <c r="AQ88" s="178"/>
    </row>
    <row r="89" s="107" customFormat="1" hidden="1" customHeight="1" spans="1:70">
      <c r="C89" s="109"/>
      <c r="J89" s="164" t="s">
        <v>6302</v>
      </c>
      <c r="K89" s="165">
        <v>85.91</v>
      </c>
      <c r="L89" s="157"/>
      <c r="M89" s="157"/>
      <c r="N89" s="157"/>
      <c r="O89" s="157"/>
      <c r="P89" s="107"/>
      <c r="Q89" s="107"/>
      <c r="R89" s="107"/>
      <c r="S89" s="107"/>
      <c r="T89" s="107"/>
      <c r="U89" s="107"/>
      <c r="V89" s="128"/>
      <c r="W89" s="107"/>
      <c r="X89" s="107"/>
      <c r="Y89" s="107"/>
      <c r="Z89" s="107"/>
      <c r="AI89" s="157">
        <f t="shared" si="12"/>
        <v>0</v>
      </c>
      <c r="AP89" s="101">
        <f t="shared" si="10"/>
        <v>0</v>
      </c>
      <c r="AQ89" s="178"/>
    </row>
    <row r="90" s="107" customFormat="1" hidden="1" customHeight="1" spans="1:70">
      <c r="C90" s="109"/>
      <c r="J90" s="164" t="s">
        <v>6303</v>
      </c>
      <c r="K90" s="165">
        <v>21.19</v>
      </c>
      <c r="L90" s="157"/>
      <c r="M90" s="157"/>
      <c r="N90" s="157"/>
      <c r="O90" s="157"/>
      <c r="P90" s="107"/>
      <c r="Q90" s="107"/>
      <c r="R90" s="107"/>
      <c r="S90" s="107"/>
      <c r="T90" s="107"/>
      <c r="U90" s="107"/>
      <c r="V90" s="128"/>
      <c r="W90" s="107"/>
      <c r="X90" s="107"/>
      <c r="Y90" s="107"/>
      <c r="Z90" s="107"/>
      <c r="AI90" s="157">
        <f t="shared" si="12"/>
        <v>0</v>
      </c>
      <c r="AP90" s="101">
        <f t="shared" si="10"/>
        <v>0</v>
      </c>
      <c r="AQ90" s="178"/>
    </row>
    <row r="91" s="107" customFormat="1" hidden="1" customHeight="1" spans="1:70">
      <c r="C91" s="109"/>
      <c r="J91" s="164" t="s">
        <v>6304</v>
      </c>
      <c r="K91" s="165">
        <v>15.97</v>
      </c>
      <c r="L91" s="157"/>
      <c r="M91" s="157"/>
      <c r="N91" s="157"/>
      <c r="O91" s="157"/>
      <c r="P91" s="107"/>
      <c r="Q91" s="107"/>
      <c r="R91" s="107"/>
      <c r="S91" s="107"/>
      <c r="T91" s="107"/>
      <c r="U91" s="107"/>
      <c r="V91" s="128"/>
      <c r="W91" s="107"/>
      <c r="X91" s="107"/>
      <c r="Y91" s="107"/>
      <c r="Z91" s="107"/>
      <c r="AI91" s="157">
        <f t="shared" si="12"/>
        <v>0</v>
      </c>
      <c r="AP91" s="101">
        <f t="shared" si="10"/>
        <v>0</v>
      </c>
      <c r="AQ91" s="178"/>
    </row>
    <row r="92" s="107" customFormat="1" hidden="1" customHeight="1" spans="1:70">
      <c r="C92" s="109"/>
      <c r="J92" s="164" t="s">
        <v>6305</v>
      </c>
      <c r="K92" s="165">
        <v>29.72</v>
      </c>
      <c r="L92" s="157"/>
      <c r="M92" s="157"/>
      <c r="N92" s="157"/>
      <c r="O92" s="157"/>
      <c r="P92" s="107"/>
      <c r="Q92" s="107"/>
      <c r="R92" s="107"/>
      <c r="S92" s="107"/>
      <c r="T92" s="107"/>
      <c r="U92" s="107"/>
      <c r="V92" s="128"/>
      <c r="W92" s="107"/>
      <c r="X92" s="107"/>
      <c r="Y92" s="107"/>
      <c r="Z92" s="107"/>
      <c r="AI92" s="157">
        <f t="shared" si="12"/>
        <v>0</v>
      </c>
      <c r="AP92" s="101">
        <f t="shared" si="10"/>
        <v>0</v>
      </c>
      <c r="AQ92" s="178"/>
    </row>
    <row r="93" s="107" customFormat="1" hidden="1" customHeight="1" spans="1:70">
      <c r="C93" s="109"/>
      <c r="J93" s="164" t="s">
        <v>6306</v>
      </c>
      <c r="K93" s="165">
        <v>29.65</v>
      </c>
      <c r="L93" s="157"/>
      <c r="M93" s="157"/>
      <c r="N93" s="157"/>
      <c r="O93" s="157"/>
      <c r="P93" s="107"/>
      <c r="Q93" s="107"/>
      <c r="R93" s="107"/>
      <c r="S93" s="107"/>
      <c r="T93" s="107"/>
      <c r="U93" s="107"/>
      <c r="V93" s="128"/>
      <c r="W93" s="107"/>
      <c r="X93" s="107"/>
      <c r="Y93" s="107"/>
      <c r="Z93" s="107"/>
      <c r="AI93" s="157">
        <f t="shared" si="12"/>
        <v>0</v>
      </c>
      <c r="AP93" s="101">
        <f t="shared" si="10"/>
        <v>0</v>
      </c>
      <c r="AQ93" s="178"/>
    </row>
    <row r="94" s="107" customFormat="1" hidden="1" customHeight="1" spans="1:70">
      <c r="C94" s="109"/>
      <c r="J94" s="164" t="s">
        <v>6307</v>
      </c>
      <c r="K94" s="165">
        <v>15.52</v>
      </c>
      <c r="L94" s="157"/>
      <c r="M94" s="157"/>
      <c r="N94" s="157"/>
      <c r="O94" s="157"/>
      <c r="P94" s="107"/>
      <c r="Q94" s="107"/>
      <c r="R94" s="107"/>
      <c r="S94" s="107"/>
      <c r="T94" s="107"/>
      <c r="U94" s="107"/>
      <c r="V94" s="128"/>
      <c r="W94" s="107"/>
      <c r="X94" s="107"/>
      <c r="Y94" s="107"/>
      <c r="Z94" s="107"/>
      <c r="AI94" s="157">
        <f t="shared" si="12"/>
        <v>0</v>
      </c>
      <c r="AP94" s="101">
        <f t="shared" si="10"/>
        <v>0</v>
      </c>
      <c r="AQ94" s="178"/>
    </row>
    <row r="95" s="107" customFormat="1" hidden="1" customHeight="1" spans="1:70">
      <c r="C95" s="109"/>
      <c r="J95" s="164" t="s">
        <v>6308</v>
      </c>
      <c r="K95" s="165">
        <v>19.57</v>
      </c>
      <c r="L95" s="157"/>
      <c r="M95" s="157"/>
      <c r="N95" s="157"/>
      <c r="O95" s="157"/>
      <c r="P95" s="107"/>
      <c r="Q95" s="107"/>
      <c r="R95" s="107"/>
      <c r="S95" s="107"/>
      <c r="T95" s="107"/>
      <c r="U95" s="107"/>
      <c r="V95" s="128"/>
      <c r="W95" s="107"/>
      <c r="X95" s="107"/>
      <c r="Y95" s="107"/>
      <c r="Z95" s="107"/>
      <c r="AI95" s="157">
        <f t="shared" si="12"/>
        <v>0</v>
      </c>
      <c r="AP95" s="101">
        <f t="shared" ref="AP95:AP132" si="15">SUM(AR95:BM95)</f>
        <v>0</v>
      </c>
      <c r="AQ95" s="178"/>
    </row>
    <row r="96" s="107" customFormat="1" hidden="1" customHeight="1" spans="1:70">
      <c r="C96" s="109"/>
      <c r="J96" s="164" t="s">
        <v>6309</v>
      </c>
      <c r="K96" s="165">
        <v>38.77</v>
      </c>
      <c r="L96" s="157"/>
      <c r="M96" s="157"/>
      <c r="N96" s="157"/>
      <c r="O96" s="157"/>
      <c r="P96" s="107"/>
      <c r="Q96" s="107"/>
      <c r="R96" s="107"/>
      <c r="S96" s="107"/>
      <c r="T96" s="107"/>
      <c r="U96" s="107"/>
      <c r="V96" s="128"/>
      <c r="W96" s="107"/>
      <c r="X96" s="107"/>
      <c r="Y96" s="107"/>
      <c r="Z96" s="107"/>
      <c r="AI96" s="157">
        <f t="shared" si="12"/>
        <v>0</v>
      </c>
      <c r="AP96" s="101">
        <f t="shared" si="15"/>
        <v>0</v>
      </c>
      <c r="AQ96" s="178"/>
    </row>
    <row r="97" s="107" customFormat="1" hidden="1" customHeight="1" spans="1:70">
      <c r="C97" s="109"/>
      <c r="J97" s="164" t="s">
        <v>6310</v>
      </c>
      <c r="K97" s="165">
        <v>37.95</v>
      </c>
      <c r="L97" s="157"/>
      <c r="M97" s="157"/>
      <c r="N97" s="157"/>
      <c r="O97" s="157"/>
      <c r="P97" s="107"/>
      <c r="Q97" s="107"/>
      <c r="R97" s="107"/>
      <c r="S97" s="107"/>
      <c r="T97" s="107"/>
      <c r="U97" s="107"/>
      <c r="V97" s="128"/>
      <c r="W97" s="107"/>
      <c r="X97" s="107"/>
      <c r="Y97" s="107"/>
      <c r="Z97" s="107"/>
      <c r="AI97" s="157">
        <f t="shared" si="12"/>
        <v>0</v>
      </c>
      <c r="AP97" s="101">
        <f t="shared" si="15"/>
        <v>0</v>
      </c>
      <c r="AQ97" s="178"/>
    </row>
    <row r="98" s="107" customFormat="1" hidden="1" customHeight="1" spans="1:70">
      <c r="C98" s="109"/>
      <c r="J98" s="164" t="s">
        <v>6311</v>
      </c>
      <c r="K98" s="165">
        <v>37.95</v>
      </c>
      <c r="L98" s="157"/>
      <c r="M98" s="157"/>
      <c r="N98" s="157"/>
      <c r="O98" s="157"/>
      <c r="P98" s="107"/>
      <c r="Q98" s="107"/>
      <c r="R98" s="107"/>
      <c r="S98" s="107"/>
      <c r="T98" s="107"/>
      <c r="U98" s="107"/>
      <c r="V98" s="128"/>
      <c r="W98" s="107"/>
      <c r="X98" s="107"/>
      <c r="Y98" s="107"/>
      <c r="Z98" s="107"/>
      <c r="AI98" s="157">
        <f t="shared" si="12"/>
        <v>0</v>
      </c>
      <c r="AP98" s="101">
        <f t="shared" si="15"/>
        <v>0</v>
      </c>
      <c r="AQ98" s="178"/>
    </row>
    <row r="99" s="107" customFormat="1" hidden="1" customHeight="1" spans="1:70">
      <c r="C99" s="109"/>
      <c r="J99" s="164" t="s">
        <v>6312</v>
      </c>
      <c r="K99" s="165">
        <v>38.77</v>
      </c>
      <c r="L99" s="157"/>
      <c r="M99" s="157"/>
      <c r="N99" s="157"/>
      <c r="O99" s="157"/>
      <c r="P99" s="107"/>
      <c r="Q99" s="107"/>
      <c r="R99" s="107"/>
      <c r="S99" s="107"/>
      <c r="T99" s="107"/>
      <c r="U99" s="107"/>
      <c r="V99" s="128"/>
      <c r="W99" s="107"/>
      <c r="X99" s="107"/>
      <c r="Y99" s="107"/>
      <c r="Z99" s="107"/>
      <c r="AI99" s="157">
        <f t="shared" si="12"/>
        <v>0</v>
      </c>
      <c r="AP99" s="101">
        <f t="shared" si="15"/>
        <v>0</v>
      </c>
      <c r="AQ99" s="178"/>
    </row>
    <row r="100" s="107" customFormat="1" hidden="1" customHeight="1" spans="1:70">
      <c r="C100" s="109"/>
      <c r="J100" s="164" t="s">
        <v>6313</v>
      </c>
      <c r="K100" s="165">
        <v>22.49</v>
      </c>
      <c r="L100" s="157"/>
      <c r="M100" s="157"/>
      <c r="N100" s="157"/>
      <c r="O100" s="157"/>
      <c r="P100" s="107"/>
      <c r="Q100" s="107"/>
      <c r="R100" s="107"/>
      <c r="S100" s="107"/>
      <c r="T100" s="107"/>
      <c r="U100" s="107"/>
      <c r="V100" s="128"/>
      <c r="W100" s="107"/>
      <c r="X100" s="107"/>
      <c r="Y100" s="107"/>
      <c r="Z100" s="107"/>
      <c r="AI100" s="157">
        <f t="shared" si="12"/>
        <v>0</v>
      </c>
      <c r="AP100" s="101">
        <f t="shared" si="15"/>
        <v>0</v>
      </c>
      <c r="AQ100" s="178"/>
    </row>
    <row r="101" s="107" customFormat="1" hidden="1" customHeight="1" spans="1:70">
      <c r="C101" s="109"/>
      <c r="J101" s="164" t="s">
        <v>6314</v>
      </c>
      <c r="K101" s="165">
        <v>19.2</v>
      </c>
      <c r="L101" s="157"/>
      <c r="M101" s="157"/>
      <c r="N101" s="157"/>
      <c r="O101" s="157"/>
      <c r="P101" s="107"/>
      <c r="Q101" s="107"/>
      <c r="R101" s="107"/>
      <c r="S101" s="107"/>
      <c r="T101" s="107"/>
      <c r="U101" s="107"/>
      <c r="V101" s="128"/>
      <c r="W101" s="107"/>
      <c r="X101" s="107"/>
      <c r="Y101" s="107"/>
      <c r="Z101" s="107"/>
      <c r="AI101" s="157">
        <f t="shared" ref="AI101:AI132" si="16">W101+Y101+AA101+AC101+AE101+AG101</f>
        <v>0</v>
      </c>
      <c r="AP101" s="101">
        <f t="shared" si="15"/>
        <v>0</v>
      </c>
      <c r="AQ101" s="178"/>
    </row>
    <row r="102" s="107" customFormat="1" hidden="1" customHeight="1" spans="1:70">
      <c r="A102" s="107">
        <v>1</v>
      </c>
      <c r="B102" s="107"/>
      <c r="C102" s="109"/>
      <c r="D102" s="107"/>
      <c r="J102" s="164" t="s">
        <v>6315</v>
      </c>
      <c r="K102" s="165">
        <v>123.68</v>
      </c>
      <c r="L102" s="157"/>
      <c r="M102" s="157"/>
      <c r="N102" s="157"/>
      <c r="O102" s="157">
        <v>8231.43</v>
      </c>
      <c r="P102" s="107"/>
      <c r="Q102" s="107"/>
      <c r="R102" s="107"/>
      <c r="S102" s="107"/>
      <c r="T102" s="107"/>
      <c r="U102" s="107"/>
      <c r="V102" s="128"/>
      <c r="W102" s="107"/>
      <c r="X102" s="107"/>
      <c r="Y102" s="107"/>
      <c r="Z102" s="107"/>
      <c r="AI102" s="157">
        <f t="shared" si="16"/>
        <v>0</v>
      </c>
      <c r="AP102" s="101">
        <f t="shared" si="15"/>
        <v>0</v>
      </c>
      <c r="AQ102" s="178"/>
    </row>
    <row r="103" s="128" customFormat="1" hidden="1" customHeight="1" spans="1:70">
      <c r="A103" s="128">
        <v>2</v>
      </c>
      <c r="B103" s="128"/>
      <c r="C103" s="138">
        <v>45781</v>
      </c>
      <c r="D103" s="128">
        <v>20250002507</v>
      </c>
      <c r="G103" s="1016" t="s">
        <v>6316</v>
      </c>
      <c r="H103" s="128" t="s">
        <v>6317</v>
      </c>
      <c r="I103" s="128"/>
      <c r="J103" s="172" t="s">
        <v>6318</v>
      </c>
      <c r="K103" s="167">
        <v>123.1</v>
      </c>
      <c r="L103" s="168">
        <v>123.1</v>
      </c>
      <c r="M103" s="168">
        <v>8285.95</v>
      </c>
      <c r="N103" s="168">
        <v>1020000</v>
      </c>
      <c r="O103" s="168">
        <v>8250.43</v>
      </c>
      <c r="P103" s="128">
        <v>935779.82</v>
      </c>
      <c r="Q103" s="1016" t="s">
        <v>6319</v>
      </c>
      <c r="R103" s="171">
        <v>46196</v>
      </c>
      <c r="S103" s="128"/>
      <c r="T103" s="128"/>
      <c r="U103" s="128"/>
      <c r="V103" s="128"/>
      <c r="W103" s="128">
        <v>350000</v>
      </c>
      <c r="X103" s="128" t="s">
        <v>3694</v>
      </c>
      <c r="Y103" s="128">
        <v>670000</v>
      </c>
      <c r="Z103" s="128" t="s">
        <v>6320</v>
      </c>
      <c r="AI103" s="168">
        <f t="shared" si="16"/>
        <v>1020000</v>
      </c>
      <c r="AL103" s="128">
        <f>N103-AI103</f>
        <v>0</v>
      </c>
      <c r="AM103" s="128">
        <v>15930865255</v>
      </c>
      <c r="AN103" s="128" t="s">
        <v>6154</v>
      </c>
      <c r="AP103" s="128">
        <f t="shared" si="15"/>
        <v>1020000</v>
      </c>
      <c r="AQ103" s="178">
        <f>0.4%+0.03%+0.08%+0.03%</f>
        <v>0.0054</v>
      </c>
      <c r="AZ103" s="128">
        <v>1020000</v>
      </c>
      <c r="BP103" s="128" t="s">
        <v>376</v>
      </c>
      <c r="BR103" s="128" t="s">
        <v>377</v>
      </c>
    </row>
    <row r="104" s="107" customFormat="1" hidden="1" customHeight="1" spans="1:70">
      <c r="A104" s="107">
        <v>3</v>
      </c>
      <c r="B104" s="107"/>
      <c r="C104" s="109"/>
      <c r="D104" s="107"/>
      <c r="J104" s="164" t="s">
        <v>6321</v>
      </c>
      <c r="K104" s="165">
        <v>134.8</v>
      </c>
      <c r="L104" s="157"/>
      <c r="M104" s="157"/>
      <c r="N104" s="157"/>
      <c r="O104" s="157">
        <v>5755.06</v>
      </c>
      <c r="P104" s="107"/>
      <c r="Q104" s="107"/>
      <c r="R104" s="107"/>
      <c r="S104" s="107"/>
      <c r="T104" s="107"/>
      <c r="U104" s="107"/>
      <c r="V104" s="128"/>
      <c r="W104" s="107"/>
      <c r="X104" s="107"/>
      <c r="Y104" s="107"/>
      <c r="Z104" s="107"/>
      <c r="AI104" s="157">
        <f t="shared" si="16"/>
        <v>0</v>
      </c>
      <c r="AL104" s="128">
        <f t="shared" ref="AL104:AL125" si="17">N104-AI104</f>
        <v>0</v>
      </c>
      <c r="AP104" s="101">
        <f t="shared" si="15"/>
        <v>0</v>
      </c>
      <c r="AQ104" s="178"/>
    </row>
    <row r="105" s="107" customFormat="1" hidden="1" customHeight="1" spans="1:70">
      <c r="A105" s="107">
        <v>4</v>
      </c>
      <c r="B105" s="107"/>
      <c r="C105" s="109"/>
      <c r="D105" s="107"/>
      <c r="J105" s="170" t="s">
        <v>6322</v>
      </c>
      <c r="K105" s="165">
        <v>133.94</v>
      </c>
      <c r="L105" s="157"/>
      <c r="M105" s="157"/>
      <c r="N105" s="157"/>
      <c r="O105" s="157">
        <v>5774.06</v>
      </c>
      <c r="P105" s="107"/>
      <c r="Q105" s="107"/>
      <c r="R105" s="107"/>
      <c r="S105" s="107"/>
      <c r="T105" s="107"/>
      <c r="U105" s="107"/>
      <c r="V105" s="128"/>
      <c r="W105" s="107"/>
      <c r="X105" s="107"/>
      <c r="Y105" s="107"/>
      <c r="Z105" s="107"/>
      <c r="AI105" s="157">
        <f t="shared" si="16"/>
        <v>0</v>
      </c>
      <c r="AL105" s="128">
        <f t="shared" si="17"/>
        <v>0</v>
      </c>
      <c r="AP105" s="101">
        <f t="shared" si="15"/>
        <v>0</v>
      </c>
      <c r="AQ105" s="178"/>
    </row>
    <row r="106" s="128" customFormat="1" hidden="1" customHeight="1" spans="1:70">
      <c r="A106" s="128">
        <v>5</v>
      </c>
      <c r="B106" s="128"/>
      <c r="C106" s="138">
        <v>46144</v>
      </c>
      <c r="D106" s="128">
        <v>20260001997</v>
      </c>
      <c r="G106" s="1016" t="s">
        <v>179</v>
      </c>
      <c r="H106" s="128" t="s">
        <v>180</v>
      </c>
      <c r="I106" s="128"/>
      <c r="J106" s="166" t="s">
        <v>181</v>
      </c>
      <c r="K106" s="167">
        <v>134.8</v>
      </c>
      <c r="L106" s="168">
        <v>134.8</v>
      </c>
      <c r="M106" s="168">
        <v>4950</v>
      </c>
      <c r="N106" s="168">
        <v>667260</v>
      </c>
      <c r="O106" s="168">
        <v>4950</v>
      </c>
      <c r="P106" s="128">
        <v>612165.14</v>
      </c>
      <c r="Q106" s="1016" t="s">
        <v>6323</v>
      </c>
      <c r="R106" s="171">
        <v>46196</v>
      </c>
      <c r="S106" s="128"/>
      <c r="T106" s="171"/>
      <c r="U106" s="128"/>
      <c r="V106" s="128" t="s">
        <v>5897</v>
      </c>
      <c r="W106" s="128">
        <v>5000</v>
      </c>
      <c r="X106" s="171">
        <v>46110</v>
      </c>
      <c r="Y106" s="128">
        <v>370000</v>
      </c>
      <c r="Z106" s="171" t="s">
        <v>6324</v>
      </c>
      <c r="AA106" s="128">
        <v>292260</v>
      </c>
      <c r="AB106" s="128" t="s">
        <v>1244</v>
      </c>
      <c r="AI106" s="168">
        <f t="shared" si="16"/>
        <v>667260</v>
      </c>
      <c r="AL106" s="128">
        <f t="shared" si="17"/>
        <v>0</v>
      </c>
      <c r="AM106" s="128">
        <v>13369076355</v>
      </c>
      <c r="AN106" s="128" t="s">
        <v>3480</v>
      </c>
      <c r="AP106" s="128">
        <f t="shared" si="15"/>
        <v>667260</v>
      </c>
      <c r="AQ106" s="178">
        <f>0.7%+0.04%+0.14%+0.03%</f>
        <v>0.0091</v>
      </c>
      <c r="BK106" s="128">
        <v>667260</v>
      </c>
      <c r="BP106" s="128" t="s">
        <v>376</v>
      </c>
      <c r="BR106" s="128" t="s">
        <v>377</v>
      </c>
    </row>
    <row r="107" s="128" customFormat="1" hidden="1" customHeight="1" spans="1:70">
      <c r="A107" s="128">
        <v>6</v>
      </c>
      <c r="B107" s="128"/>
      <c r="C107" s="138">
        <v>46147</v>
      </c>
      <c r="D107" s="128">
        <v>20260002187</v>
      </c>
      <c r="G107" s="1016" t="s">
        <v>183</v>
      </c>
      <c r="H107" s="128" t="s">
        <v>184</v>
      </c>
      <c r="I107" s="1016" t="s">
        <v>185</v>
      </c>
      <c r="J107" s="172" t="s">
        <v>186</v>
      </c>
      <c r="K107" s="167">
        <v>133.94</v>
      </c>
      <c r="L107" s="168">
        <v>133.94</v>
      </c>
      <c r="M107" s="168">
        <v>5226.22</v>
      </c>
      <c r="N107" s="168">
        <v>700000</v>
      </c>
      <c r="O107" s="168">
        <v>5828.72</v>
      </c>
      <c r="P107" s="128">
        <v>642201.83</v>
      </c>
      <c r="Q107" s="1016" t="s">
        <v>6325</v>
      </c>
      <c r="R107" s="171">
        <v>46177</v>
      </c>
      <c r="S107" s="128"/>
      <c r="T107" s="128"/>
      <c r="U107" s="128"/>
      <c r="V107" s="128" t="s">
        <v>3511</v>
      </c>
      <c r="W107" s="128">
        <v>20000</v>
      </c>
      <c r="X107" s="128" t="s">
        <v>6326</v>
      </c>
      <c r="Y107" s="128">
        <v>680000</v>
      </c>
      <c r="Z107" s="128" t="s">
        <v>6327</v>
      </c>
      <c r="AI107" s="168">
        <f t="shared" si="16"/>
        <v>700000</v>
      </c>
      <c r="AL107" s="128">
        <f t="shared" si="17"/>
        <v>0</v>
      </c>
      <c r="AM107" s="128">
        <v>13565018118</v>
      </c>
      <c r="AN107" s="128" t="s">
        <v>3480</v>
      </c>
      <c r="AP107" s="128">
        <f t="shared" si="15"/>
        <v>700000</v>
      </c>
      <c r="AQ107" s="169">
        <f>0.7%+0.02%+0.08%+0.03%</f>
        <v>0.0083</v>
      </c>
      <c r="BK107" s="128">
        <v>700000</v>
      </c>
      <c r="BP107" s="128" t="s">
        <v>376</v>
      </c>
      <c r="BR107" s="128" t="s">
        <v>377</v>
      </c>
    </row>
    <row r="108" s="128" customFormat="1" hidden="1" customHeight="1" spans="1:70">
      <c r="A108" s="128">
        <v>7</v>
      </c>
      <c r="B108" s="128"/>
      <c r="C108" s="138">
        <v>46125</v>
      </c>
      <c r="D108" s="128">
        <v>20260001638</v>
      </c>
      <c r="E108" s="182"/>
      <c r="G108" s="128" t="s">
        <v>188</v>
      </c>
      <c r="H108" s="128" t="s">
        <v>189</v>
      </c>
      <c r="I108" s="1016" t="s">
        <v>190</v>
      </c>
      <c r="J108" s="166" t="s">
        <v>191</v>
      </c>
      <c r="K108" s="167">
        <v>134.8</v>
      </c>
      <c r="L108" s="168">
        <v>134.8</v>
      </c>
      <c r="M108" s="168">
        <v>5300</v>
      </c>
      <c r="N108" s="168">
        <v>714440</v>
      </c>
      <c r="O108" s="168">
        <v>5300</v>
      </c>
      <c r="P108" s="128">
        <v>655449.54</v>
      </c>
      <c r="Q108" s="1016" t="s">
        <v>6328</v>
      </c>
      <c r="R108" s="171">
        <v>46196</v>
      </c>
      <c r="S108" s="128"/>
      <c r="T108" s="171"/>
      <c r="U108" s="128"/>
      <c r="V108" s="128" t="s">
        <v>3511</v>
      </c>
      <c r="W108" s="128">
        <v>20000</v>
      </c>
      <c r="X108" s="171">
        <v>46111</v>
      </c>
      <c r="Y108" s="128">
        <v>694440</v>
      </c>
      <c r="Z108" s="171">
        <v>46125</v>
      </c>
      <c r="AI108" s="168">
        <f t="shared" si="16"/>
        <v>714440</v>
      </c>
      <c r="AL108" s="128">
        <f t="shared" si="17"/>
        <v>0</v>
      </c>
      <c r="AN108" s="128" t="s">
        <v>6329</v>
      </c>
      <c r="AP108" s="128">
        <f t="shared" si="15"/>
        <v>714440</v>
      </c>
      <c r="AQ108" s="178">
        <f>0.7%+0.05%+0.14%+0.03%</f>
        <v>0.0092</v>
      </c>
      <c r="BJ108" s="128">
        <v>714440</v>
      </c>
      <c r="BP108" s="128" t="s">
        <v>376</v>
      </c>
      <c r="BR108" s="128" t="s">
        <v>377</v>
      </c>
    </row>
    <row r="109" s="128" customFormat="1" hidden="1" customHeight="1" spans="1:70">
      <c r="A109" s="128">
        <v>8</v>
      </c>
      <c r="B109" s="128"/>
      <c r="C109" s="138">
        <v>46143</v>
      </c>
      <c r="D109" s="128">
        <v>20260001914</v>
      </c>
      <c r="G109" s="128" t="s">
        <v>193</v>
      </c>
      <c r="H109" s="128" t="s">
        <v>194</v>
      </c>
      <c r="I109" s="1016" t="s">
        <v>195</v>
      </c>
      <c r="J109" s="172" t="s">
        <v>196</v>
      </c>
      <c r="K109" s="167">
        <v>133.94</v>
      </c>
      <c r="L109" s="168">
        <v>133.94</v>
      </c>
      <c r="M109" s="168">
        <v>5261.32</v>
      </c>
      <c r="N109" s="168">
        <v>704701</v>
      </c>
      <c r="O109" s="168">
        <v>5861.32</v>
      </c>
      <c r="P109" s="128">
        <v>646514.68</v>
      </c>
      <c r="Q109" s="1016" t="s">
        <v>6330</v>
      </c>
      <c r="R109" s="171">
        <v>46164</v>
      </c>
      <c r="S109" s="128"/>
      <c r="T109" s="128"/>
      <c r="U109" s="128"/>
      <c r="V109" s="128" t="s">
        <v>687</v>
      </c>
      <c r="W109" s="128">
        <v>20000</v>
      </c>
      <c r="X109" s="128" t="s">
        <v>5899</v>
      </c>
      <c r="Y109" s="128">
        <v>464701</v>
      </c>
      <c r="Z109" s="128" t="s">
        <v>6324</v>
      </c>
      <c r="AA109" s="128">
        <v>220000</v>
      </c>
      <c r="AB109" s="128" t="s">
        <v>6331</v>
      </c>
      <c r="AI109" s="168">
        <f t="shared" si="16"/>
        <v>704701</v>
      </c>
      <c r="AL109" s="128">
        <f t="shared" si="17"/>
        <v>0</v>
      </c>
      <c r="AM109" s="128">
        <v>15099226471</v>
      </c>
      <c r="AN109" s="128" t="s">
        <v>3480</v>
      </c>
      <c r="AP109" s="128">
        <f t="shared" si="15"/>
        <v>704701</v>
      </c>
      <c r="AQ109" s="169">
        <f>0.4%+0.02%+0.08%+0.03%</f>
        <v>0.0053</v>
      </c>
      <c r="BK109" s="128">
        <v>704701</v>
      </c>
      <c r="BP109" s="128" t="s">
        <v>376</v>
      </c>
      <c r="BR109" s="128" t="s">
        <v>377</v>
      </c>
    </row>
    <row r="110" s="128" customFormat="1" hidden="1" customHeight="1" spans="1:70">
      <c r="A110" s="128">
        <v>9</v>
      </c>
      <c r="B110" s="128"/>
      <c r="C110" s="138">
        <v>46098</v>
      </c>
      <c r="D110" s="128">
        <v>20260001240</v>
      </c>
      <c r="G110" s="1016" t="s">
        <v>6332</v>
      </c>
      <c r="H110" s="128" t="s">
        <v>6333</v>
      </c>
      <c r="I110" s="1016" t="s">
        <v>6334</v>
      </c>
      <c r="J110" s="166" t="s">
        <v>6335</v>
      </c>
      <c r="K110" s="167">
        <v>134.8</v>
      </c>
      <c r="L110" s="168">
        <v>134.8</v>
      </c>
      <c r="M110" s="168">
        <v>5192.88</v>
      </c>
      <c r="N110" s="168">
        <v>700000</v>
      </c>
      <c r="O110" s="168">
        <v>5192.88</v>
      </c>
      <c r="P110" s="128">
        <v>642201.83</v>
      </c>
      <c r="Q110" s="1016" t="s">
        <v>6336</v>
      </c>
      <c r="R110" s="171">
        <v>46196</v>
      </c>
      <c r="S110" s="128"/>
      <c r="T110" s="171"/>
      <c r="U110" s="128"/>
      <c r="V110" s="128" t="s">
        <v>5897</v>
      </c>
      <c r="W110" s="128">
        <f>20000</f>
        <v>20000</v>
      </c>
      <c r="X110" s="171">
        <v>46097</v>
      </c>
      <c r="Y110" s="128">
        <v>85000</v>
      </c>
      <c r="Z110" s="171">
        <v>46098</v>
      </c>
      <c r="AA110" s="128">
        <v>595000</v>
      </c>
      <c r="AB110" s="171">
        <v>46112</v>
      </c>
      <c r="AI110" s="168">
        <f t="shared" si="16"/>
        <v>700000</v>
      </c>
      <c r="AL110" s="128">
        <f t="shared" si="17"/>
        <v>0</v>
      </c>
      <c r="AM110" s="128">
        <v>13239062619</v>
      </c>
      <c r="AN110" s="128" t="s">
        <v>3480</v>
      </c>
      <c r="AP110" s="128">
        <f t="shared" si="15"/>
        <v>700000</v>
      </c>
      <c r="AQ110" s="178">
        <f>0.7%+0.04%+0.14%+0.03%</f>
        <v>0.0091</v>
      </c>
      <c r="BI110" s="128">
        <v>700000</v>
      </c>
      <c r="BP110" s="128" t="s">
        <v>376</v>
      </c>
      <c r="BR110" s="128" t="s">
        <v>377</v>
      </c>
    </row>
    <row r="111" s="128" customFormat="1" hidden="1" customHeight="1" spans="1:70">
      <c r="A111" s="128">
        <v>10</v>
      </c>
      <c r="B111" s="128"/>
      <c r="C111" s="138">
        <v>45903</v>
      </c>
      <c r="D111" s="128">
        <v>20250004506</v>
      </c>
      <c r="G111" s="1016" t="s">
        <v>6337</v>
      </c>
      <c r="H111" s="128" t="s">
        <v>6338</v>
      </c>
      <c r="I111" s="128"/>
      <c r="J111" s="172" t="s">
        <v>6339</v>
      </c>
      <c r="K111" s="167">
        <v>133.94</v>
      </c>
      <c r="L111" s="168">
        <v>133.94</v>
      </c>
      <c r="M111" s="168">
        <v>5400</v>
      </c>
      <c r="N111" s="168">
        <v>723276</v>
      </c>
      <c r="O111" s="168">
        <v>5400</v>
      </c>
      <c r="P111" s="128">
        <v>663555.96</v>
      </c>
      <c r="Q111" s="1016" t="s">
        <v>6340</v>
      </c>
      <c r="R111" s="171">
        <v>46197</v>
      </c>
      <c r="T111" s="171"/>
      <c r="U111" s="128"/>
      <c r="V111" s="128" t="s">
        <v>687</v>
      </c>
      <c r="W111" s="128">
        <f>5276+150000</f>
        <v>155276</v>
      </c>
      <c r="X111" s="171" t="s">
        <v>6341</v>
      </c>
      <c r="Y111" s="128">
        <v>568000</v>
      </c>
      <c r="Z111" s="171">
        <v>45971</v>
      </c>
      <c r="AA111" s="128"/>
      <c r="AB111" s="128"/>
      <c r="AC111" s="128"/>
      <c r="AD111" s="128"/>
      <c r="AE111" s="128"/>
      <c r="AF111" s="128"/>
      <c r="AG111" s="128"/>
      <c r="AH111" s="128"/>
      <c r="AI111" s="168">
        <f t="shared" si="16"/>
        <v>723276</v>
      </c>
      <c r="AL111" s="128">
        <f t="shared" si="17"/>
        <v>0</v>
      </c>
      <c r="AN111" s="128" t="s">
        <v>6154</v>
      </c>
      <c r="AO111" s="128"/>
      <c r="AP111" s="128">
        <f t="shared" si="15"/>
        <v>723276</v>
      </c>
      <c r="AQ111" s="178">
        <f>0.7%+0.02%+0.08%+0.03%</f>
        <v>0.0083</v>
      </c>
      <c r="AS111" s="183"/>
      <c r="AT111" s="183"/>
      <c r="AU111" s="183"/>
      <c r="AV111" s="183"/>
      <c r="AW111" s="183"/>
      <c r="AX111" s="183"/>
      <c r="AY111" s="183"/>
      <c r="AZ111" s="183"/>
      <c r="BA111" s="183"/>
      <c r="BB111" s="183"/>
      <c r="BC111" s="128">
        <v>155276</v>
      </c>
      <c r="BE111" s="128">
        <v>568000</v>
      </c>
      <c r="BP111" s="128" t="s">
        <v>2825</v>
      </c>
      <c r="BR111" s="128" t="s">
        <v>377</v>
      </c>
    </row>
    <row r="112" s="128" customFormat="1" hidden="1" customHeight="1" spans="1:70">
      <c r="A112" s="128">
        <v>11</v>
      </c>
      <c r="B112" s="128"/>
      <c r="C112" s="138">
        <v>46061</v>
      </c>
      <c r="D112" s="128">
        <v>20260000761</v>
      </c>
      <c r="G112" s="1016" t="s">
        <v>6342</v>
      </c>
      <c r="H112" s="128" t="s">
        <v>6343</v>
      </c>
      <c r="I112" s="1016" t="s">
        <v>6344</v>
      </c>
      <c r="J112" s="166" t="s">
        <v>6345</v>
      </c>
      <c r="K112" s="167">
        <v>134.8</v>
      </c>
      <c r="L112" s="168">
        <v>134.8</v>
      </c>
      <c r="M112" s="168">
        <v>5296.735</v>
      </c>
      <c r="N112" s="168">
        <v>714000</v>
      </c>
      <c r="O112" s="168">
        <v>5296.74</v>
      </c>
      <c r="P112" s="128">
        <v>655045.87</v>
      </c>
      <c r="Q112" s="1016" t="s">
        <v>6346</v>
      </c>
      <c r="R112" s="171">
        <v>46197</v>
      </c>
      <c r="S112" s="128"/>
      <c r="T112" s="171"/>
      <c r="U112" s="128"/>
      <c r="V112" s="128" t="s">
        <v>6347</v>
      </c>
      <c r="W112" s="128">
        <v>20000</v>
      </c>
      <c r="X112" s="171">
        <v>46054</v>
      </c>
      <c r="Y112" s="128">
        <v>124000</v>
      </c>
      <c r="Z112" s="171">
        <v>46061</v>
      </c>
      <c r="AA112" s="128">
        <v>570000</v>
      </c>
      <c r="AB112" s="171">
        <v>46112</v>
      </c>
      <c r="AI112" s="168">
        <f t="shared" si="16"/>
        <v>714000</v>
      </c>
      <c r="AL112" s="128">
        <f t="shared" si="17"/>
        <v>0</v>
      </c>
      <c r="AM112" s="128">
        <v>15594298752</v>
      </c>
      <c r="AN112" s="128" t="s">
        <v>3480</v>
      </c>
      <c r="AP112" s="128">
        <f t="shared" si="15"/>
        <v>714000</v>
      </c>
      <c r="AQ112" s="178">
        <f>0.6%+0.02%+0.08%+0.03%</f>
        <v>0.0073</v>
      </c>
      <c r="BH112" s="128">
        <v>144000</v>
      </c>
      <c r="BI112" s="128">
        <v>570000</v>
      </c>
      <c r="BP112" s="128" t="s">
        <v>376</v>
      </c>
      <c r="BR112" s="128" t="s">
        <v>377</v>
      </c>
    </row>
    <row r="113" s="128" customFormat="1" hidden="1" customHeight="1" spans="1:70">
      <c r="A113" s="128">
        <v>12</v>
      </c>
      <c r="B113" s="128"/>
      <c r="C113" s="138">
        <v>45905</v>
      </c>
      <c r="D113" s="128">
        <v>20250004529</v>
      </c>
      <c r="G113" s="1016" t="s">
        <v>6348</v>
      </c>
      <c r="H113" s="128" t="s">
        <v>6349</v>
      </c>
      <c r="I113" s="1016" t="s">
        <v>6350</v>
      </c>
      <c r="J113" s="166" t="s">
        <v>6351</v>
      </c>
      <c r="K113" s="167">
        <v>133.94</v>
      </c>
      <c r="L113" s="168">
        <v>133.94</v>
      </c>
      <c r="M113" s="168">
        <v>5450.2</v>
      </c>
      <c r="N113" s="168">
        <v>730000</v>
      </c>
      <c r="O113" s="168">
        <f>5654.59-300</f>
        <v>5354.59</v>
      </c>
      <c r="P113" s="128">
        <v>669724.77</v>
      </c>
      <c r="Q113" s="1016" t="s">
        <v>6352</v>
      </c>
      <c r="R113" s="171">
        <v>46197</v>
      </c>
      <c r="T113" s="171"/>
      <c r="U113" s="128"/>
      <c r="V113" s="128" t="s">
        <v>807</v>
      </c>
      <c r="W113" s="128">
        <v>10000</v>
      </c>
      <c r="X113" s="171">
        <v>45899</v>
      </c>
      <c r="Y113" s="128">
        <v>134000</v>
      </c>
      <c r="Z113" s="171">
        <v>45905</v>
      </c>
      <c r="AA113" s="128">
        <v>56000</v>
      </c>
      <c r="AB113" s="171">
        <v>45940</v>
      </c>
      <c r="AC113" s="128">
        <v>530000</v>
      </c>
      <c r="AD113" s="171">
        <v>45959</v>
      </c>
      <c r="AI113" s="168">
        <f t="shared" si="16"/>
        <v>730000</v>
      </c>
      <c r="AL113" s="128">
        <f t="shared" si="17"/>
        <v>0</v>
      </c>
      <c r="AM113" s="128">
        <v>18699692412</v>
      </c>
      <c r="AN113" s="128" t="s">
        <v>3480</v>
      </c>
      <c r="AP113" s="128">
        <f t="shared" si="15"/>
        <v>730000</v>
      </c>
      <c r="AQ113" s="178">
        <f>0.7%+0.08%+0.03%</f>
        <v>0.0081</v>
      </c>
      <c r="BC113" s="128">
        <v>144000</v>
      </c>
      <c r="BD113" s="128">
        <v>586000</v>
      </c>
      <c r="BP113" s="128" t="s">
        <v>2825</v>
      </c>
      <c r="BR113" s="128" t="s">
        <v>377</v>
      </c>
    </row>
    <row r="114" s="128" customFormat="1" hidden="1" customHeight="1" spans="1:70">
      <c r="A114" s="128">
        <v>13</v>
      </c>
      <c r="B114" s="128"/>
      <c r="C114" s="138">
        <v>45991</v>
      </c>
      <c r="D114" s="128">
        <v>20250006097</v>
      </c>
      <c r="G114" s="1016" t="s">
        <v>6353</v>
      </c>
      <c r="H114" s="128" t="s">
        <v>6354</v>
      </c>
      <c r="I114" s="1016" t="s">
        <v>6355</v>
      </c>
      <c r="J114" s="172" t="s">
        <v>6356</v>
      </c>
      <c r="K114" s="167">
        <v>134.8</v>
      </c>
      <c r="L114" s="168">
        <v>134.8</v>
      </c>
      <c r="M114" s="168">
        <v>5400</v>
      </c>
      <c r="N114" s="168">
        <v>727920</v>
      </c>
      <c r="O114" s="168">
        <f>5684.5-300</f>
        <v>5384.5</v>
      </c>
      <c r="T114" s="171"/>
      <c r="U114" s="128"/>
      <c r="V114" s="128" t="s">
        <v>5897</v>
      </c>
      <c r="W114" s="128">
        <v>7920</v>
      </c>
      <c r="X114" s="171">
        <v>45992</v>
      </c>
      <c r="Y114" s="128">
        <v>160000</v>
      </c>
      <c r="Z114" s="171">
        <v>45999</v>
      </c>
      <c r="AA114" s="128">
        <v>560000</v>
      </c>
      <c r="AB114" s="171">
        <v>46030</v>
      </c>
      <c r="AC114" s="128"/>
      <c r="AD114" s="128"/>
      <c r="AE114" s="128"/>
      <c r="AF114" s="128"/>
      <c r="AG114" s="128"/>
      <c r="AH114" s="128"/>
      <c r="AI114" s="168">
        <f t="shared" si="16"/>
        <v>727920</v>
      </c>
      <c r="AL114" s="128">
        <f t="shared" si="17"/>
        <v>0</v>
      </c>
      <c r="AN114" s="128" t="s">
        <v>3480</v>
      </c>
      <c r="AP114" s="128">
        <f t="shared" si="15"/>
        <v>727920</v>
      </c>
      <c r="AQ114" s="178">
        <f>0.7%+0.03%+0.08%+0.03%</f>
        <v>0.0084</v>
      </c>
      <c r="AS114" s="176"/>
      <c r="AT114" s="176"/>
      <c r="AU114" s="176"/>
      <c r="AV114" s="176"/>
      <c r="AW114" s="176"/>
      <c r="AX114" s="176"/>
      <c r="AY114" s="176"/>
      <c r="AZ114" s="176"/>
      <c r="BA114" s="176"/>
      <c r="BB114" s="176"/>
      <c r="BC114" s="176"/>
      <c r="BF114" s="128">
        <v>167920</v>
      </c>
      <c r="BG114" s="128">
        <v>560000</v>
      </c>
      <c r="BP114" s="128" t="s">
        <v>3376</v>
      </c>
      <c r="BR114" s="128" t="s">
        <v>377</v>
      </c>
    </row>
    <row r="115" s="128" customFormat="1" hidden="1" customHeight="1" spans="1:70">
      <c r="A115" s="128">
        <v>14</v>
      </c>
      <c r="B115" s="128"/>
      <c r="C115" s="138">
        <v>45891</v>
      </c>
      <c r="D115" s="128">
        <v>20250004331</v>
      </c>
      <c r="G115" s="128" t="s">
        <v>6357</v>
      </c>
      <c r="H115" s="128" t="s">
        <v>6358</v>
      </c>
      <c r="I115" s="1016" t="s">
        <v>6359</v>
      </c>
      <c r="J115" s="172" t="s">
        <v>6360</v>
      </c>
      <c r="K115" s="167">
        <v>133.94</v>
      </c>
      <c r="L115" s="168">
        <v>133.94</v>
      </c>
      <c r="M115" s="168">
        <v>5500</v>
      </c>
      <c r="N115" s="168">
        <v>736670</v>
      </c>
      <c r="O115" s="168">
        <v>6053.5</v>
      </c>
      <c r="P115" s="128">
        <v>675844.04</v>
      </c>
      <c r="Q115" s="1016" t="s">
        <v>6361</v>
      </c>
      <c r="R115" s="171">
        <v>46197</v>
      </c>
      <c r="S115" s="128"/>
      <c r="T115" s="171"/>
      <c r="U115" s="128"/>
      <c r="V115" s="128" t="s">
        <v>383</v>
      </c>
      <c r="W115" s="128">
        <v>20000</v>
      </c>
      <c r="X115" s="171" t="s">
        <v>6141</v>
      </c>
      <c r="Y115" s="128">
        <f>696670</f>
        <v>696670</v>
      </c>
      <c r="Z115" s="171">
        <v>45885</v>
      </c>
      <c r="AA115" s="128">
        <v>20000</v>
      </c>
      <c r="AB115" s="171">
        <v>45894</v>
      </c>
      <c r="AI115" s="168">
        <f t="shared" si="16"/>
        <v>736670</v>
      </c>
      <c r="AL115" s="128">
        <f t="shared" si="17"/>
        <v>0</v>
      </c>
      <c r="AM115" s="128">
        <v>18892948848</v>
      </c>
      <c r="AN115" s="128" t="s">
        <v>6362</v>
      </c>
      <c r="AP115" s="128">
        <f t="shared" si="15"/>
        <v>736670</v>
      </c>
      <c r="AQ115" s="178">
        <f>0.6%+0.08%+0.03%</f>
        <v>0.0071</v>
      </c>
      <c r="BB115" s="128">
        <v>736670</v>
      </c>
      <c r="BP115" s="128" t="s">
        <v>2825</v>
      </c>
      <c r="BR115" s="128" t="s">
        <v>377</v>
      </c>
    </row>
    <row r="116" s="128" customFormat="1" hidden="1" customHeight="1" spans="1:70">
      <c r="A116" s="128">
        <v>15</v>
      </c>
      <c r="B116" s="128"/>
      <c r="C116" s="138">
        <v>46098</v>
      </c>
      <c r="D116" s="128">
        <v>20260001243</v>
      </c>
      <c r="G116" s="128" t="s">
        <v>6363</v>
      </c>
      <c r="H116" s="128" t="s">
        <v>6364</v>
      </c>
      <c r="I116" s="1016" t="s">
        <v>6365</v>
      </c>
      <c r="J116" s="172" t="s">
        <v>6366</v>
      </c>
      <c r="K116" s="167">
        <v>134.8</v>
      </c>
      <c r="L116" s="168">
        <v>134.8</v>
      </c>
      <c r="M116" s="168">
        <v>5734.42</v>
      </c>
      <c r="N116" s="168">
        <v>773000</v>
      </c>
      <c r="O116" s="168">
        <f>5711.67</f>
        <v>5711.67</v>
      </c>
      <c r="P116" s="128">
        <v>709174.31</v>
      </c>
      <c r="Q116" s="1016" t="s">
        <v>6367</v>
      </c>
      <c r="R116" s="171">
        <v>46197</v>
      </c>
      <c r="T116" s="171"/>
      <c r="V116" s="128" t="s">
        <v>3511</v>
      </c>
      <c r="W116" s="128">
        <v>20000</v>
      </c>
      <c r="X116" s="171">
        <v>46083</v>
      </c>
      <c r="Y116" s="128">
        <v>653000</v>
      </c>
      <c r="Z116" s="171">
        <v>46098</v>
      </c>
      <c r="AA116" s="128">
        <v>100000</v>
      </c>
      <c r="AB116" s="171">
        <v>46111</v>
      </c>
      <c r="AI116" s="168">
        <f t="shared" si="16"/>
        <v>773000</v>
      </c>
      <c r="AL116" s="128">
        <f t="shared" si="17"/>
        <v>0</v>
      </c>
      <c r="AM116" s="128">
        <v>19990399894</v>
      </c>
      <c r="AN116" s="128" t="s">
        <v>6368</v>
      </c>
      <c r="AP116" s="128">
        <f t="shared" si="15"/>
        <v>773000</v>
      </c>
      <c r="AQ116" s="178">
        <f t="shared" ref="AQ116:AQ120" si="18">0.7%+0.05%+0.14%+0.03%</f>
        <v>0.0092</v>
      </c>
      <c r="BI116" s="128">
        <v>773000</v>
      </c>
      <c r="BP116" s="128" t="s">
        <v>376</v>
      </c>
      <c r="BR116" s="128" t="s">
        <v>377</v>
      </c>
    </row>
    <row r="117" s="128" customFormat="1" hidden="1" customHeight="1" spans="1:70">
      <c r="A117" s="128">
        <v>16</v>
      </c>
      <c r="B117" s="128"/>
      <c r="C117" s="181">
        <v>45903</v>
      </c>
      <c r="D117" s="128">
        <v>20250004502</v>
      </c>
      <c r="G117" s="1016" t="s">
        <v>6369</v>
      </c>
      <c r="H117" s="128" t="s">
        <v>6370</v>
      </c>
      <c r="I117" s="1016" t="s">
        <v>6371</v>
      </c>
      <c r="J117" s="172" t="s">
        <v>6372</v>
      </c>
      <c r="K117" s="167">
        <v>133.94</v>
      </c>
      <c r="L117" s="168">
        <v>133.94</v>
      </c>
      <c r="M117" s="168">
        <v>5500</v>
      </c>
      <c r="N117" s="168">
        <v>736670</v>
      </c>
      <c r="O117" s="168">
        <f>5730.67-300</f>
        <v>5430.67</v>
      </c>
      <c r="P117" s="128">
        <v>675844.04</v>
      </c>
      <c r="Q117" s="1016" t="s">
        <v>6373</v>
      </c>
      <c r="R117" s="171">
        <v>46197</v>
      </c>
      <c r="T117" s="184"/>
      <c r="U117" s="128"/>
      <c r="V117" s="128" t="s">
        <v>383</v>
      </c>
      <c r="W117" s="128">
        <f>20000</f>
        <v>20000</v>
      </c>
      <c r="X117" s="184" t="s">
        <v>6374</v>
      </c>
      <c r="Y117" s="128">
        <f>97670+30000</f>
        <v>127670</v>
      </c>
      <c r="Z117" s="184" t="s">
        <v>6375</v>
      </c>
      <c r="AA117" s="128">
        <v>589000</v>
      </c>
      <c r="AB117" s="184">
        <v>45958</v>
      </c>
      <c r="AI117" s="168">
        <f t="shared" si="16"/>
        <v>736670</v>
      </c>
      <c r="AL117" s="128">
        <f t="shared" si="17"/>
        <v>0</v>
      </c>
      <c r="AM117" s="128">
        <v>15199395793</v>
      </c>
      <c r="AN117" s="128" t="s">
        <v>3480</v>
      </c>
      <c r="AP117" s="128">
        <f t="shared" si="15"/>
        <v>736670</v>
      </c>
      <c r="AQ117" s="178">
        <f>0.7%+0.08%+0.03%</f>
        <v>0.0081</v>
      </c>
      <c r="BC117" s="128">
        <v>147670</v>
      </c>
      <c r="BD117" s="128">
        <v>589000</v>
      </c>
      <c r="BP117" s="128" t="s">
        <v>2825</v>
      </c>
      <c r="BR117" s="128" t="s">
        <v>377</v>
      </c>
    </row>
    <row r="118" s="128" customFormat="1" hidden="1" customHeight="1" spans="1:70">
      <c r="A118" s="128">
        <v>17</v>
      </c>
      <c r="B118" s="128"/>
      <c r="C118" s="138">
        <v>46107</v>
      </c>
      <c r="D118" s="128">
        <v>20260001390</v>
      </c>
      <c r="G118" s="1016" t="s">
        <v>6376</v>
      </c>
      <c r="H118" s="128" t="s">
        <v>6377</v>
      </c>
      <c r="I118" s="1016" t="s">
        <v>6378</v>
      </c>
      <c r="J118" s="166" t="s">
        <v>6379</v>
      </c>
      <c r="K118" s="167">
        <v>134.8</v>
      </c>
      <c r="L118" s="168">
        <v>134.8</v>
      </c>
      <c r="M118" s="168">
        <v>5467</v>
      </c>
      <c r="N118" s="168">
        <v>736951</v>
      </c>
      <c r="O118" s="168">
        <f>5740.59-300</f>
        <v>5440.59</v>
      </c>
      <c r="P118" s="128">
        <v>676101.83</v>
      </c>
      <c r="Q118" s="1016" t="s">
        <v>6380</v>
      </c>
      <c r="R118" s="171">
        <v>46196</v>
      </c>
      <c r="T118" s="171"/>
      <c r="V118" s="128" t="s">
        <v>3511</v>
      </c>
      <c r="W118" s="128">
        <v>20000</v>
      </c>
      <c r="X118" s="171">
        <v>46082</v>
      </c>
      <c r="Y118" s="128">
        <v>100951</v>
      </c>
      <c r="Z118" s="171">
        <v>46107</v>
      </c>
      <c r="AA118" s="128">
        <v>27000</v>
      </c>
      <c r="AB118" s="171">
        <v>46142</v>
      </c>
      <c r="AC118" s="128">
        <v>589000</v>
      </c>
      <c r="AD118" s="171" t="s">
        <v>6381</v>
      </c>
      <c r="AI118" s="168">
        <f t="shared" si="16"/>
        <v>736951</v>
      </c>
      <c r="AL118" s="128">
        <f t="shared" si="17"/>
        <v>0</v>
      </c>
      <c r="AN118" s="128" t="s">
        <v>6362</v>
      </c>
      <c r="AP118" s="128">
        <f t="shared" si="15"/>
        <v>736951</v>
      </c>
      <c r="AQ118" s="178">
        <f t="shared" si="18"/>
        <v>0.0092</v>
      </c>
      <c r="BI118" s="128">
        <v>120951</v>
      </c>
      <c r="BK118" s="128">
        <v>616000</v>
      </c>
      <c r="BP118" s="128" t="s">
        <v>376</v>
      </c>
      <c r="BR118" s="128" t="s">
        <v>377</v>
      </c>
    </row>
    <row r="119" s="128" customFormat="1" hidden="1" customHeight="1" spans="1:70">
      <c r="A119" s="128">
        <v>18</v>
      </c>
      <c r="B119" s="128"/>
      <c r="C119" s="138">
        <v>45690</v>
      </c>
      <c r="D119" s="128">
        <v>20250000616</v>
      </c>
      <c r="G119" s="1016" t="s">
        <v>6382</v>
      </c>
      <c r="H119" s="128" t="s">
        <v>6383</v>
      </c>
      <c r="I119" s="1016" t="s">
        <v>3799</v>
      </c>
      <c r="J119" s="172" t="s">
        <v>6384</v>
      </c>
      <c r="K119" s="167">
        <v>133.94</v>
      </c>
      <c r="L119" s="168">
        <v>133.94</v>
      </c>
      <c r="M119" s="168">
        <v>6046.9</v>
      </c>
      <c r="N119" s="168">
        <v>809923</v>
      </c>
      <c r="O119" s="168">
        <v>6046.9</v>
      </c>
      <c r="P119" s="128">
        <v>743048.62</v>
      </c>
      <c r="Q119" s="1016" t="s">
        <v>6385</v>
      </c>
      <c r="R119" s="171">
        <v>46203</v>
      </c>
      <c r="S119" s="128"/>
      <c r="T119" s="128"/>
      <c r="U119" s="128"/>
      <c r="V119" s="128" t="s">
        <v>486</v>
      </c>
      <c r="W119" s="128">
        <f>20000</f>
        <v>20000</v>
      </c>
      <c r="X119" s="128" t="s">
        <v>6386</v>
      </c>
      <c r="Y119" s="128">
        <f>59923+50000</f>
        <v>109923</v>
      </c>
      <c r="Z119" s="128" t="s">
        <v>5917</v>
      </c>
      <c r="AA119" s="128">
        <v>680000</v>
      </c>
      <c r="AB119" s="128" t="s">
        <v>1057</v>
      </c>
      <c r="AI119" s="168">
        <f t="shared" si="16"/>
        <v>809923</v>
      </c>
      <c r="AL119" s="128">
        <f t="shared" si="17"/>
        <v>0</v>
      </c>
      <c r="AM119" s="128">
        <v>18095858818</v>
      </c>
      <c r="AN119" s="128" t="s">
        <v>6387</v>
      </c>
      <c r="AP119" s="168">
        <f t="shared" si="15"/>
        <v>809923</v>
      </c>
      <c r="AQ119" s="178">
        <f>0.7%+0.04%+0.12%+0.03%</f>
        <v>0.0089</v>
      </c>
      <c r="AV119" s="128">
        <v>129923</v>
      </c>
      <c r="AW119" s="128">
        <v>680000</v>
      </c>
      <c r="BP119" s="128" t="s">
        <v>376</v>
      </c>
      <c r="BR119" s="128" t="s">
        <v>377</v>
      </c>
    </row>
    <row r="120" s="128" customFormat="1" hidden="1" customHeight="1" spans="1:70">
      <c r="A120" s="128">
        <v>19</v>
      </c>
      <c r="B120" s="128"/>
      <c r="C120" s="138">
        <v>46090</v>
      </c>
      <c r="D120" s="128">
        <v>20260001097</v>
      </c>
      <c r="G120" s="1016" t="s">
        <v>197</v>
      </c>
      <c r="H120" s="128" t="s">
        <v>198</v>
      </c>
      <c r="I120" s="1016" t="s">
        <v>199</v>
      </c>
      <c r="J120" s="166" t="s">
        <v>200</v>
      </c>
      <c r="K120" s="167">
        <v>134.8</v>
      </c>
      <c r="L120" s="168">
        <v>134.8</v>
      </c>
      <c r="M120" s="168">
        <v>5490</v>
      </c>
      <c r="N120" s="168">
        <v>740052</v>
      </c>
      <c r="O120" s="168">
        <f>5762.32-300</f>
        <v>5462.32</v>
      </c>
      <c r="P120" s="128">
        <v>678946.79</v>
      </c>
      <c r="Q120" s="1016" t="s">
        <v>6388</v>
      </c>
      <c r="R120" s="171">
        <v>46202</v>
      </c>
      <c r="T120" s="171"/>
      <c r="V120" s="128" t="s">
        <v>3511</v>
      </c>
      <c r="W120" s="128">
        <v>20000</v>
      </c>
      <c r="X120" s="171">
        <v>46082</v>
      </c>
      <c r="Y120" s="128">
        <v>13052</v>
      </c>
      <c r="Z120" s="171">
        <v>46090</v>
      </c>
      <c r="AA120" s="128">
        <v>115000</v>
      </c>
      <c r="AB120" s="171" t="s">
        <v>6331</v>
      </c>
      <c r="AI120" s="168">
        <f t="shared" si="16"/>
        <v>148052</v>
      </c>
      <c r="AL120" s="128">
        <f t="shared" si="17"/>
        <v>592000</v>
      </c>
      <c r="AN120" s="128" t="s">
        <v>6362</v>
      </c>
      <c r="AP120" s="128">
        <f t="shared" si="15"/>
        <v>148052</v>
      </c>
      <c r="AQ120" s="178">
        <f t="shared" si="18"/>
        <v>0.0092</v>
      </c>
      <c r="BK120" s="128">
        <v>148052</v>
      </c>
      <c r="BP120" s="128" t="s">
        <v>376</v>
      </c>
      <c r="BR120" s="168" t="s">
        <v>6389</v>
      </c>
    </row>
    <row r="121" s="128" customFormat="1" hidden="1" customHeight="1" spans="1:70">
      <c r="A121" s="128">
        <v>20</v>
      </c>
      <c r="B121" s="128"/>
      <c r="C121" s="138">
        <v>46095</v>
      </c>
      <c r="D121" s="128">
        <v>20260001191</v>
      </c>
      <c r="G121" s="1016" t="s">
        <v>6390</v>
      </c>
      <c r="H121" s="128" t="s">
        <v>6391</v>
      </c>
      <c r="I121" s="1016" t="s">
        <v>6392</v>
      </c>
      <c r="J121" s="172" t="s">
        <v>6393</v>
      </c>
      <c r="K121" s="167">
        <v>133.94</v>
      </c>
      <c r="L121" s="168">
        <v>133.94</v>
      </c>
      <c r="M121" s="168">
        <v>5786.17</v>
      </c>
      <c r="N121" s="168">
        <v>775000</v>
      </c>
      <c r="O121" s="168">
        <v>5781.32</v>
      </c>
      <c r="P121" s="128">
        <v>711009.17</v>
      </c>
      <c r="Q121" s="1016" t="s">
        <v>6394</v>
      </c>
      <c r="R121" s="171">
        <v>46197</v>
      </c>
      <c r="S121" s="128"/>
      <c r="T121" s="171"/>
      <c r="U121" s="128"/>
      <c r="V121" s="128" t="s">
        <v>486</v>
      </c>
      <c r="W121" s="128">
        <v>15000</v>
      </c>
      <c r="X121" s="171">
        <v>46082</v>
      </c>
      <c r="Y121" s="128">
        <v>760000</v>
      </c>
      <c r="Z121" s="171">
        <v>46095</v>
      </c>
      <c r="AI121" s="168">
        <f t="shared" si="16"/>
        <v>775000</v>
      </c>
      <c r="AL121" s="128">
        <f t="shared" si="17"/>
        <v>0</v>
      </c>
      <c r="AP121" s="128">
        <f t="shared" si="15"/>
        <v>775000</v>
      </c>
      <c r="AQ121" s="178">
        <f>0.7%+0.04%+0.14%+0.03%</f>
        <v>0.0091</v>
      </c>
      <c r="BI121" s="128">
        <v>775000</v>
      </c>
      <c r="BP121" s="128" t="s">
        <v>376</v>
      </c>
      <c r="BR121" s="128" t="s">
        <v>377</v>
      </c>
    </row>
    <row r="122" s="128" customFormat="1" hidden="1" customHeight="1" spans="1:70">
      <c r="A122" s="128">
        <v>21</v>
      </c>
      <c r="B122" s="128"/>
      <c r="C122" s="138">
        <v>46024</v>
      </c>
      <c r="D122" s="128">
        <v>20260000162</v>
      </c>
      <c r="G122" s="1016" t="s">
        <v>6395</v>
      </c>
      <c r="H122" s="128" t="s">
        <v>6396</v>
      </c>
      <c r="I122" s="1016" t="s">
        <v>6397</v>
      </c>
      <c r="J122" s="166" t="s">
        <v>6398</v>
      </c>
      <c r="K122" s="167">
        <v>134.8</v>
      </c>
      <c r="L122" s="168">
        <v>134.8</v>
      </c>
      <c r="M122" s="168">
        <v>6379.82</v>
      </c>
      <c r="N122" s="168">
        <v>860000</v>
      </c>
      <c r="O122" s="168">
        <f>6647.43-300</f>
        <v>6347.43</v>
      </c>
      <c r="P122" s="128">
        <v>788990.83</v>
      </c>
      <c r="Q122" s="1016" t="s">
        <v>6399</v>
      </c>
      <c r="R122" s="171">
        <v>46196</v>
      </c>
      <c r="T122" s="171"/>
      <c r="U122" s="128"/>
      <c r="V122" s="128" t="s">
        <v>807</v>
      </c>
      <c r="W122" s="128">
        <v>20000</v>
      </c>
      <c r="X122" s="171">
        <v>45966</v>
      </c>
      <c r="Y122" s="128">
        <v>152000</v>
      </c>
      <c r="Z122" s="171">
        <v>46034</v>
      </c>
      <c r="AA122" s="128">
        <v>688000</v>
      </c>
      <c r="AB122" s="171">
        <v>46043</v>
      </c>
      <c r="AI122" s="168">
        <f t="shared" si="16"/>
        <v>860000</v>
      </c>
      <c r="AL122" s="128">
        <f t="shared" si="17"/>
        <v>0</v>
      </c>
      <c r="AM122" s="128">
        <v>18590388098</v>
      </c>
      <c r="AN122" s="128" t="s">
        <v>3480</v>
      </c>
      <c r="AP122" s="128">
        <f t="shared" si="15"/>
        <v>860000</v>
      </c>
      <c r="AQ122" s="178">
        <f>0.7%+0.08%+0.03%</f>
        <v>0.0081</v>
      </c>
      <c r="BG122" s="128">
        <v>860000</v>
      </c>
      <c r="BP122" s="128" t="s">
        <v>376</v>
      </c>
      <c r="BR122" s="128" t="s">
        <v>377</v>
      </c>
    </row>
    <row r="123" s="128" customFormat="1" hidden="1" customHeight="1" spans="1:70">
      <c r="A123" s="128">
        <v>22</v>
      </c>
      <c r="B123" s="128"/>
      <c r="C123" s="138">
        <v>46143</v>
      </c>
      <c r="D123" s="128">
        <v>20260001887</v>
      </c>
      <c r="E123" s="128" t="s">
        <v>202</v>
      </c>
      <c r="G123" s="1016" t="s">
        <v>203</v>
      </c>
      <c r="H123" s="128" t="s">
        <v>204</v>
      </c>
      <c r="J123" s="172" t="s">
        <v>205</v>
      </c>
      <c r="K123" s="167">
        <v>133.94</v>
      </c>
      <c r="L123" s="168">
        <v>133.94</v>
      </c>
      <c r="M123" s="168">
        <v>7565</v>
      </c>
      <c r="N123" s="168">
        <v>1013256</v>
      </c>
      <c r="O123" s="168">
        <v>7137.43</v>
      </c>
      <c r="P123" s="128">
        <v>929592.66</v>
      </c>
      <c r="Q123" s="1016" t="s">
        <v>6400</v>
      </c>
      <c r="R123" s="171">
        <v>46161</v>
      </c>
      <c r="S123" s="128"/>
      <c r="T123" s="128"/>
      <c r="U123" s="128"/>
      <c r="V123" s="128"/>
      <c r="W123" s="128">
        <v>1013256</v>
      </c>
      <c r="X123" s="128" t="s">
        <v>6019</v>
      </c>
      <c r="Y123" s="128"/>
      <c r="Z123" s="128"/>
      <c r="AI123" s="168">
        <f t="shared" si="16"/>
        <v>1013256</v>
      </c>
      <c r="AL123" s="128">
        <f t="shared" si="17"/>
        <v>0</v>
      </c>
      <c r="AM123" s="128">
        <v>18809960559</v>
      </c>
      <c r="AP123" s="128">
        <f t="shared" si="15"/>
        <v>0</v>
      </c>
      <c r="AQ123" s="178"/>
      <c r="BP123" s="128" t="s">
        <v>376</v>
      </c>
      <c r="BR123" s="128" t="s">
        <v>377</v>
      </c>
    </row>
    <row r="124" s="128" customFormat="1" hidden="1" customHeight="1" spans="1:70">
      <c r="A124" s="128">
        <v>23</v>
      </c>
      <c r="B124" s="128"/>
      <c r="C124" s="138">
        <v>45807</v>
      </c>
      <c r="D124" s="128">
        <v>20250002963</v>
      </c>
      <c r="G124" s="1016" t="s">
        <v>6401</v>
      </c>
      <c r="H124" s="128" t="s">
        <v>6402</v>
      </c>
      <c r="I124" s="128"/>
      <c r="J124" s="166" t="s">
        <v>6403</v>
      </c>
      <c r="K124" s="167">
        <v>122.81</v>
      </c>
      <c r="L124" s="168">
        <v>122.81</v>
      </c>
      <c r="M124" s="168">
        <v>8248.51</v>
      </c>
      <c r="N124" s="168">
        <v>1013000</v>
      </c>
      <c r="O124" s="168">
        <v>8248.51</v>
      </c>
      <c r="P124" s="179">
        <v>929357.8</v>
      </c>
      <c r="Q124" s="1016" t="s">
        <v>6404</v>
      </c>
      <c r="R124" s="171">
        <v>46196</v>
      </c>
      <c r="S124" s="128"/>
      <c r="T124" s="171"/>
      <c r="U124" s="128"/>
      <c r="V124" s="128"/>
      <c r="W124" s="128">
        <v>10000</v>
      </c>
      <c r="X124" s="128" t="s">
        <v>6153</v>
      </c>
      <c r="Y124" s="128">
        <f>88000+50000</f>
        <v>138000</v>
      </c>
      <c r="Z124" s="128" t="s">
        <v>4540</v>
      </c>
      <c r="AA124" s="128">
        <v>55000</v>
      </c>
      <c r="AB124" s="171">
        <v>45831</v>
      </c>
      <c r="AC124" s="128">
        <v>810000</v>
      </c>
      <c r="AD124" s="171">
        <v>45849</v>
      </c>
      <c r="AI124" s="168">
        <f t="shared" si="16"/>
        <v>1013000</v>
      </c>
      <c r="AL124" s="128">
        <f t="shared" si="17"/>
        <v>0</v>
      </c>
      <c r="AM124" s="128">
        <v>18099463321</v>
      </c>
      <c r="AN124" s="128" t="s">
        <v>6154</v>
      </c>
      <c r="AP124" s="168">
        <f t="shared" si="15"/>
        <v>1013000</v>
      </c>
      <c r="AQ124" s="178">
        <f>0.4%+0.02%+0.08%+0.03%</f>
        <v>0.0053</v>
      </c>
      <c r="AZ124" s="128">
        <v>203000</v>
      </c>
      <c r="BA124" s="128">
        <v>810000</v>
      </c>
      <c r="BP124" s="128" t="s">
        <v>376</v>
      </c>
      <c r="BR124" s="128" t="s">
        <v>377</v>
      </c>
    </row>
    <row r="125" s="128" customFormat="1" hidden="1" customHeight="1" spans="1:70">
      <c r="A125" s="128">
        <v>24</v>
      </c>
      <c r="B125" s="128"/>
      <c r="C125" s="138">
        <v>45778</v>
      </c>
      <c r="D125" s="128">
        <v>20250002346</v>
      </c>
      <c r="G125" s="1016" t="s">
        <v>6405</v>
      </c>
      <c r="H125" s="128" t="s">
        <v>6406</v>
      </c>
      <c r="I125" s="128"/>
      <c r="J125" s="172" t="s">
        <v>6407</v>
      </c>
      <c r="K125" s="167">
        <v>123.98</v>
      </c>
      <c r="L125" s="168">
        <v>123.98</v>
      </c>
      <c r="M125" s="168">
        <v>7904.5</v>
      </c>
      <c r="N125" s="168">
        <v>980000</v>
      </c>
      <c r="O125" s="168">
        <v>7904.5</v>
      </c>
      <c r="P125" s="128">
        <v>899082.57</v>
      </c>
      <c r="Q125" s="1016" t="s">
        <v>6408</v>
      </c>
      <c r="R125" s="171">
        <v>46196</v>
      </c>
      <c r="S125" s="128"/>
      <c r="T125" s="171"/>
      <c r="U125" s="128"/>
      <c r="V125" s="128"/>
      <c r="W125" s="128">
        <v>20000</v>
      </c>
      <c r="X125" s="128" t="s">
        <v>3249</v>
      </c>
      <c r="Y125" s="128">
        <v>142000</v>
      </c>
      <c r="Z125" s="128" t="s">
        <v>3681</v>
      </c>
      <c r="AA125" s="128">
        <v>34000</v>
      </c>
      <c r="AB125" s="128" t="s">
        <v>957</v>
      </c>
      <c r="AC125" s="128">
        <v>784000</v>
      </c>
      <c r="AD125" s="171">
        <v>45849</v>
      </c>
      <c r="AI125" s="168">
        <f t="shared" si="16"/>
        <v>980000</v>
      </c>
      <c r="AL125" s="128">
        <f t="shared" si="17"/>
        <v>0</v>
      </c>
      <c r="AM125" s="128">
        <v>13999220432</v>
      </c>
      <c r="AN125" s="128" t="s">
        <v>3480</v>
      </c>
      <c r="AP125" s="168">
        <f t="shared" si="15"/>
        <v>980000</v>
      </c>
      <c r="AQ125" s="178">
        <f>0.4%+0.02%+0.08%+0.03%</f>
        <v>0.0053</v>
      </c>
      <c r="AY125" s="128">
        <v>162000</v>
      </c>
      <c r="AZ125" s="128">
        <v>196000</v>
      </c>
      <c r="BA125" s="128">
        <v>622000</v>
      </c>
      <c r="BP125" s="128" t="s">
        <v>376</v>
      </c>
      <c r="BR125" s="128" t="s">
        <v>377</v>
      </c>
    </row>
    <row r="126" s="107" customFormat="1" hidden="1" customHeight="1" spans="1:70">
      <c r="A126" s="107">
        <v>25</v>
      </c>
      <c r="B126" s="107"/>
      <c r="C126" s="109"/>
      <c r="D126" s="107"/>
      <c r="J126" s="164" t="s">
        <v>6409</v>
      </c>
      <c r="K126" s="165">
        <v>133.94</v>
      </c>
      <c r="L126" s="157"/>
      <c r="M126" s="157"/>
      <c r="N126" s="157"/>
      <c r="O126" s="157">
        <v>5784.06</v>
      </c>
      <c r="P126" s="107"/>
      <c r="Q126" s="107"/>
      <c r="R126" s="107"/>
      <c r="S126" s="107"/>
      <c r="T126" s="107"/>
      <c r="U126" s="107"/>
      <c r="V126" s="128"/>
      <c r="W126" s="107"/>
      <c r="X126" s="107"/>
      <c r="Y126" s="107"/>
      <c r="Z126" s="107"/>
      <c r="AI126" s="157">
        <f t="shared" si="16"/>
        <v>0</v>
      </c>
      <c r="AP126" s="101">
        <f t="shared" si="15"/>
        <v>0</v>
      </c>
      <c r="AQ126" s="178"/>
    </row>
    <row r="127" s="107" customFormat="1" hidden="1" customHeight="1" spans="1:70">
      <c r="A127" s="107">
        <v>26</v>
      </c>
      <c r="B127" s="107"/>
      <c r="C127" s="109"/>
      <c r="D127" s="107"/>
      <c r="J127" s="170" t="s">
        <v>6410</v>
      </c>
      <c r="K127" s="165">
        <v>134.8</v>
      </c>
      <c r="L127" s="157"/>
      <c r="M127" s="157"/>
      <c r="N127" s="157"/>
      <c r="O127" s="157">
        <v>5789.06</v>
      </c>
      <c r="P127" s="107"/>
      <c r="Q127" s="107"/>
      <c r="R127" s="107"/>
      <c r="S127" s="107"/>
      <c r="T127" s="107"/>
      <c r="U127" s="107"/>
      <c r="V127" s="128"/>
      <c r="W127" s="107"/>
      <c r="X127" s="107"/>
      <c r="Y127" s="107"/>
      <c r="Z127" s="107"/>
      <c r="AI127" s="157">
        <f t="shared" si="16"/>
        <v>0</v>
      </c>
      <c r="AP127" s="101">
        <f t="shared" si="15"/>
        <v>0</v>
      </c>
      <c r="AQ127" s="178"/>
    </row>
    <row r="128" s="128" customFormat="1" hidden="1" customHeight="1" spans="1:70">
      <c r="A128" s="128">
        <v>27</v>
      </c>
      <c r="B128" s="128"/>
      <c r="C128" s="138">
        <v>45994</v>
      </c>
      <c r="D128" s="128">
        <v>20250006166</v>
      </c>
      <c r="G128" s="1016" t="s">
        <v>6411</v>
      </c>
      <c r="H128" s="128" t="s">
        <v>4202</v>
      </c>
      <c r="I128" s="128"/>
      <c r="J128" s="166" t="s">
        <v>6412</v>
      </c>
      <c r="K128" s="167">
        <v>133.94</v>
      </c>
      <c r="L128" s="168">
        <v>133.94</v>
      </c>
      <c r="M128" s="168">
        <v>5300</v>
      </c>
      <c r="N128" s="168">
        <v>709882</v>
      </c>
      <c r="O128" s="168">
        <v>5488.72</v>
      </c>
      <c r="P128" s="128">
        <v>651267.89</v>
      </c>
      <c r="Q128" s="1016" t="s">
        <v>6413</v>
      </c>
      <c r="R128" s="171">
        <v>46197</v>
      </c>
      <c r="S128" s="128"/>
      <c r="T128" s="171"/>
      <c r="U128" s="128"/>
      <c r="V128" s="128" t="s">
        <v>5897</v>
      </c>
      <c r="W128" s="128">
        <v>10000</v>
      </c>
      <c r="X128" s="171">
        <v>45984</v>
      </c>
      <c r="Y128" s="128">
        <v>98882</v>
      </c>
      <c r="Z128" s="171">
        <v>45994</v>
      </c>
      <c r="AA128" s="128">
        <v>51000</v>
      </c>
      <c r="AB128" s="171">
        <v>46003</v>
      </c>
      <c r="AC128" s="128">
        <v>550000</v>
      </c>
      <c r="AD128" s="171">
        <v>46016</v>
      </c>
      <c r="AI128" s="168">
        <f t="shared" si="16"/>
        <v>709882</v>
      </c>
      <c r="AL128" s="128">
        <f>N128-AI128</f>
        <v>0</v>
      </c>
      <c r="AM128" s="128">
        <v>15123334058</v>
      </c>
      <c r="AP128" s="128">
        <f t="shared" si="15"/>
        <v>709882</v>
      </c>
      <c r="AQ128" s="178">
        <f>0.7%+0.03%+0.08%+0.03%</f>
        <v>0.0084</v>
      </c>
      <c r="BF128" s="128">
        <v>709882</v>
      </c>
      <c r="BP128" s="128" t="s">
        <v>3376</v>
      </c>
      <c r="BR128" s="128" t="s">
        <v>377</v>
      </c>
    </row>
    <row r="129" s="128" customFormat="1" hidden="1" customHeight="1" spans="1:70">
      <c r="A129" s="128">
        <v>28</v>
      </c>
      <c r="B129" s="128"/>
      <c r="C129" s="138">
        <v>45715</v>
      </c>
      <c r="D129" s="128">
        <v>20250000882</v>
      </c>
      <c r="G129" s="1016" t="s">
        <v>6414</v>
      </c>
      <c r="H129" s="128" t="s">
        <v>6415</v>
      </c>
      <c r="I129" s="128"/>
      <c r="J129" s="166" t="s">
        <v>6416</v>
      </c>
      <c r="K129" s="167">
        <v>134.8</v>
      </c>
      <c r="L129" s="168">
        <v>134.8</v>
      </c>
      <c r="M129" s="168">
        <v>5500</v>
      </c>
      <c r="N129" s="168">
        <v>741400</v>
      </c>
      <c r="O129" s="168">
        <v>5843.72</v>
      </c>
      <c r="P129" s="128">
        <v>680183.49</v>
      </c>
      <c r="Q129" s="1016" t="s">
        <v>6417</v>
      </c>
      <c r="R129" s="171">
        <v>46197</v>
      </c>
      <c r="S129" s="128"/>
      <c r="T129" s="128"/>
      <c r="U129" s="128"/>
      <c r="V129" s="128" t="s">
        <v>496</v>
      </c>
      <c r="W129" s="128">
        <v>20000</v>
      </c>
      <c r="X129" s="128" t="s">
        <v>787</v>
      </c>
      <c r="Y129" s="128">
        <f>81400+50000</f>
        <v>131400</v>
      </c>
      <c r="Z129" s="128" t="s">
        <v>3468</v>
      </c>
      <c r="AA129" s="128">
        <v>590000</v>
      </c>
      <c r="AB129" s="128" t="s">
        <v>3469</v>
      </c>
      <c r="AI129" s="168">
        <f t="shared" si="16"/>
        <v>741400</v>
      </c>
      <c r="AL129" s="128">
        <f t="shared" ref="AL129:AL143" si="19">N129-AI129</f>
        <v>0</v>
      </c>
      <c r="AM129" s="128">
        <v>17393148471</v>
      </c>
      <c r="AN129" s="128" t="s">
        <v>3480</v>
      </c>
      <c r="AP129" s="168">
        <f t="shared" si="15"/>
        <v>741400</v>
      </c>
      <c r="AQ129" s="178">
        <f>0.4%+0.04%+0.12%+0.03%</f>
        <v>0.0059</v>
      </c>
      <c r="AV129" s="128">
        <v>151400</v>
      </c>
      <c r="AX129" s="128">
        <v>590000</v>
      </c>
      <c r="BP129" s="128" t="s">
        <v>376</v>
      </c>
      <c r="BR129" s="128" t="s">
        <v>377</v>
      </c>
    </row>
    <row r="130" s="128" customFormat="1" hidden="1" customHeight="1" spans="1:70">
      <c r="A130" s="128">
        <v>29</v>
      </c>
      <c r="B130" s="128"/>
      <c r="C130" s="138">
        <v>45873</v>
      </c>
      <c r="D130" s="128">
        <v>20250004067</v>
      </c>
      <c r="G130" s="1016" t="s">
        <v>6418</v>
      </c>
      <c r="H130" s="128" t="s">
        <v>6419</v>
      </c>
      <c r="I130" s="1016" t="s">
        <v>6420</v>
      </c>
      <c r="J130" s="172" t="s">
        <v>6421</v>
      </c>
      <c r="K130" s="167">
        <v>133.94</v>
      </c>
      <c r="L130" s="168">
        <v>133.94</v>
      </c>
      <c r="M130" s="168">
        <v>5850</v>
      </c>
      <c r="N130" s="168">
        <v>783549</v>
      </c>
      <c r="O130" s="168">
        <v>5871.32</v>
      </c>
      <c r="P130" s="128">
        <v>718852.29</v>
      </c>
      <c r="Q130" s="1016" t="s">
        <v>6422</v>
      </c>
      <c r="R130" s="171">
        <v>46197</v>
      </c>
      <c r="S130" s="128"/>
      <c r="T130" s="171"/>
      <c r="U130" s="128"/>
      <c r="V130" s="128" t="s">
        <v>373</v>
      </c>
      <c r="W130" s="128">
        <v>20000</v>
      </c>
      <c r="X130" s="171" t="s">
        <v>6423</v>
      </c>
      <c r="Y130" s="128">
        <f>46549+100000+167000</f>
        <v>313549</v>
      </c>
      <c r="Z130" s="171" t="s">
        <v>6424</v>
      </c>
      <c r="AA130" s="128">
        <v>450000</v>
      </c>
      <c r="AB130" s="171">
        <v>45923</v>
      </c>
      <c r="AI130" s="168">
        <f t="shared" si="16"/>
        <v>783549</v>
      </c>
      <c r="AL130" s="128">
        <f t="shared" si="19"/>
        <v>0</v>
      </c>
      <c r="AM130" s="128">
        <v>18699607991</v>
      </c>
      <c r="AN130" s="128" t="s">
        <v>6027</v>
      </c>
      <c r="AP130" s="128">
        <f t="shared" si="15"/>
        <v>783549</v>
      </c>
      <c r="AQ130" s="178">
        <f>0.7%+0.03%+0.08%+0.03%</f>
        <v>0.0084</v>
      </c>
      <c r="BB130" s="128">
        <v>333549</v>
      </c>
      <c r="BC130" s="128">
        <v>450000</v>
      </c>
      <c r="BP130" s="128" t="s">
        <v>2825</v>
      </c>
      <c r="BR130" s="128" t="s">
        <v>377</v>
      </c>
    </row>
    <row r="131" s="128" customFormat="1" hidden="1" customHeight="1" spans="1:70">
      <c r="A131" s="128">
        <v>30</v>
      </c>
      <c r="B131" s="128"/>
      <c r="C131" s="138">
        <v>45935</v>
      </c>
      <c r="D131" s="128">
        <v>20250005114</v>
      </c>
      <c r="G131" s="1016" t="s">
        <v>6425</v>
      </c>
      <c r="H131" s="128" t="s">
        <v>6426</v>
      </c>
      <c r="I131" s="1016" t="s">
        <v>6427</v>
      </c>
      <c r="J131" s="172" t="s">
        <v>6428</v>
      </c>
      <c r="K131" s="167">
        <v>134.8</v>
      </c>
      <c r="L131" s="168">
        <v>134.8</v>
      </c>
      <c r="M131" s="168">
        <v>5267.06</v>
      </c>
      <c r="N131" s="168">
        <v>710000</v>
      </c>
      <c r="O131" s="168">
        <f>5526.32-300</f>
        <v>5226.32</v>
      </c>
      <c r="P131" s="128">
        <v>651376.15</v>
      </c>
      <c r="Q131" s="1016" t="s">
        <v>6429</v>
      </c>
      <c r="R131" s="171">
        <v>46197</v>
      </c>
      <c r="T131" s="171"/>
      <c r="U131" s="128"/>
      <c r="V131" s="128" t="s">
        <v>6082</v>
      </c>
      <c r="W131" s="128">
        <v>142000</v>
      </c>
      <c r="X131" s="171">
        <v>45920</v>
      </c>
      <c r="Y131" s="128">
        <v>568000</v>
      </c>
      <c r="Z131" s="171">
        <v>46002</v>
      </c>
      <c r="AA131" s="128"/>
      <c r="AB131" s="128"/>
      <c r="AC131" s="128"/>
      <c r="AD131" s="128"/>
      <c r="AE131" s="128"/>
      <c r="AF131" s="128"/>
      <c r="AG131" s="128"/>
      <c r="AH131" s="128"/>
      <c r="AI131" s="168">
        <f t="shared" si="16"/>
        <v>710000</v>
      </c>
      <c r="AL131" s="128">
        <f t="shared" si="19"/>
        <v>0</v>
      </c>
      <c r="AM131" s="128">
        <v>15276158237</v>
      </c>
      <c r="AN131" s="128" t="s">
        <v>3480</v>
      </c>
      <c r="AO131" s="128"/>
      <c r="AP131" s="128">
        <f t="shared" si="15"/>
        <v>710000</v>
      </c>
      <c r="AQ131" s="178">
        <f>0.7%+0.03%+0.08%+0.03%</f>
        <v>0.0084</v>
      </c>
      <c r="AS131" s="176"/>
      <c r="AT131" s="176"/>
      <c r="AU131" s="176"/>
      <c r="AV131" s="176"/>
      <c r="AW131" s="176"/>
      <c r="AX131" s="176"/>
      <c r="AY131" s="176"/>
      <c r="AZ131" s="176"/>
      <c r="BA131" s="176"/>
      <c r="BB131" s="176"/>
      <c r="BD131" s="128">
        <v>142000</v>
      </c>
      <c r="BF131" s="128">
        <v>568000</v>
      </c>
      <c r="BP131" s="128" t="s">
        <v>3376</v>
      </c>
      <c r="BR131" s="128" t="s">
        <v>377</v>
      </c>
    </row>
    <row r="132" s="128" customFormat="1" hidden="1" customHeight="1" spans="1:70">
      <c r="A132" s="128">
        <v>31</v>
      </c>
      <c r="B132" s="128"/>
      <c r="C132" s="138">
        <v>45778</v>
      </c>
      <c r="D132" s="128">
        <v>20250002292</v>
      </c>
      <c r="G132" s="1016" t="s">
        <v>6430</v>
      </c>
      <c r="H132" s="128" t="s">
        <v>6431</v>
      </c>
      <c r="I132" s="128"/>
      <c r="J132" s="172" t="s">
        <v>6432</v>
      </c>
      <c r="K132" s="167">
        <v>133.94</v>
      </c>
      <c r="L132" s="168">
        <v>133.94</v>
      </c>
      <c r="M132" s="168">
        <v>5897.74</v>
      </c>
      <c r="N132" s="168">
        <v>789943</v>
      </c>
      <c r="O132" s="168">
        <v>5897.74</v>
      </c>
      <c r="P132" s="128">
        <v>724718.35</v>
      </c>
      <c r="Q132" s="1016" t="s">
        <v>6433</v>
      </c>
      <c r="R132" s="171">
        <v>46197</v>
      </c>
      <c r="S132" s="128"/>
      <c r="T132" s="128"/>
      <c r="U132" s="128"/>
      <c r="V132" s="128" t="s">
        <v>393</v>
      </c>
      <c r="W132" s="128">
        <v>20000</v>
      </c>
      <c r="X132" s="128" t="s">
        <v>6434</v>
      </c>
      <c r="Y132" s="128">
        <v>105943</v>
      </c>
      <c r="Z132" s="128" t="s">
        <v>3401</v>
      </c>
      <c r="AA132" s="128">
        <v>34000</v>
      </c>
      <c r="AB132" s="128" t="s">
        <v>3681</v>
      </c>
      <c r="AC132" s="128">
        <v>630000</v>
      </c>
      <c r="AD132" s="128" t="s">
        <v>3626</v>
      </c>
      <c r="AI132" s="168">
        <f t="shared" si="16"/>
        <v>789943</v>
      </c>
      <c r="AL132" s="128">
        <f t="shared" si="19"/>
        <v>0</v>
      </c>
      <c r="AM132" s="128">
        <v>13779698899</v>
      </c>
      <c r="AN132" s="128"/>
      <c r="AP132" s="168">
        <f t="shared" si="15"/>
        <v>789943</v>
      </c>
      <c r="AQ132" s="178">
        <f>0.4%+0.02%+0.08%+0.03%</f>
        <v>0.0053</v>
      </c>
      <c r="AY132" s="128">
        <v>159943</v>
      </c>
      <c r="AZ132" s="128">
        <v>630000</v>
      </c>
      <c r="BP132" s="128" t="s">
        <v>376</v>
      </c>
      <c r="BR132" s="128" t="s">
        <v>377</v>
      </c>
    </row>
    <row r="133" s="128" customFormat="1" hidden="1" customHeight="1" spans="1:70">
      <c r="A133" s="128">
        <v>32</v>
      </c>
      <c r="B133" s="128"/>
      <c r="C133" s="138">
        <v>45694</v>
      </c>
      <c r="D133" s="128">
        <v>20250000520</v>
      </c>
      <c r="G133" s="1016" t="s">
        <v>6435</v>
      </c>
      <c r="H133" s="128" t="s">
        <v>6436</v>
      </c>
      <c r="I133" s="1016" t="s">
        <v>6437</v>
      </c>
      <c r="J133" s="172" t="s">
        <v>6438</v>
      </c>
      <c r="K133" s="167">
        <v>134.8</v>
      </c>
      <c r="L133" s="168">
        <v>134.8</v>
      </c>
      <c r="M133" s="168">
        <v>5850</v>
      </c>
      <c r="N133" s="168">
        <v>788580</v>
      </c>
      <c r="O133" s="168">
        <v>5850</v>
      </c>
      <c r="P133" s="128">
        <v>723467.89</v>
      </c>
      <c r="Q133" s="1016" t="s">
        <v>6439</v>
      </c>
      <c r="R133" s="171">
        <v>46198</v>
      </c>
      <c r="S133" s="128"/>
      <c r="T133" s="128"/>
      <c r="U133" s="128"/>
      <c r="V133" s="128" t="s">
        <v>393</v>
      </c>
      <c r="W133" s="128">
        <v>10000</v>
      </c>
      <c r="X133" s="128" t="s">
        <v>3467</v>
      </c>
      <c r="Y133" s="128">
        <v>18580</v>
      </c>
      <c r="Z133" s="128" t="s">
        <v>623</v>
      </c>
      <c r="AA133" s="128">
        <v>160000</v>
      </c>
      <c r="AB133" s="128" t="s">
        <v>3584</v>
      </c>
      <c r="AC133" s="128">
        <v>600000</v>
      </c>
      <c r="AD133" s="128" t="s">
        <v>912</v>
      </c>
      <c r="AI133" s="168">
        <f t="shared" ref="AI133:AI167" si="20">W133+Y133+AA133+AC133+AE133+AG133</f>
        <v>788580</v>
      </c>
      <c r="AL133" s="128">
        <f t="shared" si="19"/>
        <v>0</v>
      </c>
      <c r="AM133" s="128">
        <v>15886864800</v>
      </c>
      <c r="AN133" s="128" t="s">
        <v>6387</v>
      </c>
      <c r="AP133" s="168">
        <f t="shared" ref="AP133:AP146" si="21">SUM(AR133:BM133)</f>
        <v>788580</v>
      </c>
      <c r="AQ133" s="178">
        <f>0.6%+0.04%+0.12%+0.03%</f>
        <v>0.0079</v>
      </c>
      <c r="AV133" s="128">
        <v>188580</v>
      </c>
      <c r="AW133" s="128">
        <v>600000</v>
      </c>
      <c r="BP133" s="128" t="s">
        <v>376</v>
      </c>
      <c r="BR133" s="128" t="s">
        <v>377</v>
      </c>
    </row>
    <row r="134" s="128" customFormat="1" hidden="1" customHeight="1" spans="1:70">
      <c r="A134" s="128">
        <v>33</v>
      </c>
      <c r="B134" s="128"/>
      <c r="C134" s="138">
        <v>45710</v>
      </c>
      <c r="D134" s="128">
        <v>20250000775</v>
      </c>
      <c r="G134" s="1016" t="s">
        <v>6440</v>
      </c>
      <c r="H134" s="128" t="s">
        <v>6441</v>
      </c>
      <c r="I134" s="1016" t="s">
        <v>6442</v>
      </c>
      <c r="J134" s="172" t="s">
        <v>6443</v>
      </c>
      <c r="K134" s="167">
        <v>133.94</v>
      </c>
      <c r="L134" s="168">
        <v>133.94</v>
      </c>
      <c r="M134" s="168">
        <v>5935.49</v>
      </c>
      <c r="N134" s="168">
        <v>795000</v>
      </c>
      <c r="O134" s="168">
        <v>6014.59</v>
      </c>
      <c r="P134" s="179">
        <v>729357.8</v>
      </c>
      <c r="Q134" s="1016" t="s">
        <v>6444</v>
      </c>
      <c r="R134" s="171">
        <v>46198</v>
      </c>
      <c r="S134" s="128"/>
      <c r="T134" s="128"/>
      <c r="U134" s="128"/>
      <c r="V134" s="128" t="s">
        <v>383</v>
      </c>
      <c r="W134" s="128">
        <v>20000</v>
      </c>
      <c r="X134" s="128" t="s">
        <v>6445</v>
      </c>
      <c r="Y134" s="128">
        <v>275000</v>
      </c>
      <c r="Z134" s="128" t="s">
        <v>526</v>
      </c>
      <c r="AA134" s="128">
        <v>500000</v>
      </c>
      <c r="AB134" s="128" t="s">
        <v>5918</v>
      </c>
      <c r="AI134" s="168">
        <f t="shared" si="20"/>
        <v>795000</v>
      </c>
      <c r="AL134" s="128">
        <f t="shared" si="19"/>
        <v>0</v>
      </c>
      <c r="AM134" s="128">
        <v>15276142737</v>
      </c>
      <c r="AN134" s="128" t="s">
        <v>6387</v>
      </c>
      <c r="AP134" s="168">
        <f t="shared" si="21"/>
        <v>795000</v>
      </c>
      <c r="AQ134" s="178">
        <f>0.7%+0.12%+0.03%</f>
        <v>0.0085</v>
      </c>
      <c r="AW134" s="128">
        <v>795000</v>
      </c>
      <c r="BP134" s="128" t="s">
        <v>376</v>
      </c>
      <c r="BR134" s="128" t="s">
        <v>377</v>
      </c>
    </row>
    <row r="135" s="128" customFormat="1" ht="33" hidden="1" customHeight="1" spans="1:70">
      <c r="A135" s="128">
        <v>34</v>
      </c>
      <c r="B135" s="128"/>
      <c r="C135" s="138">
        <v>45778</v>
      </c>
      <c r="D135" s="128">
        <v>20250002237</v>
      </c>
      <c r="G135" s="1016" t="s">
        <v>6446</v>
      </c>
      <c r="H135" s="177" t="s">
        <v>6447</v>
      </c>
      <c r="I135" s="1016" t="s">
        <v>4716</v>
      </c>
      <c r="J135" s="172" t="s">
        <v>6448</v>
      </c>
      <c r="K135" s="167">
        <v>134.8</v>
      </c>
      <c r="L135" s="168">
        <v>134.8</v>
      </c>
      <c r="M135" s="168">
        <v>5953</v>
      </c>
      <c r="N135" s="168">
        <v>802464</v>
      </c>
      <c r="O135" s="168">
        <v>5669.59</v>
      </c>
      <c r="P135" s="179">
        <v>736205.5</v>
      </c>
      <c r="Q135" s="1016" t="s">
        <v>6449</v>
      </c>
      <c r="R135" s="171">
        <v>46198</v>
      </c>
      <c r="S135" s="128"/>
      <c r="T135" s="128"/>
      <c r="U135" s="128"/>
      <c r="V135" s="128"/>
      <c r="W135" s="128">
        <v>20000</v>
      </c>
      <c r="X135" s="128" t="s">
        <v>6450</v>
      </c>
      <c r="Y135" s="128">
        <v>172464</v>
      </c>
      <c r="Z135" s="128" t="s">
        <v>3681</v>
      </c>
      <c r="AA135" s="128">
        <v>50000</v>
      </c>
      <c r="AB135" s="128" t="s">
        <v>3461</v>
      </c>
      <c r="AC135" s="128">
        <v>560000</v>
      </c>
      <c r="AD135" s="128" t="s">
        <v>3075</v>
      </c>
      <c r="AE135" s="128"/>
      <c r="AF135" s="128"/>
      <c r="AI135" s="168">
        <f t="shared" si="20"/>
        <v>802464</v>
      </c>
      <c r="AL135" s="128">
        <f t="shared" si="19"/>
        <v>0</v>
      </c>
      <c r="AM135" s="128">
        <v>18799093389</v>
      </c>
      <c r="AN135" s="128" t="s">
        <v>6387</v>
      </c>
      <c r="AP135" s="168">
        <f t="shared" si="21"/>
        <v>802464</v>
      </c>
      <c r="AQ135" s="178">
        <f>0.7%+0.08%+0.03%</f>
        <v>0.0081</v>
      </c>
      <c r="AY135" s="128">
        <v>242464</v>
      </c>
      <c r="AZ135" s="128">
        <v>560000</v>
      </c>
      <c r="BP135" s="128" t="s">
        <v>376</v>
      </c>
      <c r="BR135" s="128" t="s">
        <v>377</v>
      </c>
    </row>
    <row r="136" s="128" customFormat="1" hidden="1" customHeight="1" spans="1:70">
      <c r="A136" s="128">
        <v>35</v>
      </c>
      <c r="B136" s="128"/>
      <c r="C136" s="138">
        <v>45644</v>
      </c>
      <c r="D136" s="128">
        <v>20240007336</v>
      </c>
      <c r="G136" s="1016" t="s">
        <v>6451</v>
      </c>
      <c r="H136" s="128" t="s">
        <v>6452</v>
      </c>
      <c r="I136" s="1016" t="s">
        <v>6453</v>
      </c>
      <c r="J136" s="172" t="s">
        <v>6454</v>
      </c>
      <c r="K136" s="167">
        <v>133.94</v>
      </c>
      <c r="L136" s="168">
        <v>133.94</v>
      </c>
      <c r="M136" s="168">
        <v>5786.17</v>
      </c>
      <c r="N136" s="168">
        <v>775000</v>
      </c>
      <c r="O136" s="168">
        <v>6063.5</v>
      </c>
      <c r="P136" s="128">
        <v>711009.17</v>
      </c>
      <c r="Q136" s="1016" t="s">
        <v>6455</v>
      </c>
      <c r="R136" s="171">
        <v>46197</v>
      </c>
      <c r="S136" s="128"/>
      <c r="T136" s="128"/>
      <c r="U136" s="128"/>
      <c r="V136" s="128" t="s">
        <v>772</v>
      </c>
      <c r="W136" s="128">
        <f>175000+20000</f>
        <v>195000</v>
      </c>
      <c r="X136" s="128" t="s">
        <v>6456</v>
      </c>
      <c r="Y136" s="128">
        <v>580000</v>
      </c>
      <c r="Z136" s="128" t="s">
        <v>622</v>
      </c>
      <c r="AI136" s="168">
        <f t="shared" si="20"/>
        <v>775000</v>
      </c>
      <c r="AL136" s="128">
        <f t="shared" si="19"/>
        <v>0</v>
      </c>
      <c r="AM136" s="128">
        <v>13036585672</v>
      </c>
      <c r="AN136" s="128" t="s">
        <v>3450</v>
      </c>
      <c r="AP136" s="168">
        <f t="shared" si="21"/>
        <v>775000</v>
      </c>
      <c r="AQ136" s="178">
        <f>0.6%+0.04%+0.12%+0.03%</f>
        <v>0.0079</v>
      </c>
      <c r="AT136" s="128">
        <v>195000</v>
      </c>
      <c r="AU136" s="128">
        <v>580000</v>
      </c>
      <c r="BP136" s="128" t="s">
        <v>376</v>
      </c>
      <c r="BR136" s="128" t="s">
        <v>377</v>
      </c>
    </row>
    <row r="137" s="128" customFormat="1" hidden="1" customHeight="1" spans="1:70">
      <c r="A137" s="128">
        <v>36</v>
      </c>
      <c r="B137" s="128"/>
      <c r="C137" s="138">
        <v>45724</v>
      </c>
      <c r="D137" s="128">
        <v>20250001143</v>
      </c>
      <c r="G137" s="1016" t="s">
        <v>6457</v>
      </c>
      <c r="H137" s="128" t="s">
        <v>6458</v>
      </c>
      <c r="I137" s="1016" t="s">
        <v>6459</v>
      </c>
      <c r="J137" s="172" t="s">
        <v>6460</v>
      </c>
      <c r="K137" s="167">
        <v>134.8</v>
      </c>
      <c r="L137" s="168">
        <v>134.8</v>
      </c>
      <c r="M137" s="168">
        <v>6001.48</v>
      </c>
      <c r="N137" s="168">
        <v>809000</v>
      </c>
      <c r="O137" s="168">
        <v>6001.48</v>
      </c>
      <c r="P137" s="128">
        <v>742201.83</v>
      </c>
      <c r="Q137" s="1016" t="s">
        <v>6461</v>
      </c>
      <c r="R137" s="171">
        <v>46198</v>
      </c>
      <c r="S137" s="128"/>
      <c r="T137" s="128"/>
      <c r="U137" s="128"/>
      <c r="V137" s="128" t="s">
        <v>400</v>
      </c>
      <c r="W137" s="128">
        <v>20000</v>
      </c>
      <c r="X137" s="128" t="s">
        <v>4015</v>
      </c>
      <c r="Y137" s="128">
        <v>92000</v>
      </c>
      <c r="Z137" s="128" t="s">
        <v>5028</v>
      </c>
      <c r="AA137" s="128">
        <v>50000</v>
      </c>
      <c r="AB137" s="128" t="s">
        <v>3459</v>
      </c>
      <c r="AC137" s="128">
        <v>647000</v>
      </c>
      <c r="AD137" s="128" t="s">
        <v>2807</v>
      </c>
      <c r="AI137" s="168">
        <f t="shared" si="20"/>
        <v>809000</v>
      </c>
      <c r="AL137" s="128">
        <f t="shared" si="19"/>
        <v>0</v>
      </c>
      <c r="AM137" s="128">
        <v>18154898660</v>
      </c>
      <c r="AN137" s="128" t="s">
        <v>3654</v>
      </c>
      <c r="AP137" s="168">
        <f t="shared" si="21"/>
        <v>809000</v>
      </c>
      <c r="AQ137" s="178">
        <f>0.5%+0.02%+0.08%+0.03%</f>
        <v>0.0063</v>
      </c>
      <c r="AW137" s="128">
        <v>162000</v>
      </c>
      <c r="AX137" s="128">
        <v>647000</v>
      </c>
      <c r="BP137" s="128" t="s">
        <v>376</v>
      </c>
      <c r="BR137" s="128" t="s">
        <v>377</v>
      </c>
    </row>
    <row r="138" s="128" customFormat="1" hidden="1" customHeight="1" spans="1:70">
      <c r="A138" s="128">
        <v>37</v>
      </c>
      <c r="B138" s="128"/>
      <c r="C138" s="138">
        <v>45778</v>
      </c>
      <c r="D138" s="128">
        <v>20250002316</v>
      </c>
      <c r="G138" s="1016" t="s">
        <v>6462</v>
      </c>
      <c r="H138" s="128" t="s">
        <v>6463</v>
      </c>
      <c r="I138" s="128"/>
      <c r="J138" s="172" t="s">
        <v>6464</v>
      </c>
      <c r="K138" s="167">
        <v>133.94</v>
      </c>
      <c r="L138" s="168">
        <v>133.94</v>
      </c>
      <c r="M138" s="168">
        <v>5748.84</v>
      </c>
      <c r="N138" s="168">
        <v>770000</v>
      </c>
      <c r="O138" s="168">
        <v>5748.84</v>
      </c>
      <c r="P138" s="128">
        <v>706422.02</v>
      </c>
      <c r="Q138" s="1016" t="s">
        <v>6465</v>
      </c>
      <c r="R138" s="171">
        <v>46198</v>
      </c>
      <c r="S138" s="128"/>
      <c r="T138" s="171"/>
      <c r="U138" s="128"/>
      <c r="V138" s="128"/>
      <c r="W138" s="128">
        <v>10000</v>
      </c>
      <c r="X138" s="128" t="s">
        <v>3223</v>
      </c>
      <c r="Y138" s="128">
        <v>4000</v>
      </c>
      <c r="Z138" s="128" t="s">
        <v>3681</v>
      </c>
      <c r="AA138" s="128">
        <v>216000</v>
      </c>
      <c r="AB138" s="128" t="s">
        <v>3153</v>
      </c>
      <c r="AC138" s="128">
        <v>540000</v>
      </c>
      <c r="AD138" s="171">
        <v>45849</v>
      </c>
      <c r="AI138" s="168">
        <f t="shared" si="20"/>
        <v>770000</v>
      </c>
      <c r="AL138" s="128">
        <f t="shared" si="19"/>
        <v>0</v>
      </c>
      <c r="AM138" s="128">
        <v>18690686030</v>
      </c>
      <c r="AN138" s="128" t="s">
        <v>3480</v>
      </c>
      <c r="AP138" s="168">
        <f t="shared" si="21"/>
        <v>770000</v>
      </c>
      <c r="AQ138" s="178">
        <f>0.4%+0.02%+0.08%+0.03%</f>
        <v>0.0053</v>
      </c>
      <c r="AY138" s="128">
        <v>230000</v>
      </c>
      <c r="BA138" s="128">
        <v>540000</v>
      </c>
      <c r="BP138" s="128" t="s">
        <v>376</v>
      </c>
      <c r="BR138" s="128" t="s">
        <v>377</v>
      </c>
    </row>
    <row r="139" s="128" customFormat="1" hidden="1" customHeight="1" spans="1:70">
      <c r="A139" s="128">
        <v>38</v>
      </c>
      <c r="B139" s="128"/>
      <c r="C139" s="138">
        <v>45780</v>
      </c>
      <c r="D139" s="128">
        <v>20250002436</v>
      </c>
      <c r="G139" s="1016" t="s">
        <v>6466</v>
      </c>
      <c r="H139" s="128" t="s">
        <v>6467</v>
      </c>
      <c r="I139" s="1016" t="s">
        <v>6468</v>
      </c>
      <c r="J139" s="172" t="s">
        <v>6469</v>
      </c>
      <c r="K139" s="167">
        <v>134.8</v>
      </c>
      <c r="L139" s="168">
        <v>134.8</v>
      </c>
      <c r="M139" s="168">
        <v>5800</v>
      </c>
      <c r="N139" s="168">
        <v>781840</v>
      </c>
      <c r="O139" s="168">
        <v>5800</v>
      </c>
      <c r="P139" s="179">
        <v>717284.4</v>
      </c>
      <c r="Q139" s="1016" t="s">
        <v>6470</v>
      </c>
      <c r="R139" s="171">
        <v>46198</v>
      </c>
      <c r="S139" s="128"/>
      <c r="T139" s="128"/>
      <c r="U139" s="128"/>
      <c r="V139" s="128" t="s">
        <v>772</v>
      </c>
      <c r="W139" s="128">
        <v>20000</v>
      </c>
      <c r="X139" s="128" t="s">
        <v>3786</v>
      </c>
      <c r="Y139" s="128">
        <v>761840</v>
      </c>
      <c r="Z139" s="128" t="s">
        <v>2807</v>
      </c>
      <c r="AI139" s="168">
        <f t="shared" si="20"/>
        <v>781840</v>
      </c>
      <c r="AL139" s="128">
        <f t="shared" si="19"/>
        <v>0</v>
      </c>
      <c r="AM139" s="128">
        <v>18999610957</v>
      </c>
      <c r="AN139" s="128" t="s">
        <v>6471</v>
      </c>
      <c r="AP139" s="168">
        <f t="shared" si="21"/>
        <v>781840</v>
      </c>
      <c r="AQ139" s="178">
        <f>0.7%+0.02%+0.08%+0.03%</f>
        <v>0.0083</v>
      </c>
      <c r="AY139" s="128">
        <v>781840</v>
      </c>
      <c r="BP139" s="128" t="s">
        <v>376</v>
      </c>
      <c r="BR139" s="128" t="s">
        <v>377</v>
      </c>
    </row>
    <row r="140" s="128" customFormat="1" hidden="1" customHeight="1" spans="1:70">
      <c r="A140" s="128">
        <v>39</v>
      </c>
      <c r="B140" s="128"/>
      <c r="C140" s="138">
        <v>45736</v>
      </c>
      <c r="D140" s="128">
        <v>20250001427</v>
      </c>
      <c r="G140" s="1016" t="s">
        <v>6472</v>
      </c>
      <c r="H140" s="128" t="s">
        <v>6473</v>
      </c>
      <c r="I140" s="1016" t="s">
        <v>460</v>
      </c>
      <c r="J140" s="172" t="s">
        <v>6474</v>
      </c>
      <c r="K140" s="167">
        <v>133.94</v>
      </c>
      <c r="L140" s="168">
        <v>133.94</v>
      </c>
      <c r="M140" s="168">
        <v>6002.69</v>
      </c>
      <c r="N140" s="168">
        <v>804000</v>
      </c>
      <c r="O140" s="168">
        <v>6002.69</v>
      </c>
      <c r="P140" s="128">
        <v>737614.68</v>
      </c>
      <c r="Q140" s="1016" t="s">
        <v>6475</v>
      </c>
      <c r="R140" s="171">
        <v>46198</v>
      </c>
      <c r="S140" s="128"/>
      <c r="T140" s="128"/>
      <c r="U140" s="128"/>
      <c r="V140" s="128" t="s">
        <v>772</v>
      </c>
      <c r="W140" s="128">
        <v>10000</v>
      </c>
      <c r="X140" s="128" t="s">
        <v>4968</v>
      </c>
      <c r="Y140" s="128">
        <v>204000</v>
      </c>
      <c r="Z140" s="128" t="s">
        <v>3015</v>
      </c>
      <c r="AA140" s="128">
        <v>590000</v>
      </c>
      <c r="AB140" s="128" t="s">
        <v>3460</v>
      </c>
      <c r="AI140" s="168">
        <f t="shared" si="20"/>
        <v>804000</v>
      </c>
      <c r="AL140" s="128">
        <f t="shared" si="19"/>
        <v>0</v>
      </c>
      <c r="AM140" s="128">
        <v>13667569460</v>
      </c>
      <c r="AN140" s="128" t="s">
        <v>3402</v>
      </c>
      <c r="AP140" s="168">
        <f t="shared" si="21"/>
        <v>804000</v>
      </c>
      <c r="AQ140" s="178">
        <f>0.7%+0.02%+0.08%+0.03%</f>
        <v>0.0083</v>
      </c>
      <c r="AW140" s="128">
        <v>214000</v>
      </c>
      <c r="AX140" s="128">
        <v>590000</v>
      </c>
      <c r="BP140" s="128" t="s">
        <v>376</v>
      </c>
      <c r="BR140" s="128" t="s">
        <v>377</v>
      </c>
    </row>
    <row r="141" s="128" customFormat="1" hidden="1" customHeight="1" spans="1:70">
      <c r="A141" s="128">
        <v>40</v>
      </c>
      <c r="B141" s="128"/>
      <c r="C141" s="138">
        <v>45733</v>
      </c>
      <c r="D141" s="128">
        <v>20250001323</v>
      </c>
      <c r="G141" s="1016" t="s">
        <v>6476</v>
      </c>
      <c r="H141" s="128" t="s">
        <v>6477</v>
      </c>
      <c r="I141" s="1016" t="s">
        <v>6478</v>
      </c>
      <c r="J141" s="172" t="s">
        <v>6479</v>
      </c>
      <c r="K141" s="167">
        <v>134.8</v>
      </c>
      <c r="L141" s="168">
        <v>134.8</v>
      </c>
      <c r="M141" s="168">
        <v>5786.35</v>
      </c>
      <c r="N141" s="168">
        <v>780000</v>
      </c>
      <c r="O141" s="168">
        <v>5786.35</v>
      </c>
      <c r="P141" s="128">
        <v>715596.33</v>
      </c>
      <c r="Q141" s="1016" t="s">
        <v>6480</v>
      </c>
      <c r="R141" s="171">
        <v>46198</v>
      </c>
      <c r="S141" s="128"/>
      <c r="T141" s="171"/>
      <c r="U141" s="128"/>
      <c r="V141" s="128" t="s">
        <v>410</v>
      </c>
      <c r="W141" s="128">
        <f>40000+380000+20000</f>
        <v>440000</v>
      </c>
      <c r="X141" s="128" t="s">
        <v>5789</v>
      </c>
      <c r="Y141" s="128">
        <f>80000+60000</f>
        <v>140000</v>
      </c>
      <c r="Z141" s="171">
        <v>45846</v>
      </c>
      <c r="AA141" s="128">
        <v>200000</v>
      </c>
      <c r="AB141" s="171">
        <v>45863</v>
      </c>
      <c r="AI141" s="168">
        <f t="shared" si="20"/>
        <v>780000</v>
      </c>
      <c r="AL141" s="128">
        <f t="shared" si="19"/>
        <v>0</v>
      </c>
      <c r="AM141" s="128">
        <v>18196261195</v>
      </c>
      <c r="AN141" s="128" t="s">
        <v>3480</v>
      </c>
      <c r="AP141" s="128">
        <f t="shared" si="21"/>
        <v>780000</v>
      </c>
      <c r="AQ141" s="178">
        <f>0.7%+0.08%+0.03%</f>
        <v>0.0081</v>
      </c>
      <c r="BA141" s="128">
        <v>780000</v>
      </c>
      <c r="BP141" s="128" t="s">
        <v>376</v>
      </c>
      <c r="BR141" s="128" t="s">
        <v>377</v>
      </c>
    </row>
    <row r="142" s="128" customFormat="1" hidden="1" customHeight="1" spans="1:70">
      <c r="A142" s="128">
        <v>41</v>
      </c>
      <c r="B142" s="128"/>
      <c r="C142" s="138">
        <v>45568</v>
      </c>
      <c r="D142" s="128">
        <v>20240005755</v>
      </c>
      <c r="G142" s="1016" t="s">
        <v>6481</v>
      </c>
      <c r="H142" s="128" t="s">
        <v>6482</v>
      </c>
      <c r="J142" s="172" t="s">
        <v>6483</v>
      </c>
      <c r="K142" s="167">
        <v>133.94</v>
      </c>
      <c r="L142" s="168">
        <v>133.94</v>
      </c>
      <c r="M142" s="168">
        <v>6141.32</v>
      </c>
      <c r="N142" s="168">
        <v>822569</v>
      </c>
      <c r="O142" s="168">
        <v>6141.32</v>
      </c>
      <c r="P142" s="128">
        <v>754650.46</v>
      </c>
      <c r="Q142" s="1016" t="s">
        <v>6484</v>
      </c>
      <c r="R142" s="171">
        <v>46198</v>
      </c>
      <c r="V142" s="128" t="s">
        <v>677</v>
      </c>
      <c r="W142" s="128">
        <v>20000</v>
      </c>
      <c r="X142" s="128" t="s">
        <v>374</v>
      </c>
      <c r="Y142" s="128">
        <v>114569</v>
      </c>
      <c r="Z142" s="128" t="s">
        <v>888</v>
      </c>
      <c r="AA142" s="128">
        <v>30000</v>
      </c>
      <c r="AB142" s="128" t="s">
        <v>1022</v>
      </c>
      <c r="AC142" s="128">
        <v>658000</v>
      </c>
      <c r="AD142" s="128" t="s">
        <v>622</v>
      </c>
      <c r="AE142" s="128"/>
      <c r="AF142" s="171"/>
      <c r="AI142" s="168">
        <f t="shared" si="20"/>
        <v>822569</v>
      </c>
      <c r="AL142" s="128">
        <f t="shared" si="19"/>
        <v>0</v>
      </c>
      <c r="AM142" s="128">
        <v>13171242535</v>
      </c>
      <c r="AN142" s="128" t="s">
        <v>4698</v>
      </c>
      <c r="AP142" s="168">
        <f t="shared" si="21"/>
        <v>822569</v>
      </c>
      <c r="AQ142" s="178">
        <f>0.5%+0.02%+0.08%+0.03%</f>
        <v>0.0063</v>
      </c>
      <c r="AS142" s="128">
        <v>164569</v>
      </c>
      <c r="AU142" s="128">
        <v>658000</v>
      </c>
      <c r="BP142" s="128" t="s">
        <v>376</v>
      </c>
      <c r="BR142" s="128" t="s">
        <v>377</v>
      </c>
    </row>
    <row r="143" s="128" customFormat="1" hidden="1" customHeight="1" spans="1:70">
      <c r="A143" s="128">
        <v>42</v>
      </c>
      <c r="B143" s="128"/>
      <c r="C143" s="138">
        <v>45990</v>
      </c>
      <c r="D143" s="128">
        <v>20250006082</v>
      </c>
      <c r="G143" s="1019" t="s">
        <v>6485</v>
      </c>
      <c r="H143" s="128" t="s">
        <v>6486</v>
      </c>
      <c r="I143" s="1016" t="s">
        <v>6487</v>
      </c>
      <c r="J143" s="172" t="s">
        <v>6488</v>
      </c>
      <c r="K143" s="167">
        <v>134.8</v>
      </c>
      <c r="L143" s="168">
        <v>134.8</v>
      </c>
      <c r="M143" s="168">
        <v>5500</v>
      </c>
      <c r="N143" s="168">
        <v>741400</v>
      </c>
      <c r="O143" s="168">
        <f>5796.32-300</f>
        <v>5496.32</v>
      </c>
      <c r="P143" s="128">
        <v>680183.49</v>
      </c>
      <c r="Q143" s="1016" t="s">
        <v>6489</v>
      </c>
      <c r="R143" s="171">
        <v>46198</v>
      </c>
      <c r="T143" s="171"/>
      <c r="U143" s="128"/>
      <c r="V143" s="128" t="s">
        <v>807</v>
      </c>
      <c r="W143" s="128">
        <v>10000</v>
      </c>
      <c r="X143" s="171">
        <v>45979</v>
      </c>
      <c r="Y143" s="128">
        <v>331400</v>
      </c>
      <c r="Z143" s="171">
        <v>45990</v>
      </c>
      <c r="AA143" s="128">
        <v>400000</v>
      </c>
      <c r="AB143" s="171">
        <v>46002</v>
      </c>
      <c r="AI143" s="168">
        <f t="shared" si="20"/>
        <v>741400</v>
      </c>
      <c r="AL143" s="128">
        <f t="shared" si="19"/>
        <v>0</v>
      </c>
      <c r="AM143" s="128">
        <v>13999612670</v>
      </c>
      <c r="AN143" s="128" t="s">
        <v>3480</v>
      </c>
      <c r="AP143" s="128">
        <f t="shared" si="21"/>
        <v>741400</v>
      </c>
      <c r="AQ143" s="178">
        <f>0.7%+0.08%+0.03%</f>
        <v>0.0081</v>
      </c>
      <c r="BF143" s="128">
        <v>741400</v>
      </c>
      <c r="BP143" s="128" t="s">
        <v>3376</v>
      </c>
      <c r="BR143" s="128" t="s">
        <v>377</v>
      </c>
    </row>
    <row r="144" s="107" customFormat="1" hidden="1" customHeight="1" spans="1:70">
      <c r="A144" s="107">
        <v>43</v>
      </c>
      <c r="B144" s="107"/>
      <c r="C144" s="109"/>
      <c r="D144" s="107"/>
      <c r="J144" s="170" t="s">
        <v>6490</v>
      </c>
      <c r="K144" s="165">
        <v>133.94</v>
      </c>
      <c r="L144" s="157"/>
      <c r="M144" s="157"/>
      <c r="N144" s="157"/>
      <c r="O144" s="157">
        <v>7147.43</v>
      </c>
      <c r="P144" s="107"/>
      <c r="Q144" s="107"/>
      <c r="R144" s="107"/>
      <c r="S144" s="107"/>
      <c r="T144" s="107"/>
      <c r="U144" s="107"/>
      <c r="V144" s="128"/>
      <c r="W144" s="107"/>
      <c r="X144" s="107"/>
      <c r="Y144" s="107"/>
      <c r="Z144" s="107"/>
      <c r="AI144" s="157">
        <f t="shared" si="20"/>
        <v>0</v>
      </c>
      <c r="AP144" s="101">
        <f t="shared" si="21"/>
        <v>0</v>
      </c>
      <c r="AQ144" s="178"/>
    </row>
    <row r="145" s="128" customFormat="1" hidden="1" customHeight="1" spans="1:70">
      <c r="A145" s="128">
        <v>44</v>
      </c>
      <c r="B145" s="128"/>
      <c r="C145" s="138">
        <v>46125</v>
      </c>
      <c r="D145" s="128">
        <v>20260001640</v>
      </c>
      <c r="G145" s="1016" t="s">
        <v>207</v>
      </c>
      <c r="H145" s="128" t="s">
        <v>208</v>
      </c>
      <c r="I145" s="1016" t="s">
        <v>209</v>
      </c>
      <c r="J145" s="172" t="s">
        <v>210</v>
      </c>
      <c r="K145" s="167">
        <v>134.8</v>
      </c>
      <c r="L145" s="168">
        <v>134.8</v>
      </c>
      <c r="M145" s="168">
        <v>6400</v>
      </c>
      <c r="N145" s="168">
        <v>862720</v>
      </c>
      <c r="O145" s="168">
        <v>7152.43</v>
      </c>
      <c r="P145" s="128">
        <v>791486.24</v>
      </c>
      <c r="Q145" s="1016" t="s">
        <v>6491</v>
      </c>
      <c r="R145" s="171">
        <v>46177</v>
      </c>
      <c r="S145" s="128"/>
      <c r="T145" s="128"/>
      <c r="U145" s="128"/>
      <c r="V145" s="128" t="s">
        <v>3511</v>
      </c>
      <c r="W145" s="128">
        <v>20000</v>
      </c>
      <c r="X145" s="128" t="s">
        <v>6492</v>
      </c>
      <c r="Y145" s="128">
        <v>342720</v>
      </c>
      <c r="Z145" s="171">
        <v>46125</v>
      </c>
      <c r="AA145" s="128">
        <v>500000</v>
      </c>
      <c r="AB145" s="128" t="s">
        <v>6493</v>
      </c>
      <c r="AI145" s="168">
        <f t="shared" si="20"/>
        <v>862720</v>
      </c>
      <c r="AL145" s="128">
        <f>N145-AI145</f>
        <v>0</v>
      </c>
      <c r="AM145" s="128">
        <v>18611916068</v>
      </c>
      <c r="AP145" s="128">
        <f t="shared" si="21"/>
        <v>862720</v>
      </c>
      <c r="AQ145" s="178">
        <f>0.7%+0.05%+0.14%+0.03%</f>
        <v>0.0092</v>
      </c>
      <c r="BJ145" s="128">
        <v>862720</v>
      </c>
      <c r="BP145" s="128" t="s">
        <v>376</v>
      </c>
      <c r="BR145" s="128" t="s">
        <v>377</v>
      </c>
    </row>
    <row r="146" s="128" customFormat="1" ht="33" hidden="1" customHeight="1" spans="1:70">
      <c r="A146" s="128">
        <v>45</v>
      </c>
      <c r="B146" s="128"/>
      <c r="C146" s="138">
        <v>45570</v>
      </c>
      <c r="D146" s="128">
        <v>20240005848</v>
      </c>
      <c r="G146" s="1016" t="s">
        <v>6494</v>
      </c>
      <c r="H146" s="177" t="s">
        <v>6495</v>
      </c>
      <c r="J146" s="172" t="s">
        <v>6496</v>
      </c>
      <c r="K146" s="167">
        <v>145.95</v>
      </c>
      <c r="L146" s="168">
        <v>145.95</v>
      </c>
      <c r="M146" s="168">
        <v>8300</v>
      </c>
      <c r="N146" s="168">
        <v>1211385</v>
      </c>
      <c r="O146" s="168">
        <v>8300</v>
      </c>
      <c r="P146" s="128">
        <v>1111362.39</v>
      </c>
      <c r="Q146" s="1016" t="s">
        <v>6497</v>
      </c>
      <c r="R146" s="171">
        <v>46196</v>
      </c>
      <c r="T146" s="171"/>
      <c r="V146" s="128" t="s">
        <v>373</v>
      </c>
      <c r="W146" s="128"/>
      <c r="X146" s="171"/>
      <c r="Y146" s="128">
        <v>21385</v>
      </c>
      <c r="Z146" s="171" t="s">
        <v>516</v>
      </c>
      <c r="AA146" s="128">
        <v>210000</v>
      </c>
      <c r="AB146" s="128" t="s">
        <v>487</v>
      </c>
      <c r="AC146" s="128">
        <v>180000</v>
      </c>
      <c r="AD146" s="128" t="s">
        <v>4483</v>
      </c>
      <c r="AE146" s="128">
        <v>800000</v>
      </c>
      <c r="AF146" s="171" t="s">
        <v>1025</v>
      </c>
      <c r="AI146" s="168">
        <f t="shared" si="20"/>
        <v>1211385</v>
      </c>
      <c r="AL146" s="128">
        <f t="shared" ref="AL146:AL153" si="22">N146-AI146</f>
        <v>0</v>
      </c>
      <c r="AM146" s="128">
        <v>13579039210</v>
      </c>
      <c r="AN146" s="128" t="s">
        <v>4698</v>
      </c>
      <c r="AP146" s="168">
        <f t="shared" si="21"/>
        <v>1211385</v>
      </c>
      <c r="AQ146" s="178">
        <f>0.4%+0.05%+0.08%+0.03%</f>
        <v>0.0056</v>
      </c>
      <c r="AR146" s="128">
        <v>231385</v>
      </c>
      <c r="AT146" s="128">
        <v>980000</v>
      </c>
      <c r="BP146" s="128" t="s">
        <v>376</v>
      </c>
      <c r="BR146" s="128" t="s">
        <v>377</v>
      </c>
    </row>
    <row r="147" s="128" customFormat="1" hidden="1" customHeight="1" spans="1:70">
      <c r="A147" s="128">
        <v>46</v>
      </c>
      <c r="B147" s="128"/>
      <c r="C147" s="138">
        <v>46055</v>
      </c>
      <c r="D147" s="128">
        <v>20260000585</v>
      </c>
      <c r="G147" s="1016" t="s">
        <v>6498</v>
      </c>
      <c r="H147" s="177" t="s">
        <v>6499</v>
      </c>
      <c r="I147" s="1016" t="s">
        <v>6500</v>
      </c>
      <c r="J147" s="172" t="s">
        <v>6501</v>
      </c>
      <c r="K147" s="167">
        <v>157.36</v>
      </c>
      <c r="L147" s="168">
        <v>157.36</v>
      </c>
      <c r="M147" s="168">
        <v>7625.83</v>
      </c>
      <c r="N147" s="168">
        <v>1200000</v>
      </c>
      <c r="O147" s="168">
        <v>7625.83</v>
      </c>
      <c r="P147" s="128">
        <v>1100917.43</v>
      </c>
      <c r="Q147" s="1016" t="s">
        <v>6502</v>
      </c>
      <c r="R147" s="171">
        <v>46196</v>
      </c>
      <c r="S147" s="128"/>
      <c r="T147" s="171"/>
      <c r="U147" s="128"/>
      <c r="V147" s="128" t="s">
        <v>5897</v>
      </c>
      <c r="W147" s="128">
        <v>10000</v>
      </c>
      <c r="X147" s="171">
        <v>46025</v>
      </c>
      <c r="Y147" s="128">
        <v>210000</v>
      </c>
      <c r="Z147" s="171">
        <v>46093</v>
      </c>
      <c r="AA147" s="128">
        <v>280000</v>
      </c>
      <c r="AB147" s="171">
        <v>46095</v>
      </c>
      <c r="AC147" s="128">
        <v>700000</v>
      </c>
      <c r="AD147" s="171" t="s">
        <v>6503</v>
      </c>
      <c r="AE147" s="128"/>
      <c r="AF147" s="171"/>
      <c r="AG147" s="128"/>
      <c r="AH147" s="171"/>
      <c r="AI147" s="168">
        <f t="shared" si="20"/>
        <v>1200000</v>
      </c>
      <c r="AL147" s="128">
        <f t="shared" si="22"/>
        <v>0</v>
      </c>
      <c r="AM147" s="128">
        <v>17799508065</v>
      </c>
      <c r="AN147" s="128" t="s">
        <v>3480</v>
      </c>
      <c r="AP147" s="128">
        <f t="shared" ref="AP147:AP167" si="23">SUM(AR147:BM147)</f>
        <v>1200000</v>
      </c>
      <c r="AQ147" s="178">
        <f>0.7%+0.03%+0.08%+0.03%</f>
        <v>0.0084</v>
      </c>
      <c r="BI147" s="128">
        <v>500000</v>
      </c>
      <c r="BJ147" s="128">
        <v>700000</v>
      </c>
      <c r="BP147" s="128" t="s">
        <v>376</v>
      </c>
      <c r="BR147" s="128" t="s">
        <v>377</v>
      </c>
    </row>
    <row r="148" s="107" customFormat="1" hidden="1" customHeight="1" spans="1:70">
      <c r="A148" s="107">
        <v>47</v>
      </c>
      <c r="B148" s="107"/>
      <c r="C148" s="109"/>
      <c r="D148" s="107"/>
      <c r="J148" s="170" t="s">
        <v>6504</v>
      </c>
      <c r="K148" s="165">
        <v>162.14</v>
      </c>
      <c r="L148" s="157"/>
      <c r="M148" s="157"/>
      <c r="N148" s="157"/>
      <c r="O148" s="157">
        <v>5795.58</v>
      </c>
      <c r="P148" s="107"/>
      <c r="Q148" s="107"/>
      <c r="R148" s="107"/>
      <c r="S148" s="107"/>
      <c r="T148" s="107"/>
      <c r="U148" s="107"/>
      <c r="V148" s="128"/>
      <c r="W148" s="107"/>
      <c r="X148" s="107"/>
      <c r="Y148" s="107"/>
      <c r="Z148" s="107"/>
      <c r="AI148" s="168">
        <f t="shared" si="20"/>
        <v>0</v>
      </c>
      <c r="AL148" s="128">
        <f t="shared" si="22"/>
        <v>0</v>
      </c>
      <c r="AP148" s="101">
        <f t="shared" si="23"/>
        <v>0</v>
      </c>
      <c r="AQ148" s="178"/>
    </row>
    <row r="149" s="107" customFormat="1" hidden="1" customHeight="1" spans="1:70">
      <c r="A149" s="107">
        <v>48</v>
      </c>
      <c r="B149" s="107"/>
      <c r="C149" s="109"/>
      <c r="D149" s="107"/>
      <c r="J149" s="170" t="s">
        <v>6505</v>
      </c>
      <c r="K149" s="165">
        <v>174.32</v>
      </c>
      <c r="L149" s="157"/>
      <c r="M149" s="157"/>
      <c r="N149" s="157"/>
      <c r="O149" s="157">
        <v>5780.66</v>
      </c>
      <c r="P149" s="107"/>
      <c r="Q149" s="107"/>
      <c r="R149" s="107"/>
      <c r="S149" s="107"/>
      <c r="T149" s="107"/>
      <c r="U149" s="107"/>
      <c r="V149" s="128"/>
      <c r="W149" s="107"/>
      <c r="X149" s="107"/>
      <c r="Y149" s="107"/>
      <c r="Z149" s="107"/>
      <c r="AI149" s="168">
        <f t="shared" si="20"/>
        <v>0</v>
      </c>
      <c r="AL149" s="128">
        <f t="shared" si="22"/>
        <v>0</v>
      </c>
      <c r="AP149" s="101">
        <f t="shared" si="23"/>
        <v>0</v>
      </c>
      <c r="AQ149" s="178"/>
    </row>
    <row r="150" s="107" customFormat="1" hidden="1" customHeight="1" spans="1:70">
      <c r="A150" s="107">
        <v>49</v>
      </c>
      <c r="B150" s="107"/>
      <c r="C150" s="109"/>
      <c r="D150" s="107"/>
      <c r="J150" s="170" t="s">
        <v>6506</v>
      </c>
      <c r="K150" s="165">
        <v>162.14</v>
      </c>
      <c r="L150" s="157"/>
      <c r="M150" s="157"/>
      <c r="N150" s="157"/>
      <c r="O150" s="157">
        <v>5500.24</v>
      </c>
      <c r="P150" s="107"/>
      <c r="Q150" s="107"/>
      <c r="R150" s="107"/>
      <c r="S150" s="107"/>
      <c r="T150" s="107"/>
      <c r="U150" s="107"/>
      <c r="V150" s="128"/>
      <c r="W150" s="107"/>
      <c r="X150" s="107"/>
      <c r="Y150" s="107"/>
      <c r="Z150" s="107"/>
      <c r="AI150" s="168">
        <f t="shared" si="20"/>
        <v>0</v>
      </c>
      <c r="AL150" s="128">
        <f t="shared" si="22"/>
        <v>0</v>
      </c>
      <c r="AP150" s="101">
        <f t="shared" si="23"/>
        <v>0</v>
      </c>
      <c r="AQ150" s="178"/>
    </row>
    <row r="151" s="128" customFormat="1" customHeight="1" spans="1:70">
      <c r="A151" s="128">
        <v>50</v>
      </c>
      <c r="B151" s="128">
        <v>1</v>
      </c>
      <c r="C151" s="138">
        <v>46205</v>
      </c>
      <c r="D151" s="128" t="s">
        <v>6507</v>
      </c>
      <c r="G151" s="1016" t="s">
        <v>6508</v>
      </c>
      <c r="H151" s="128" t="s">
        <v>6509</v>
      </c>
      <c r="I151" s="1016" t="s">
        <v>6510</v>
      </c>
      <c r="J151" s="172" t="s">
        <v>6511</v>
      </c>
      <c r="K151" s="167">
        <v>174.32</v>
      </c>
      <c r="L151" s="168">
        <v>174.32</v>
      </c>
      <c r="M151" s="168">
        <v>5100</v>
      </c>
      <c r="N151" s="168">
        <v>889032</v>
      </c>
      <c r="O151" s="168">
        <v>5485.31</v>
      </c>
      <c r="P151" s="128"/>
      <c r="Q151" s="128"/>
      <c r="R151" s="128"/>
      <c r="S151" s="128">
        <v>4032</v>
      </c>
      <c r="T151" s="128" t="s">
        <v>6017</v>
      </c>
      <c r="U151" s="128"/>
      <c r="V151" s="128" t="s">
        <v>807</v>
      </c>
      <c r="W151" s="128">
        <v>4032</v>
      </c>
      <c r="X151" s="128" t="s">
        <v>6017</v>
      </c>
      <c r="Y151" s="128"/>
      <c r="Z151" s="128"/>
      <c r="AI151" s="168">
        <f t="shared" si="20"/>
        <v>4032</v>
      </c>
      <c r="AL151" s="128">
        <f t="shared" si="22"/>
        <v>885000</v>
      </c>
      <c r="AM151" s="128">
        <v>17609963636</v>
      </c>
      <c r="AP151" s="128">
        <f t="shared" si="23"/>
        <v>0</v>
      </c>
      <c r="AQ151" s="178">
        <f>0.7%+0.03%</f>
        <v>0.0073</v>
      </c>
    </row>
    <row r="152" s="128" customFormat="1" hidden="1" customHeight="1" spans="1:70">
      <c r="A152" s="128">
        <v>51</v>
      </c>
      <c r="B152" s="128"/>
      <c r="C152" s="138">
        <v>46108</v>
      </c>
      <c r="D152" s="128">
        <v>20260001401</v>
      </c>
      <c r="G152" s="1016" t="s">
        <v>6430</v>
      </c>
      <c r="H152" s="128" t="s">
        <v>6431</v>
      </c>
      <c r="I152" s="1016" t="s">
        <v>6512</v>
      </c>
      <c r="J152" s="172" t="s">
        <v>6513</v>
      </c>
      <c r="K152" s="167">
        <v>162.14</v>
      </c>
      <c r="L152" s="168">
        <v>162.14</v>
      </c>
      <c r="M152" s="168">
        <v>5300</v>
      </c>
      <c r="N152" s="168">
        <v>859342</v>
      </c>
      <c r="O152" s="168">
        <v>5300</v>
      </c>
      <c r="P152" s="128">
        <v>788387.16</v>
      </c>
      <c r="Q152" s="1016" t="s">
        <v>6514</v>
      </c>
      <c r="R152" s="171">
        <v>46202</v>
      </c>
      <c r="S152" s="128"/>
      <c r="T152" s="171"/>
      <c r="U152" s="128"/>
      <c r="V152" s="128" t="s">
        <v>486</v>
      </c>
      <c r="W152" s="128">
        <v>20000</v>
      </c>
      <c r="X152" s="171">
        <v>46095</v>
      </c>
      <c r="Y152" s="128">
        <v>152342</v>
      </c>
      <c r="Z152" s="171">
        <v>46108</v>
      </c>
      <c r="AA152" s="128">
        <v>687000</v>
      </c>
      <c r="AB152" s="171" t="s">
        <v>6515</v>
      </c>
      <c r="AI152" s="168">
        <f t="shared" si="20"/>
        <v>859342</v>
      </c>
      <c r="AL152" s="128">
        <f t="shared" si="22"/>
        <v>0</v>
      </c>
      <c r="AM152" s="128">
        <v>13779698899</v>
      </c>
      <c r="AN152" s="128" t="s">
        <v>3402</v>
      </c>
      <c r="AP152" s="128">
        <f t="shared" si="23"/>
        <v>859342</v>
      </c>
      <c r="AQ152" s="178">
        <f>0.7%+0.04%+0.14%+0.03%</f>
        <v>0.0091</v>
      </c>
      <c r="BI152" s="128">
        <v>172342</v>
      </c>
      <c r="BJ152" s="128">
        <v>687000</v>
      </c>
      <c r="BP152" s="128" t="s">
        <v>376</v>
      </c>
      <c r="BR152" s="128" t="s">
        <v>377</v>
      </c>
    </row>
    <row r="153" s="128" customFormat="1" hidden="1" customHeight="1" spans="1:70">
      <c r="A153" s="128">
        <v>52</v>
      </c>
      <c r="B153" s="128"/>
      <c r="C153" s="138">
        <v>45904</v>
      </c>
      <c r="D153" s="128">
        <v>20250004523</v>
      </c>
      <c r="G153" s="1016" t="s">
        <v>6516</v>
      </c>
      <c r="H153" s="128" t="s">
        <v>6517</v>
      </c>
      <c r="I153" s="128"/>
      <c r="J153" s="172" t="s">
        <v>6518</v>
      </c>
      <c r="K153" s="167">
        <v>174.32</v>
      </c>
      <c r="L153" s="168">
        <v>174.32</v>
      </c>
      <c r="M153" s="168">
        <v>5570.92</v>
      </c>
      <c r="N153" s="168">
        <v>971123</v>
      </c>
      <c r="O153" s="168">
        <v>5517.92</v>
      </c>
      <c r="P153" s="128">
        <v>890938.53</v>
      </c>
      <c r="Q153" s="1016" t="s">
        <v>6519</v>
      </c>
      <c r="R153" s="171">
        <v>46202</v>
      </c>
      <c r="S153" s="128"/>
      <c r="T153" s="171"/>
      <c r="U153" s="128"/>
      <c r="V153" s="128" t="s">
        <v>486</v>
      </c>
      <c r="W153" s="128">
        <v>1123</v>
      </c>
      <c r="X153" s="171">
        <v>45904</v>
      </c>
      <c r="Y153" s="128">
        <v>200000</v>
      </c>
      <c r="Z153" s="171" t="s">
        <v>4336</v>
      </c>
      <c r="AA153" s="128">
        <v>770000</v>
      </c>
      <c r="AB153" s="171">
        <v>45964</v>
      </c>
      <c r="AC153" s="128"/>
      <c r="AD153" s="128"/>
      <c r="AE153" s="128"/>
      <c r="AF153" s="128"/>
      <c r="AG153" s="128"/>
      <c r="AH153" s="128"/>
      <c r="AI153" s="168">
        <f t="shared" si="20"/>
        <v>971123</v>
      </c>
      <c r="AL153" s="128">
        <f t="shared" si="22"/>
        <v>0</v>
      </c>
      <c r="AM153" s="128">
        <v>18199213235</v>
      </c>
      <c r="AN153" s="128" t="s">
        <v>3402</v>
      </c>
      <c r="AO153" s="128"/>
      <c r="AP153" s="128">
        <f t="shared" si="23"/>
        <v>971123</v>
      </c>
      <c r="AQ153" s="178">
        <f>0.7%+0.04%+0.08%+0.03%</f>
        <v>0.0085</v>
      </c>
      <c r="AS153" s="183"/>
      <c r="AT153" s="183"/>
      <c r="AU153" s="183"/>
      <c r="AV153" s="183"/>
      <c r="AW153" s="183"/>
      <c r="AX153" s="183"/>
      <c r="AY153" s="183"/>
      <c r="AZ153" s="183"/>
      <c r="BA153" s="183"/>
      <c r="BB153" s="183"/>
      <c r="BC153" s="128">
        <v>201123</v>
      </c>
      <c r="BE153" s="128">
        <v>770000</v>
      </c>
      <c r="BP153" s="128" t="s">
        <v>2825</v>
      </c>
      <c r="BR153" s="128" t="s">
        <v>377</v>
      </c>
    </row>
    <row r="154" s="128" customFormat="1" hidden="1" customHeight="1" spans="1:70">
      <c r="A154" s="128">
        <v>53</v>
      </c>
      <c r="B154" s="128"/>
      <c r="C154" s="138">
        <v>45890</v>
      </c>
      <c r="D154" s="128">
        <v>20250004321</v>
      </c>
      <c r="G154" s="1016" t="s">
        <v>6520</v>
      </c>
      <c r="H154" s="128" t="s">
        <v>6521</v>
      </c>
      <c r="I154" s="128"/>
      <c r="J154" s="172" t="s">
        <v>6522</v>
      </c>
      <c r="K154" s="167">
        <v>162.14</v>
      </c>
      <c r="L154" s="168">
        <v>162.14</v>
      </c>
      <c r="M154" s="168">
        <v>5920.81</v>
      </c>
      <c r="N154" s="168">
        <v>960000</v>
      </c>
      <c r="O154" s="168">
        <v>5871.32</v>
      </c>
      <c r="P154" s="128">
        <v>880733.94</v>
      </c>
      <c r="Q154" s="1016" t="s">
        <v>6523</v>
      </c>
      <c r="R154" s="171">
        <v>46203</v>
      </c>
      <c r="S154" s="128"/>
      <c r="T154" s="171"/>
      <c r="U154" s="128"/>
      <c r="V154" s="128" t="s">
        <v>383</v>
      </c>
      <c r="W154" s="128">
        <v>20000</v>
      </c>
      <c r="X154" s="128" t="s">
        <v>3557</v>
      </c>
      <c r="Y154" s="128">
        <v>640000</v>
      </c>
      <c r="Z154" s="128" t="s">
        <v>6524</v>
      </c>
      <c r="AA154" s="128">
        <v>300000</v>
      </c>
      <c r="AB154" s="171">
        <v>45923</v>
      </c>
      <c r="AI154" s="168">
        <f t="shared" si="20"/>
        <v>960000</v>
      </c>
      <c r="AL154" s="128">
        <f t="shared" ref="AL154:AL167" si="24">N154-AI154</f>
        <v>0</v>
      </c>
      <c r="AM154" s="128">
        <v>13999008860</v>
      </c>
      <c r="AP154" s="128">
        <f t="shared" si="23"/>
        <v>960000</v>
      </c>
      <c r="AQ154" s="178">
        <f>0.7%+0.08%+0.03%</f>
        <v>0.0081</v>
      </c>
      <c r="BB154" s="128">
        <v>660000</v>
      </c>
      <c r="BC154" s="128">
        <v>300000</v>
      </c>
      <c r="BP154" s="128" t="s">
        <v>2825</v>
      </c>
      <c r="BR154" s="128" t="s">
        <v>377</v>
      </c>
    </row>
    <row r="155" s="107" customFormat="1" hidden="1" customHeight="1" spans="1:70">
      <c r="A155" s="107">
        <v>54</v>
      </c>
      <c r="B155" s="107"/>
      <c r="C155" s="109"/>
      <c r="D155" s="107"/>
      <c r="J155" s="164" t="s">
        <v>6525</v>
      </c>
      <c r="K155" s="165">
        <v>174.32</v>
      </c>
      <c r="L155" s="157"/>
      <c r="M155" s="157"/>
      <c r="N155" s="157"/>
      <c r="O155" s="157">
        <v>5592.27</v>
      </c>
      <c r="P155" s="107"/>
      <c r="Q155" s="107"/>
      <c r="R155" s="107"/>
      <c r="S155" s="107"/>
      <c r="T155" s="107"/>
      <c r="U155" s="107"/>
      <c r="V155" s="128"/>
      <c r="W155" s="107"/>
      <c r="X155" s="107"/>
      <c r="Y155" s="107"/>
      <c r="Z155" s="107"/>
      <c r="AI155" s="157">
        <f t="shared" si="20"/>
        <v>0</v>
      </c>
      <c r="AL155" s="128">
        <f t="shared" si="24"/>
        <v>0</v>
      </c>
      <c r="AP155" s="101">
        <f t="shared" si="23"/>
        <v>0</v>
      </c>
      <c r="AQ155" s="178"/>
    </row>
    <row r="156" s="128" customFormat="1" hidden="1" customHeight="1" spans="1:70">
      <c r="A156" s="128">
        <v>55</v>
      </c>
      <c r="B156" s="128"/>
      <c r="C156" s="138">
        <v>45936</v>
      </c>
      <c r="D156" s="128">
        <v>20250005117</v>
      </c>
      <c r="G156" s="1016" t="s">
        <v>6526</v>
      </c>
      <c r="H156" s="128" t="s">
        <v>6527</v>
      </c>
      <c r="I156" s="1016" t="s">
        <v>6528</v>
      </c>
      <c r="J156" s="172" t="s">
        <v>6529</v>
      </c>
      <c r="K156" s="167">
        <v>162.14</v>
      </c>
      <c r="L156" s="168">
        <v>162.14</v>
      </c>
      <c r="M156" s="168">
        <v>5700</v>
      </c>
      <c r="N156" s="168">
        <v>924198</v>
      </c>
      <c r="O156" s="168">
        <v>5700</v>
      </c>
      <c r="P156" s="128">
        <v>847888.07</v>
      </c>
      <c r="Q156" s="1016" t="s">
        <v>6530</v>
      </c>
      <c r="R156" s="171">
        <v>46203</v>
      </c>
      <c r="S156" s="128"/>
      <c r="T156" s="171"/>
      <c r="U156" s="128"/>
      <c r="V156" s="128" t="s">
        <v>2278</v>
      </c>
      <c r="W156" s="128">
        <v>20000</v>
      </c>
      <c r="X156" s="128" t="s">
        <v>6531</v>
      </c>
      <c r="Y156" s="128">
        <v>70000</v>
      </c>
      <c r="Z156" s="128" t="s">
        <v>3626</v>
      </c>
      <c r="AA156" s="128">
        <v>95198</v>
      </c>
      <c r="AB156" s="171">
        <v>45935</v>
      </c>
      <c r="AC156" s="128">
        <v>739000</v>
      </c>
      <c r="AD156" s="171">
        <v>46064</v>
      </c>
      <c r="AI156" s="168">
        <f t="shared" si="20"/>
        <v>924198</v>
      </c>
      <c r="AL156" s="128">
        <f t="shared" si="24"/>
        <v>0</v>
      </c>
      <c r="AM156" s="128">
        <v>17699232431</v>
      </c>
      <c r="AN156" s="128" t="s">
        <v>3480</v>
      </c>
      <c r="AP156" s="128">
        <f t="shared" si="23"/>
        <v>924198</v>
      </c>
      <c r="AQ156" s="178">
        <f>0.7%+0.02%+0.1%+0.03%</f>
        <v>0.0085</v>
      </c>
      <c r="BD156" s="128">
        <v>185198</v>
      </c>
      <c r="BH156" s="128">
        <v>739000</v>
      </c>
      <c r="BP156" s="128" t="s">
        <v>3376</v>
      </c>
      <c r="BR156" s="128" t="s">
        <v>377</v>
      </c>
    </row>
    <row r="157" s="128" customFormat="1" hidden="1" customHeight="1" spans="1:70">
      <c r="A157" s="128">
        <v>56</v>
      </c>
      <c r="B157" s="128"/>
      <c r="C157" s="138">
        <v>46085</v>
      </c>
      <c r="D157" s="128">
        <v>20260001054</v>
      </c>
      <c r="G157" s="1016" t="s">
        <v>6532</v>
      </c>
      <c r="H157" s="128" t="s">
        <v>6533</v>
      </c>
      <c r="I157" s="128"/>
      <c r="J157" s="166" t="s">
        <v>6534</v>
      </c>
      <c r="K157" s="167">
        <v>174.32</v>
      </c>
      <c r="L157" s="168">
        <v>174.32</v>
      </c>
      <c r="M157" s="168">
        <f>N157/L157</f>
        <v>5300</v>
      </c>
      <c r="N157" s="168">
        <v>923896</v>
      </c>
      <c r="O157" s="168">
        <f>5461.18-300</f>
        <v>5161.18</v>
      </c>
      <c r="P157" s="128">
        <v>847611.01</v>
      </c>
      <c r="Q157" s="1016" t="s">
        <v>6535</v>
      </c>
      <c r="R157" s="171">
        <v>46203</v>
      </c>
      <c r="T157" s="171"/>
      <c r="U157" s="128"/>
      <c r="V157" s="128" t="s">
        <v>3511</v>
      </c>
      <c r="W157" s="128">
        <v>20000</v>
      </c>
      <c r="X157" s="171">
        <v>46084</v>
      </c>
      <c r="Y157" s="128">
        <v>243896</v>
      </c>
      <c r="Z157" s="171">
        <v>46085</v>
      </c>
      <c r="AA157" s="128">
        <v>40000</v>
      </c>
      <c r="AB157" s="171">
        <v>46108</v>
      </c>
      <c r="AC157" s="128">
        <v>620000</v>
      </c>
      <c r="AD157" s="171" t="s">
        <v>3749</v>
      </c>
      <c r="AI157" s="168">
        <f t="shared" si="20"/>
        <v>923896</v>
      </c>
      <c r="AL157" s="128">
        <f t="shared" si="24"/>
        <v>0</v>
      </c>
      <c r="AN157" s="128" t="s">
        <v>3480</v>
      </c>
      <c r="AP157" s="128">
        <f t="shared" si="23"/>
        <v>923896</v>
      </c>
      <c r="AQ157" s="178">
        <f>0.7%+0.05%+0.14%+0.03%</f>
        <v>0.0092</v>
      </c>
      <c r="BI157" s="128">
        <v>303896</v>
      </c>
      <c r="BJ157" s="128">
        <v>620000</v>
      </c>
      <c r="BP157" s="128" t="s">
        <v>376</v>
      </c>
      <c r="BR157" s="128" t="s">
        <v>377</v>
      </c>
    </row>
    <row r="158" s="128" customFormat="1" hidden="1" customHeight="1" spans="1:70">
      <c r="A158" s="128">
        <v>57</v>
      </c>
      <c r="B158" s="128"/>
      <c r="C158" s="138">
        <v>45936</v>
      </c>
      <c r="D158" s="128">
        <v>20250005127</v>
      </c>
      <c r="G158" s="1016" t="s">
        <v>6536</v>
      </c>
      <c r="H158" s="128" t="s">
        <v>6537</v>
      </c>
      <c r="I158" s="1016" t="s">
        <v>6538</v>
      </c>
      <c r="J158" s="172" t="s">
        <v>6539</v>
      </c>
      <c r="K158" s="167">
        <v>162.14</v>
      </c>
      <c r="L158" s="168">
        <v>162.14</v>
      </c>
      <c r="M158" s="168">
        <v>6080.47</v>
      </c>
      <c r="N158" s="168">
        <v>985888</v>
      </c>
      <c r="O158" s="168">
        <v>6075.02</v>
      </c>
      <c r="P158" s="179">
        <v>904484.4</v>
      </c>
      <c r="Q158" s="1016" t="s">
        <v>6540</v>
      </c>
      <c r="R158" s="171">
        <v>46203</v>
      </c>
      <c r="S158" s="128"/>
      <c r="T158" s="171"/>
      <c r="U158" s="128"/>
      <c r="V158" s="128" t="s">
        <v>486</v>
      </c>
      <c r="W158" s="128">
        <v>15000</v>
      </c>
      <c r="X158" s="171" t="s">
        <v>6133</v>
      </c>
      <c r="Y158" s="128">
        <v>888</v>
      </c>
      <c r="Z158" s="171">
        <v>45936</v>
      </c>
      <c r="AA158" s="128">
        <v>188000</v>
      </c>
      <c r="AB158" s="171">
        <v>45954</v>
      </c>
      <c r="AC158" s="128">
        <v>782000</v>
      </c>
      <c r="AD158" s="171">
        <v>46006</v>
      </c>
      <c r="AI158" s="168">
        <f t="shared" si="20"/>
        <v>985888</v>
      </c>
      <c r="AL158" s="128">
        <f t="shared" si="24"/>
        <v>0</v>
      </c>
      <c r="AM158" s="128">
        <v>19999764028</v>
      </c>
      <c r="AN158" s="128" t="s">
        <v>6135</v>
      </c>
      <c r="AP158" s="128">
        <f t="shared" si="23"/>
        <v>985888</v>
      </c>
      <c r="AQ158" s="178">
        <f>0.7%+0.03%+0.08%+0.03%</f>
        <v>0.0084</v>
      </c>
      <c r="BD158" s="128">
        <v>203888</v>
      </c>
      <c r="BF158" s="128">
        <v>782000</v>
      </c>
      <c r="BP158" s="128" t="s">
        <v>3376</v>
      </c>
      <c r="BR158" s="128" t="s">
        <v>377</v>
      </c>
    </row>
    <row r="159" s="128" customFormat="1" hidden="1" customHeight="1" spans="1:70">
      <c r="A159" s="128">
        <v>58</v>
      </c>
      <c r="B159" s="128"/>
      <c r="C159" s="138">
        <v>45661</v>
      </c>
      <c r="D159" s="128">
        <v>20260000015</v>
      </c>
      <c r="G159" s="1016" t="s">
        <v>6541</v>
      </c>
      <c r="H159" s="128" t="s">
        <v>6542</v>
      </c>
      <c r="I159" s="128"/>
      <c r="J159" s="166" t="s">
        <v>6543</v>
      </c>
      <c r="K159" s="167">
        <v>174.32</v>
      </c>
      <c r="L159" s="168">
        <v>174.32</v>
      </c>
      <c r="M159" s="168">
        <v>5248.97</v>
      </c>
      <c r="N159" s="168">
        <v>915000</v>
      </c>
      <c r="O159" s="168">
        <f>5510.1-300</f>
        <v>5210.1</v>
      </c>
      <c r="P159" s="128">
        <v>839449.54</v>
      </c>
      <c r="Q159" s="1016" t="s">
        <v>6544</v>
      </c>
      <c r="R159" s="171">
        <v>46203</v>
      </c>
      <c r="T159" s="171"/>
      <c r="U159" s="128"/>
      <c r="V159" s="128" t="s">
        <v>3511</v>
      </c>
      <c r="W159" s="128">
        <v>10000</v>
      </c>
      <c r="X159" s="171">
        <v>46024</v>
      </c>
      <c r="Y159" s="128">
        <v>205000</v>
      </c>
      <c r="Z159" s="171">
        <v>46026</v>
      </c>
      <c r="AA159" s="128">
        <v>700000</v>
      </c>
      <c r="AB159" s="171">
        <v>46035</v>
      </c>
      <c r="AI159" s="168">
        <f t="shared" si="20"/>
        <v>915000</v>
      </c>
      <c r="AL159" s="128">
        <f t="shared" si="24"/>
        <v>0</v>
      </c>
      <c r="AN159" s="128" t="s">
        <v>3480</v>
      </c>
      <c r="AP159" s="128">
        <f t="shared" si="23"/>
        <v>915000</v>
      </c>
      <c r="AQ159" s="178">
        <f>0.7%+0.02%+0.08%+0.03%</f>
        <v>0.0083</v>
      </c>
      <c r="BG159" s="128">
        <v>915000</v>
      </c>
      <c r="BP159" s="128" t="s">
        <v>376</v>
      </c>
      <c r="BR159" s="128" t="s">
        <v>377</v>
      </c>
    </row>
    <row r="160" s="128" customFormat="1" hidden="1" customHeight="1" spans="1:70">
      <c r="A160" s="128">
        <v>59</v>
      </c>
      <c r="B160" s="128"/>
      <c r="C160" s="138">
        <v>45887</v>
      </c>
      <c r="D160" s="128">
        <v>20250004274</v>
      </c>
      <c r="G160" s="1016" t="s">
        <v>6545</v>
      </c>
      <c r="H160" s="128" t="s">
        <v>6546</v>
      </c>
      <c r="I160" s="1016" t="s">
        <v>6547</v>
      </c>
      <c r="J160" s="172" t="s">
        <v>6548</v>
      </c>
      <c r="K160" s="167">
        <v>162.14</v>
      </c>
      <c r="L160" s="168">
        <v>162.14</v>
      </c>
      <c r="M160" s="168">
        <v>5602.19</v>
      </c>
      <c r="N160" s="168">
        <v>908340</v>
      </c>
      <c r="O160" s="168">
        <v>5602.19</v>
      </c>
      <c r="P160" s="128">
        <v>833339.45</v>
      </c>
      <c r="Q160" s="1016" t="s">
        <v>6549</v>
      </c>
      <c r="R160" s="171">
        <v>46203</v>
      </c>
      <c r="S160" s="128"/>
      <c r="T160" s="171"/>
      <c r="U160" s="128"/>
      <c r="V160" s="128" t="s">
        <v>2278</v>
      </c>
      <c r="W160" s="128">
        <f>20000+168340</f>
        <v>188340</v>
      </c>
      <c r="X160" s="171">
        <v>45886</v>
      </c>
      <c r="Y160" s="128">
        <v>720000</v>
      </c>
      <c r="Z160" s="171">
        <v>46035</v>
      </c>
      <c r="AI160" s="168">
        <f t="shared" si="20"/>
        <v>908340</v>
      </c>
      <c r="AL160" s="128">
        <f t="shared" si="24"/>
        <v>0</v>
      </c>
      <c r="AN160" s="128" t="s">
        <v>6094</v>
      </c>
      <c r="AP160" s="128">
        <f t="shared" si="23"/>
        <v>908340</v>
      </c>
      <c r="AQ160" s="178">
        <f>0.7%+0.04%+0.08%+0.03%</f>
        <v>0.0085</v>
      </c>
      <c r="BB160" s="128">
        <v>188340</v>
      </c>
      <c r="BG160" s="128">
        <v>720000</v>
      </c>
      <c r="BP160" s="128" t="s">
        <v>2825</v>
      </c>
      <c r="BR160" s="128" t="s">
        <v>377</v>
      </c>
    </row>
    <row r="161" s="107" customFormat="1" hidden="1" customHeight="1" spans="1:74">
      <c r="A161" s="107">
        <v>60</v>
      </c>
      <c r="B161" s="107"/>
      <c r="C161" s="109"/>
      <c r="D161" s="107"/>
      <c r="J161" s="164" t="s">
        <v>6550</v>
      </c>
      <c r="K161" s="165">
        <v>174.32</v>
      </c>
      <c r="L161" s="157"/>
      <c r="M161" s="157"/>
      <c r="N161" s="157"/>
      <c r="O161" s="157">
        <v>6087.27</v>
      </c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I161" s="157">
        <f t="shared" si="20"/>
        <v>0</v>
      </c>
      <c r="AL161" s="128">
        <f t="shared" si="24"/>
        <v>0</v>
      </c>
      <c r="AP161" s="101">
        <f t="shared" si="23"/>
        <v>0</v>
      </c>
      <c r="AQ161" s="178"/>
    </row>
    <row r="162" s="128" customFormat="1" hidden="1" customHeight="1" spans="1:74">
      <c r="A162" s="128">
        <v>61</v>
      </c>
      <c r="B162" s="128"/>
      <c r="C162" s="138">
        <v>45652</v>
      </c>
      <c r="D162" s="128">
        <v>20240007458</v>
      </c>
      <c r="G162" s="1016" t="s">
        <v>6551</v>
      </c>
      <c r="H162" s="128" t="s">
        <v>6552</v>
      </c>
      <c r="I162" s="1016" t="s">
        <v>6553</v>
      </c>
      <c r="J162" s="172" t="s">
        <v>6554</v>
      </c>
      <c r="K162" s="167">
        <v>162.14</v>
      </c>
      <c r="L162" s="168">
        <v>162.14</v>
      </c>
      <c r="M162" s="168">
        <v>6044.16</v>
      </c>
      <c r="N162" s="168">
        <v>980000</v>
      </c>
      <c r="O162" s="168">
        <v>6131.11</v>
      </c>
      <c r="P162" s="128">
        <v>899082.57</v>
      </c>
      <c r="Q162" s="1016" t="s">
        <v>6555</v>
      </c>
      <c r="R162" s="171">
        <v>46203</v>
      </c>
      <c r="S162" s="128"/>
      <c r="T162" s="128"/>
      <c r="U162" s="128"/>
      <c r="V162" s="128" t="s">
        <v>496</v>
      </c>
      <c r="W162" s="128">
        <v>20000</v>
      </c>
      <c r="X162" s="128" t="s">
        <v>509</v>
      </c>
      <c r="Y162" s="128">
        <v>80000</v>
      </c>
      <c r="Z162" s="128" t="s">
        <v>2800</v>
      </c>
      <c r="AA162" s="128">
        <v>100000</v>
      </c>
      <c r="AB162" s="128" t="s">
        <v>3400</v>
      </c>
      <c r="AC162" s="128">
        <v>780000</v>
      </c>
      <c r="AD162" s="128" t="s">
        <v>3132</v>
      </c>
      <c r="AI162" s="168">
        <f t="shared" si="20"/>
        <v>980000</v>
      </c>
      <c r="AL162" s="128">
        <f t="shared" si="24"/>
        <v>0</v>
      </c>
      <c r="AM162" s="128">
        <v>15276682637</v>
      </c>
      <c r="AN162" s="128" t="s">
        <v>4676</v>
      </c>
      <c r="AP162" s="168">
        <f t="shared" si="23"/>
        <v>980000</v>
      </c>
      <c r="AQ162" s="178">
        <f>0.6%+0.03%+0.08%+0.03%</f>
        <v>0.0074</v>
      </c>
      <c r="AT162" s="128">
        <v>200000</v>
      </c>
      <c r="AX162" s="128">
        <v>780000</v>
      </c>
      <c r="BP162" s="128" t="s">
        <v>376</v>
      </c>
      <c r="BR162" s="128" t="s">
        <v>377</v>
      </c>
    </row>
    <row r="163" s="107" customFormat="1" hidden="1" customHeight="1" spans="1:74">
      <c r="A163" s="107">
        <v>62</v>
      </c>
      <c r="B163" s="107"/>
      <c r="C163" s="185"/>
      <c r="D163" s="107"/>
      <c r="J163" s="164" t="s">
        <v>6556</v>
      </c>
      <c r="K163" s="165">
        <v>174.32</v>
      </c>
      <c r="L163" s="157"/>
      <c r="M163" s="157"/>
      <c r="N163" s="157"/>
      <c r="O163" s="157">
        <v>6116.18</v>
      </c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7"/>
      <c r="AI163" s="157">
        <f t="shared" si="20"/>
        <v>0</v>
      </c>
      <c r="AL163" s="128">
        <f t="shared" si="24"/>
        <v>0</v>
      </c>
      <c r="AP163" s="101">
        <f t="shared" si="23"/>
        <v>0</v>
      </c>
      <c r="AQ163" s="178"/>
    </row>
    <row r="164" s="128" customFormat="1" hidden="1" customHeight="1" spans="1:74">
      <c r="A164" s="128">
        <v>63</v>
      </c>
      <c r="B164" s="128"/>
      <c r="C164" s="138">
        <v>45834</v>
      </c>
      <c r="D164" s="128">
        <v>20250003424</v>
      </c>
      <c r="G164" s="1016" t="s">
        <v>6557</v>
      </c>
      <c r="H164" s="128" t="s">
        <v>6558</v>
      </c>
      <c r="I164" s="1016" t="s">
        <v>6559</v>
      </c>
      <c r="J164" s="172" t="s">
        <v>6560</v>
      </c>
      <c r="K164" s="167">
        <v>162.14</v>
      </c>
      <c r="L164" s="168">
        <v>162.14</v>
      </c>
      <c r="M164" s="168">
        <v>5750</v>
      </c>
      <c r="N164" s="168">
        <v>932305</v>
      </c>
      <c r="O164" s="168">
        <v>5750</v>
      </c>
      <c r="P164" s="128">
        <v>855325.69</v>
      </c>
      <c r="Q164" s="1016" t="s">
        <v>6561</v>
      </c>
      <c r="R164" s="171">
        <v>46203</v>
      </c>
      <c r="S164" s="128"/>
      <c r="T164" s="171"/>
      <c r="U164" s="128"/>
      <c r="V164" s="128" t="s">
        <v>373</v>
      </c>
      <c r="W164" s="128">
        <v>20000</v>
      </c>
      <c r="X164" s="128" t="s">
        <v>5298</v>
      </c>
      <c r="Y164" s="128">
        <f>47305+60000+30000+30000</f>
        <v>167305</v>
      </c>
      <c r="Z164" s="128" t="s">
        <v>3393</v>
      </c>
      <c r="AA164" s="128">
        <v>745000</v>
      </c>
      <c r="AB164" s="171">
        <v>45985</v>
      </c>
      <c r="AI164" s="168">
        <f t="shared" si="20"/>
        <v>932305</v>
      </c>
      <c r="AL164" s="128">
        <f t="shared" si="24"/>
        <v>0</v>
      </c>
      <c r="AM164" s="128">
        <v>13139845952</v>
      </c>
      <c r="AN164" s="128" t="s">
        <v>3480</v>
      </c>
      <c r="AP164" s="128">
        <f t="shared" si="23"/>
        <v>932305</v>
      </c>
      <c r="AQ164" s="178">
        <f>0.7%+0.05%+0.08%+0.03%</f>
        <v>0.0086</v>
      </c>
      <c r="AZ164" s="128">
        <v>187305</v>
      </c>
      <c r="BE164" s="128">
        <v>745000</v>
      </c>
      <c r="BP164" s="128" t="s">
        <v>2825</v>
      </c>
      <c r="BR164" s="128" t="s">
        <v>377</v>
      </c>
    </row>
    <row r="165" s="107" customFormat="1" hidden="1" customHeight="1" spans="1:74">
      <c r="A165" s="107">
        <v>64</v>
      </c>
      <c r="B165" s="107"/>
      <c r="C165" s="109"/>
      <c r="D165" s="107"/>
      <c r="J165" s="164" t="s">
        <v>6562</v>
      </c>
      <c r="K165" s="165">
        <v>174.32</v>
      </c>
      <c r="L165" s="157"/>
      <c r="M165" s="157"/>
      <c r="N165" s="157"/>
      <c r="O165" s="157">
        <v>6137.92</v>
      </c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  <c r="AI165" s="157">
        <f t="shared" si="20"/>
        <v>0</v>
      </c>
      <c r="AL165" s="128">
        <f t="shared" si="24"/>
        <v>0</v>
      </c>
      <c r="AP165" s="101">
        <f t="shared" si="23"/>
        <v>0</v>
      </c>
      <c r="AQ165" s="178"/>
    </row>
    <row r="166" s="128" customFormat="1" ht="29" hidden="1" customHeight="1" spans="1:74">
      <c r="A166" s="128">
        <v>65</v>
      </c>
      <c r="B166" s="128"/>
      <c r="C166" s="138">
        <v>46091</v>
      </c>
      <c r="D166" s="128">
        <v>20260001132</v>
      </c>
      <c r="G166" s="1016" t="s">
        <v>6563</v>
      </c>
      <c r="H166" s="128" t="s">
        <v>6564</v>
      </c>
      <c r="I166" s="128"/>
      <c r="J166" s="172" t="s">
        <v>6565</v>
      </c>
      <c r="K166" s="167">
        <v>162.14</v>
      </c>
      <c r="L166" s="168">
        <v>162.14</v>
      </c>
      <c r="M166" s="168">
        <v>6290.86</v>
      </c>
      <c r="N166" s="168">
        <v>1020000</v>
      </c>
      <c r="O166" s="168">
        <v>6290.86</v>
      </c>
      <c r="P166" s="128">
        <v>935779.82</v>
      </c>
      <c r="Q166" s="1016" t="s">
        <v>6566</v>
      </c>
      <c r="R166" s="171">
        <v>46196</v>
      </c>
      <c r="S166" s="128"/>
      <c r="T166" s="171"/>
      <c r="U166" s="128"/>
      <c r="V166" s="128" t="s">
        <v>486</v>
      </c>
      <c r="W166" s="128">
        <v>20000</v>
      </c>
      <c r="X166" s="171">
        <v>46091</v>
      </c>
      <c r="Y166" s="128">
        <v>650000</v>
      </c>
      <c r="Z166" s="171">
        <v>46097</v>
      </c>
      <c r="AA166" s="128">
        <v>350000</v>
      </c>
      <c r="AB166" s="171">
        <v>46108</v>
      </c>
      <c r="AI166" s="168">
        <f t="shared" si="20"/>
        <v>1020000</v>
      </c>
      <c r="AL166" s="128">
        <f t="shared" si="24"/>
        <v>0</v>
      </c>
      <c r="AM166" s="128">
        <v>18799860711</v>
      </c>
      <c r="AN166" s="128" t="s">
        <v>3480</v>
      </c>
      <c r="AP166" s="128">
        <f t="shared" si="23"/>
        <v>1020000</v>
      </c>
      <c r="AQ166" s="178">
        <f>0.7%+0.04%+0.14%+0.03%</f>
        <v>0.0091</v>
      </c>
      <c r="BI166" s="128">
        <v>1020000</v>
      </c>
      <c r="BP166" s="128" t="s">
        <v>376</v>
      </c>
      <c r="BR166" s="128" t="s">
        <v>377</v>
      </c>
    </row>
    <row r="167" s="128" customFormat="1" ht="29" hidden="1" customHeight="1" spans="1:74">
      <c r="A167" s="128">
        <v>66</v>
      </c>
      <c r="B167" s="128"/>
      <c r="C167" s="138">
        <v>45657</v>
      </c>
      <c r="D167" s="128">
        <v>20240007561</v>
      </c>
      <c r="G167" s="1016" t="s">
        <v>6567</v>
      </c>
      <c r="H167" s="128" t="s">
        <v>6568</v>
      </c>
      <c r="I167" s="128"/>
      <c r="J167" s="166" t="s">
        <v>6569</v>
      </c>
      <c r="K167" s="167">
        <v>174.32</v>
      </c>
      <c r="L167" s="168">
        <v>174.32</v>
      </c>
      <c r="M167" s="168">
        <v>6597.065</v>
      </c>
      <c r="N167" s="168">
        <v>1150000</v>
      </c>
      <c r="O167" s="168">
        <v>7118.43</v>
      </c>
      <c r="P167" s="128">
        <v>1055045.87</v>
      </c>
      <c r="Q167" s="1016" t="s">
        <v>6570</v>
      </c>
      <c r="R167" s="171">
        <v>46196</v>
      </c>
      <c r="S167" s="128"/>
      <c r="T167" s="128"/>
      <c r="U167" s="128"/>
      <c r="V167" s="128" t="s">
        <v>373</v>
      </c>
      <c r="W167" s="128">
        <v>115000</v>
      </c>
      <c r="X167" s="128" t="s">
        <v>6445</v>
      </c>
      <c r="Y167" s="128">
        <v>100000</v>
      </c>
      <c r="Z167" s="128" t="s">
        <v>3467</v>
      </c>
      <c r="AA167" s="128">
        <v>435000</v>
      </c>
      <c r="AB167" s="128" t="s">
        <v>2801</v>
      </c>
      <c r="AC167" s="128">
        <v>500000</v>
      </c>
      <c r="AD167" s="128" t="s">
        <v>1045</v>
      </c>
      <c r="AI167" s="168">
        <f t="shared" si="20"/>
        <v>1150000</v>
      </c>
      <c r="AL167" s="128">
        <f t="shared" si="24"/>
        <v>0</v>
      </c>
      <c r="AP167" s="168">
        <f t="shared" si="23"/>
        <v>1150000</v>
      </c>
      <c r="AQ167" s="173">
        <f>0.5%+0.02%+0.12%+0.03%</f>
        <v>0.0067</v>
      </c>
      <c r="AU167" s="128">
        <v>650000</v>
      </c>
      <c r="AV167" s="128">
        <v>500000</v>
      </c>
      <c r="BP167" s="128" t="s">
        <v>376</v>
      </c>
      <c r="BR167" s="128" t="s">
        <v>377</v>
      </c>
    </row>
    <row r="168" s="156" customFormat="1" ht="29" customHeight="1" spans="1:74">
      <c r="A168" s="186">
        <f>66+66</f>
        <v>132</v>
      </c>
      <c r="B168" s="186">
        <f>SUM(B4:B167)</f>
        <v>1</v>
      </c>
      <c r="C168" s="152"/>
      <c r="K168" s="156">
        <f t="shared" ref="K168:P168" si="25">SUM(K4:K167)</f>
        <v>19425.76</v>
      </c>
      <c r="L168" s="156">
        <f t="shared" si="25"/>
        <v>14770.45</v>
      </c>
      <c r="N168" s="156">
        <f t="shared" si="25"/>
        <v>85989361</v>
      </c>
      <c r="P168" s="156">
        <f t="shared" si="25"/>
        <v>72019999.05</v>
      </c>
      <c r="S168" s="156">
        <f>SUM(S4:S167)</f>
        <v>79032</v>
      </c>
      <c r="W168" s="156">
        <f t="shared" ref="W168:AA168" si="26">SUM(W4:W167)</f>
        <v>6240837</v>
      </c>
      <c r="Y168" s="156">
        <f>SUM(Y4:Y167)</f>
        <v>30109022</v>
      </c>
      <c r="AA168" s="156">
        <f t="shared" si="26"/>
        <v>25256807</v>
      </c>
      <c r="AC168" s="156">
        <f t="shared" ref="AC168:AG168" si="27">SUM(AC4:AC167)</f>
        <v>18170500</v>
      </c>
      <c r="AE168" s="156">
        <f t="shared" si="27"/>
        <v>1350000</v>
      </c>
      <c r="AG168" s="156">
        <f t="shared" si="27"/>
        <v>0</v>
      </c>
      <c r="AI168" s="156">
        <f t="shared" ref="AI168:AL168" si="28">SUM(AI4:AI167)</f>
        <v>81127166</v>
      </c>
      <c r="AJ168" s="156">
        <f t="shared" si="28"/>
        <v>0</v>
      </c>
      <c r="AK168" s="156">
        <f t="shared" si="28"/>
        <v>0</v>
      </c>
      <c r="AL168" s="156">
        <f t="shared" si="28"/>
        <v>4862195</v>
      </c>
      <c r="AP168" s="156">
        <f t="shared" ref="AP168:BA168" si="29">SUM(AP4:AP167)</f>
        <v>79082528</v>
      </c>
      <c r="AR168" s="156">
        <f t="shared" si="29"/>
        <v>231385</v>
      </c>
      <c r="AS168" s="156">
        <f t="shared" si="29"/>
        <v>283338</v>
      </c>
      <c r="AT168" s="156">
        <f t="shared" si="29"/>
        <v>2118985</v>
      </c>
      <c r="AU168" s="156">
        <f t="shared" si="29"/>
        <v>2758000</v>
      </c>
      <c r="AV168" s="156">
        <f t="shared" si="29"/>
        <v>2482891</v>
      </c>
      <c r="AW168" s="156">
        <f t="shared" si="29"/>
        <v>5350725</v>
      </c>
      <c r="AX168" s="156">
        <f t="shared" si="29"/>
        <v>3216121</v>
      </c>
      <c r="AY168" s="156">
        <f t="shared" si="29"/>
        <v>3069477</v>
      </c>
      <c r="AZ168" s="156">
        <f t="shared" si="29"/>
        <v>6490594</v>
      </c>
      <c r="BA168" s="156">
        <f t="shared" si="29"/>
        <v>6479350</v>
      </c>
      <c r="BB168" s="156">
        <f t="shared" ref="BB168:BL168" si="30">SUM(BB4:BB167)</f>
        <v>2671447</v>
      </c>
      <c r="BC168" s="156">
        <f t="shared" si="30"/>
        <v>4028175</v>
      </c>
      <c r="BD168" s="156">
        <f t="shared" si="30"/>
        <v>6165501</v>
      </c>
      <c r="BE168" s="156">
        <f t="shared" si="30"/>
        <v>4415406</v>
      </c>
      <c r="BF168" s="156">
        <f t="shared" si="30"/>
        <v>7329957</v>
      </c>
      <c r="BG168" s="156">
        <f t="shared" si="30"/>
        <v>4408041</v>
      </c>
      <c r="BH168" s="156">
        <f t="shared" si="30"/>
        <v>1671000</v>
      </c>
      <c r="BI168" s="156">
        <f t="shared" si="30"/>
        <v>6141194</v>
      </c>
      <c r="BJ168" s="156">
        <f t="shared" si="30"/>
        <v>3904160</v>
      </c>
      <c r="BK168" s="156">
        <f t="shared" si="30"/>
        <v>5734981</v>
      </c>
      <c r="BL168" s="156">
        <f t="shared" si="30"/>
        <v>131800</v>
      </c>
      <c r="BN168" s="156">
        <f t="shared" ref="BN168:BV168" si="31">SUM(BN4:BN167)</f>
        <v>1093.94</v>
      </c>
      <c r="BR168" s="156">
        <f t="shared" si="31"/>
        <v>0</v>
      </c>
      <c r="BS168" s="156">
        <f t="shared" si="31"/>
        <v>0</v>
      </c>
      <c r="BT168" s="156">
        <f t="shared" si="31"/>
        <v>0</v>
      </c>
      <c r="BU168" s="156">
        <f t="shared" si="31"/>
        <v>0</v>
      </c>
      <c r="BV168" s="156">
        <f t="shared" si="31"/>
        <v>0</v>
      </c>
    </row>
    <row r="169" s="107" customFormat="1" ht="29" hidden="1" customHeight="1" spans="1:74">
      <c r="C169" s="109"/>
      <c r="K169" s="157"/>
      <c r="L169" s="157"/>
      <c r="M169" s="157"/>
      <c r="N169" s="157"/>
      <c r="O169" s="157"/>
      <c r="P169" s="107">
        <f>P168+'画堂春锦苑商业16#19#'!Q64</f>
        <v>72859428.41</v>
      </c>
      <c r="R169" s="107" t="s">
        <v>73</v>
      </c>
      <c r="AI169" s="157"/>
    </row>
    <row r="170" s="107" customFormat="1" ht="14.25" hidden="1" spans="1:74">
      <c r="C170" s="109"/>
      <c r="K170" s="157"/>
      <c r="L170" s="157"/>
      <c r="M170" s="157"/>
      <c r="N170" s="157"/>
      <c r="O170" s="157"/>
      <c r="R170" s="107" t="s">
        <v>6571</v>
      </c>
      <c r="S170" s="157">
        <v>75000</v>
      </c>
      <c r="AI170" s="157"/>
    </row>
    <row r="171" s="107" customFormat="1" ht="22" hidden="1" customHeight="1" spans="1:74">
      <c r="C171" s="109"/>
      <c r="K171" s="157"/>
      <c r="L171" s="157"/>
      <c r="M171" s="157"/>
      <c r="N171" s="157"/>
      <c r="O171" s="157"/>
      <c r="R171" s="107" t="s">
        <v>6572</v>
      </c>
      <c r="S171" s="157">
        <v>4032</v>
      </c>
      <c r="AI171" s="157"/>
    </row>
    <row r="172" ht="14.25" hidden="1"/>
    <row r="173" ht="14.25" hidden="1" spans="1:74">
      <c r="BN173" s="107" t="s">
        <v>3294</v>
      </c>
    </row>
    <row r="174" customHeight="1" spans="1:74">
      <c r="BP174" s="128"/>
    </row>
  </sheetData>
  <autoFilter xmlns:etc="http://www.wps.cn/officeDocument/2017/etCustomData" ref="A3:BV173" etc:filterBottomFollowUsedRange="0">
    <filterColumn colId="1">
      <filters>
        <filter val="1"/>
      </filters>
    </filterColumn>
    <extLst/>
  </autoFilter>
  <mergeCells count="49">
    <mergeCell ref="A1:AO1"/>
    <mergeCell ref="P2:R2"/>
    <mergeCell ref="W2:AH2"/>
    <mergeCell ref="A2:A3"/>
    <mergeCell ref="B2:B3"/>
    <mergeCell ref="C2:C3"/>
    <mergeCell ref="D2:D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S2:S3"/>
    <mergeCell ref="T2:T3"/>
    <mergeCell ref="U2:U3"/>
    <mergeCell ref="V2:V3"/>
    <mergeCell ref="AI2:AI3"/>
    <mergeCell ref="AJ2:AJ3"/>
    <mergeCell ref="AK2:AK3"/>
    <mergeCell ref="AL2:AL3"/>
    <mergeCell ref="AM2:AM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</mergeCells>
  <conditionalFormatting sqref="J26">
    <cfRule type="expression" dxfId="0" priority="94" stopIfTrue="1">
      <formula>N635&lt;&gt;0</formula>
    </cfRule>
  </conditionalFormatting>
  <conditionalFormatting sqref="J27">
    <cfRule type="expression" dxfId="0" priority="117" stopIfTrue="1">
      <formula>#REF!&lt;&gt;0</formula>
    </cfRule>
  </conditionalFormatting>
  <conditionalFormatting sqref="J29">
    <cfRule type="expression" dxfId="0" priority="111" stopIfTrue="1">
      <formula>N639&lt;&gt;0</formula>
    </cfRule>
  </conditionalFormatting>
  <conditionalFormatting sqref="J30">
    <cfRule type="expression" dxfId="0" priority="109" stopIfTrue="1">
      <formula>N638&lt;&gt;0</formula>
    </cfRule>
  </conditionalFormatting>
  <conditionalFormatting sqref="J31">
    <cfRule type="expression" dxfId="0" priority="92" stopIfTrue="1">
      <formula>N640&lt;&gt;0</formula>
    </cfRule>
  </conditionalFormatting>
  <conditionalFormatting sqref="J32">
    <cfRule type="expression" dxfId="0" priority="104" stopIfTrue="1">
      <formula>N642&lt;&gt;0</formula>
    </cfRule>
  </conditionalFormatting>
  <conditionalFormatting sqref="J44">
    <cfRule type="expression" dxfId="0" priority="82" stopIfTrue="1">
      <formula>N655&lt;&gt;0</formula>
    </cfRule>
  </conditionalFormatting>
  <conditionalFormatting sqref="J45">
    <cfRule type="expression" dxfId="0" priority="115" stopIfTrue="1">
      <formula>N657&lt;&gt;0</formula>
    </cfRule>
  </conditionalFormatting>
  <conditionalFormatting sqref="J46">
    <cfRule type="expression" dxfId="0" priority="113" stopIfTrue="1">
      <formula>N656&lt;&gt;0</formula>
    </cfRule>
  </conditionalFormatting>
  <conditionalFormatting sqref="J47">
    <cfRule type="expression" dxfId="0" priority="80" stopIfTrue="1">
      <formula>N658&lt;&gt;0</formula>
    </cfRule>
  </conditionalFormatting>
  <conditionalFormatting sqref="J48">
    <cfRule type="expression" dxfId="0" priority="65" stopIfTrue="1">
      <formula>N659&lt;&gt;0</formula>
    </cfRule>
  </conditionalFormatting>
  <conditionalFormatting sqref="J69">
    <cfRule type="expression" dxfId="0" priority="106" stopIfTrue="1">
      <formula>N661&lt;&gt;0</formula>
    </cfRule>
  </conditionalFormatting>
  <conditionalFormatting sqref="J83">
    <cfRule type="expression" dxfId="0" priority="121" stopIfTrue="1">
      <formula>N676&lt;&gt;0</formula>
    </cfRule>
  </conditionalFormatting>
  <conditionalFormatting sqref="J110">
    <cfRule type="expression" dxfId="0" priority="30" stopIfTrue="1">
      <formula>N715&lt;&gt;0</formula>
    </cfRule>
  </conditionalFormatting>
  <conditionalFormatting sqref="J111">
    <cfRule type="expression" dxfId="0" priority="53" stopIfTrue="1">
      <formula>#REF!&lt;&gt;0</formula>
    </cfRule>
  </conditionalFormatting>
  <conditionalFormatting sqref="J113">
    <cfRule type="expression" dxfId="0" priority="47" stopIfTrue="1">
      <formula>N719&lt;&gt;0</formula>
    </cfRule>
  </conditionalFormatting>
  <conditionalFormatting sqref="J114">
    <cfRule type="expression" dxfId="0" priority="45" stopIfTrue="1">
      <formula>N718&lt;&gt;0</formula>
    </cfRule>
  </conditionalFormatting>
  <conditionalFormatting sqref="J115">
    <cfRule type="expression" dxfId="0" priority="28" stopIfTrue="1">
      <formula>N720&lt;&gt;0</formula>
    </cfRule>
  </conditionalFormatting>
  <conditionalFormatting sqref="J116">
    <cfRule type="expression" dxfId="0" priority="40" stopIfTrue="1">
      <formula>N722&lt;&gt;0</formula>
    </cfRule>
  </conditionalFormatting>
  <conditionalFormatting sqref="J128">
    <cfRule type="expression" dxfId="0" priority="18" stopIfTrue="1">
      <formula>N735&lt;&gt;0</formula>
    </cfRule>
  </conditionalFormatting>
  <conditionalFormatting sqref="J129">
    <cfRule type="expression" dxfId="0" priority="51" stopIfTrue="1">
      <formula>N737&lt;&gt;0</formula>
    </cfRule>
  </conditionalFormatting>
  <conditionalFormatting sqref="J130">
    <cfRule type="expression" dxfId="0" priority="49" stopIfTrue="1">
      <formula>N736&lt;&gt;0</formula>
    </cfRule>
  </conditionalFormatting>
  <conditionalFormatting sqref="J131">
    <cfRule type="expression" dxfId="0" priority="16" stopIfTrue="1">
      <formula>N738&lt;&gt;0</formula>
    </cfRule>
  </conditionalFormatting>
  <conditionalFormatting sqref="J132">
    <cfRule type="expression" dxfId="0" priority="1" stopIfTrue="1">
      <formula>N739&lt;&gt;0</formula>
    </cfRule>
  </conditionalFormatting>
  <conditionalFormatting sqref="J153">
    <cfRule type="expression" dxfId="0" priority="42" stopIfTrue="1">
      <formula>N741&lt;&gt;0</formula>
    </cfRule>
  </conditionalFormatting>
  <conditionalFormatting sqref="J167">
    <cfRule type="expression" dxfId="0" priority="57" stopIfTrue="1">
      <formula>N756&lt;&gt;0</formula>
    </cfRule>
  </conditionalFormatting>
  <conditionalFormatting sqref="J4:J17">
    <cfRule type="expression" dxfId="0" priority="124" stopIfTrue="1">
      <formula>N597&lt;&gt;0</formula>
    </cfRule>
  </conditionalFormatting>
  <conditionalFormatting sqref="J18:J19">
    <cfRule type="expression" dxfId="0" priority="119" stopIfTrue="1">
      <formula>N627&lt;&gt;0</formula>
    </cfRule>
  </conditionalFormatting>
  <conditionalFormatting sqref="J20:J21">
    <cfRule type="expression" dxfId="0" priority="100" stopIfTrue="1">
      <formula>N629&lt;&gt;0</formula>
    </cfRule>
  </conditionalFormatting>
  <conditionalFormatting sqref="J22:J23">
    <cfRule type="expression" dxfId="0" priority="98" stopIfTrue="1">
      <formula>N631&lt;&gt;0</formula>
    </cfRule>
  </conditionalFormatting>
  <conditionalFormatting sqref="J24:J25">
    <cfRule type="expression" dxfId="0" priority="96" stopIfTrue="1">
      <formula>N633&lt;&gt;0</formula>
    </cfRule>
  </conditionalFormatting>
  <conditionalFormatting sqref="J33:J35">
    <cfRule type="expression" dxfId="0" priority="102" stopIfTrue="1">
      <formula>N644&lt;&gt;0</formula>
    </cfRule>
  </conditionalFormatting>
  <conditionalFormatting sqref="J36:J37">
    <cfRule type="expression" dxfId="0" priority="90" stopIfTrue="1">
      <formula>N647&lt;&gt;0</formula>
    </cfRule>
  </conditionalFormatting>
  <conditionalFormatting sqref="J38:J39">
    <cfRule type="expression" dxfId="0" priority="88" stopIfTrue="1">
      <formula>N649&lt;&gt;0</formula>
    </cfRule>
  </conditionalFormatting>
  <conditionalFormatting sqref="J40:J41">
    <cfRule type="expression" dxfId="0" priority="86" stopIfTrue="1">
      <formula>N651&lt;&gt;0</formula>
    </cfRule>
  </conditionalFormatting>
  <conditionalFormatting sqref="J42:J43">
    <cfRule type="expression" dxfId="0" priority="84" stopIfTrue="1">
      <formula>N653&lt;&gt;0</formula>
    </cfRule>
  </conditionalFormatting>
  <conditionalFormatting sqref="J49:J68">
    <cfRule type="expression" dxfId="0" priority="67" stopIfTrue="1">
      <formula>N660&lt;&gt;0</formula>
    </cfRule>
  </conditionalFormatting>
  <conditionalFormatting sqref="J70:J72">
    <cfRule type="expression" dxfId="0" priority="79" stopIfTrue="1">
      <formula>N663&lt;&gt;0</formula>
    </cfRule>
  </conditionalFormatting>
  <conditionalFormatting sqref="J73:J74">
    <cfRule type="expression" dxfId="0" priority="77" stopIfTrue="1">
      <formula>N666&lt;&gt;0</formula>
    </cfRule>
  </conditionalFormatting>
  <conditionalFormatting sqref="J75:J76">
    <cfRule type="expression" dxfId="0" priority="75" stopIfTrue="1">
      <formula>N668&lt;&gt;0</formula>
    </cfRule>
  </conditionalFormatting>
  <conditionalFormatting sqref="J77:J78">
    <cfRule type="expression" dxfId="0" priority="73" stopIfTrue="1">
      <formula>N670&lt;&gt;0</formula>
    </cfRule>
  </conditionalFormatting>
  <conditionalFormatting sqref="J79:J80">
    <cfRule type="expression" dxfId="0" priority="71" stopIfTrue="1">
      <formula>N672&lt;&gt;0</formula>
    </cfRule>
  </conditionalFormatting>
  <conditionalFormatting sqref="J81:J82">
    <cfRule type="expression" dxfId="0" priority="69" stopIfTrue="1">
      <formula>N674&lt;&gt;0</formula>
    </cfRule>
  </conditionalFormatting>
  <conditionalFormatting sqref="J84:J101">
    <cfRule type="expression" dxfId="0" priority="59" stopIfTrue="1">
      <formula>N677&lt;&gt;0</formula>
    </cfRule>
  </conditionalFormatting>
  <conditionalFormatting sqref="J102:J103">
    <cfRule type="expression" dxfId="0" priority="55" stopIfTrue="1">
      <formula>N707&lt;&gt;0</formula>
    </cfRule>
  </conditionalFormatting>
  <conditionalFormatting sqref="J104:J105">
    <cfRule type="expression" dxfId="0" priority="36" stopIfTrue="1">
      <formula>N709&lt;&gt;0</formula>
    </cfRule>
  </conditionalFormatting>
  <conditionalFormatting sqref="J106:J107">
    <cfRule type="expression" dxfId="0" priority="34" stopIfTrue="1">
      <formula>N711&lt;&gt;0</formula>
    </cfRule>
  </conditionalFormatting>
  <conditionalFormatting sqref="J108:J109">
    <cfRule type="expression" dxfId="0" priority="32" stopIfTrue="1">
      <formula>N713&lt;&gt;0</formula>
    </cfRule>
  </conditionalFormatting>
  <conditionalFormatting sqref="J117:J119">
    <cfRule type="expression" dxfId="0" priority="38" stopIfTrue="1">
      <formula>N724&lt;&gt;0</formula>
    </cfRule>
  </conditionalFormatting>
  <conditionalFormatting sqref="J120:J121">
    <cfRule type="expression" dxfId="0" priority="26" stopIfTrue="1">
      <formula>N727&lt;&gt;0</formula>
    </cfRule>
  </conditionalFormatting>
  <conditionalFormatting sqref="J122:J123">
    <cfRule type="expression" dxfId="0" priority="24" stopIfTrue="1">
      <formula>N729&lt;&gt;0</formula>
    </cfRule>
  </conditionalFormatting>
  <conditionalFormatting sqref="J124:J125">
    <cfRule type="expression" dxfId="0" priority="22" stopIfTrue="1">
      <formula>N731&lt;&gt;0</formula>
    </cfRule>
  </conditionalFormatting>
  <conditionalFormatting sqref="J126:J127">
    <cfRule type="expression" dxfId="0" priority="20" stopIfTrue="1">
      <formula>N733&lt;&gt;0</formula>
    </cfRule>
  </conditionalFormatting>
  <conditionalFormatting sqref="J133:J152">
    <cfRule type="expression" dxfId="0" priority="3" stopIfTrue="1">
      <formula>N740&lt;&gt;0</formula>
    </cfRule>
  </conditionalFormatting>
  <conditionalFormatting sqref="J154:J156">
    <cfRule type="expression" dxfId="0" priority="15" stopIfTrue="1">
      <formula>N743&lt;&gt;0</formula>
    </cfRule>
  </conditionalFormatting>
  <conditionalFormatting sqref="J157:J158">
    <cfRule type="expression" dxfId="0" priority="13" stopIfTrue="1">
      <formula>N746&lt;&gt;0</formula>
    </cfRule>
  </conditionalFormatting>
  <conditionalFormatting sqref="J159:J160">
    <cfRule type="expression" dxfId="0" priority="11" stopIfTrue="1">
      <formula>N748&lt;&gt;0</formula>
    </cfRule>
  </conditionalFormatting>
  <conditionalFormatting sqref="J161:J162">
    <cfRule type="expression" dxfId="0" priority="9" stopIfTrue="1">
      <formula>N750&lt;&gt;0</formula>
    </cfRule>
  </conditionalFormatting>
  <conditionalFormatting sqref="J163:J164">
    <cfRule type="expression" dxfId="0" priority="7" stopIfTrue="1">
      <formula>N752&lt;&gt;0</formula>
    </cfRule>
  </conditionalFormatting>
  <conditionalFormatting sqref="J165:J166">
    <cfRule type="expression" dxfId="0" priority="5" stopIfTrue="1">
      <formula>N754&lt;&gt;0</formula>
    </cfRule>
  </conditionalFormatting>
  <conditionalFormatting sqref="K4:K16">
    <cfRule type="expression" dxfId="1" priority="123" stopIfTrue="1">
      <formula>$G103&lt;&gt;0</formula>
    </cfRule>
    <cfRule type="expression" dxfId="1" priority="126" stopIfTrue="1">
      <formula>$G115&lt;&gt;0</formula>
    </cfRule>
  </conditionalFormatting>
  <conditionalFormatting sqref="K17:K21">
    <cfRule type="expression" dxfId="1" priority="127" stopIfTrue="1">
      <formula>$G116&lt;&gt;0</formula>
    </cfRule>
    <cfRule type="expression" dxfId="1" priority="128" stopIfTrue="1">
      <formula>$G212&lt;&gt;0</formula>
    </cfRule>
  </conditionalFormatting>
  <conditionalFormatting sqref="K22:K39">
    <cfRule type="expression" dxfId="1" priority="63" stopIfTrue="1">
      <formula>$G121&lt;&gt;0</formula>
    </cfRule>
    <cfRule type="expression" dxfId="1" priority="64" stopIfTrue="1">
      <formula>$G217&lt;&gt;0</formula>
    </cfRule>
  </conditionalFormatting>
  <conditionalFormatting sqref="K40:K83">
    <cfRule type="expression" dxfId="1" priority="129" stopIfTrue="1">
      <formula>$G223&lt;&gt;0</formula>
    </cfRule>
    <cfRule type="expression" dxfId="1" priority="130" stopIfTrue="1">
      <formula>$G235&lt;&gt;0</formula>
    </cfRule>
  </conditionalFormatting>
  <conditionalFormatting sqref="K84:K167">
    <cfRule type="expression" dxfId="1" priority="61" stopIfTrue="1">
      <formula>$G84&lt;&gt;0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O79"/>
  <sheetViews>
    <sheetView zoomScale="85" zoomScaleNormal="85" topLeftCell="AX1" workbookViewId="0">
      <pane ySplit="3" topLeftCell="A56" activePane="bottomLeft" state="frozen"/>
      <selection/>
      <selection pane="bottomLeft" activeCell="BL36" sqref="BL36"/>
    </sheetView>
  </sheetViews>
  <sheetFormatPr defaultColWidth="9" defaultRowHeight="28" customHeight="1"/>
  <cols>
    <col min="1" max="1" width="3.75" style="106" customWidth="1"/>
    <col min="2" max="2" width="7.5" style="107" customWidth="1"/>
    <col min="3" max="3" width="12.3333333333333" style="106" customWidth="1"/>
    <col min="4" max="4" width="12.625" style="106"/>
    <col min="5" max="5" width="9" style="106" customWidth="1"/>
    <col min="6" max="6" width="20.75" style="106" customWidth="1"/>
    <col min="7" max="7" width="25.4666666666667" style="106" customWidth="1"/>
    <col min="8" max="8" width="13.375" style="106" customWidth="1"/>
    <col min="9" max="9" width="11.25" style="106" customWidth="1"/>
    <col min="10" max="12" width="12.875" style="108" customWidth="1"/>
    <col min="13" max="13" width="12.625" style="108" customWidth="1"/>
    <col min="14" max="14" width="17.7916666666667" style="108" customWidth="1"/>
    <col min="15" max="15" width="14.9916666666667" style="108" customWidth="1"/>
    <col min="16" max="16" width="14.8333333333333" style="108" customWidth="1"/>
    <col min="17" max="17" width="14.25" style="106" customWidth="1"/>
    <col min="18" max="18" width="24.1083333333333" style="106" customWidth="1"/>
    <col min="19" max="19" width="16.4666666666667" style="106" customWidth="1"/>
    <col min="20" max="20" width="18.5" style="108" customWidth="1"/>
    <col min="21" max="21" width="12.375" style="106" customWidth="1"/>
    <col min="22" max="22" width="15" style="106" customWidth="1"/>
    <col min="23" max="23" width="14.625" style="106" customWidth="1"/>
    <col min="24" max="24" width="17" style="108" customWidth="1"/>
    <col min="25" max="25" width="15.125" style="106" customWidth="1"/>
    <col min="26" max="26" width="17.625" style="108" customWidth="1"/>
    <col min="27" max="27" width="16.75" style="109" customWidth="1"/>
    <col min="28" max="28" width="17.5" style="108" customWidth="1"/>
    <col min="29" max="29" width="14.75" style="109" customWidth="1"/>
    <col min="30" max="30" width="17.2" style="108" customWidth="1"/>
    <col min="31" max="31" width="14.75" style="106" customWidth="1"/>
    <col min="32" max="32" width="16.6166666666667" style="108" customWidth="1"/>
    <col min="33" max="33" width="14.75" style="106" customWidth="1"/>
    <col min="34" max="34" width="14.75" style="108" customWidth="1"/>
    <col min="35" max="35" width="14.75" style="106" customWidth="1"/>
    <col min="36" max="36" width="17.875" style="108" customWidth="1"/>
    <col min="37" max="37" width="13.625" style="108" customWidth="1"/>
    <col min="38" max="38" width="9" style="108" customWidth="1"/>
    <col min="39" max="39" width="17.875" style="108" customWidth="1"/>
    <col min="40" max="40" width="15.125" style="106" customWidth="1"/>
    <col min="41" max="41" width="14.75" style="106" customWidth="1"/>
    <col min="42" max="42" width="9" style="106" customWidth="1"/>
    <col min="43" max="43" width="18.125" style="106" customWidth="1"/>
    <col min="44" max="44" width="14.875" style="110" customWidth="1"/>
    <col min="45" max="46" width="17.875" style="106" customWidth="1"/>
    <col min="47" max="47" width="15.375" style="106" customWidth="1"/>
    <col min="48" max="53" width="17.875" style="106" customWidth="1"/>
    <col min="54" max="61" width="16.6166666666667" style="106" customWidth="1"/>
    <col min="62" max="62" width="11.5" style="106" customWidth="1"/>
    <col min="63" max="63" width="15.375" style="106" customWidth="1"/>
    <col min="64" max="64" width="13.9" style="106" customWidth="1"/>
    <col min="65" max="16384" width="9" style="106"/>
  </cols>
  <sheetData>
    <row r="1" s="101" customFormat="1" customHeight="1" spans="1:67">
      <c r="A1" s="111" t="s">
        <v>6573</v>
      </c>
      <c r="B1" s="111"/>
      <c r="C1" s="111"/>
      <c r="D1" s="111"/>
      <c r="E1" s="111"/>
      <c r="F1" s="111"/>
      <c r="G1" s="111"/>
      <c r="H1" s="111"/>
      <c r="I1" s="111"/>
      <c r="J1" s="112"/>
      <c r="K1" s="112"/>
      <c r="L1" s="112"/>
      <c r="M1" s="112"/>
      <c r="N1" s="112"/>
      <c r="O1" s="112"/>
      <c r="P1" s="112"/>
      <c r="Q1" s="111"/>
      <c r="R1" s="111"/>
      <c r="S1" s="111"/>
      <c r="T1" s="112"/>
      <c r="U1" s="111"/>
      <c r="V1" s="111"/>
      <c r="W1" s="111"/>
      <c r="X1" s="112"/>
      <c r="Y1" s="111"/>
      <c r="Z1" s="112"/>
      <c r="AA1" s="113"/>
      <c r="AB1" s="112"/>
      <c r="AC1" s="113"/>
      <c r="AD1" s="112"/>
      <c r="AE1" s="111"/>
      <c r="AF1" s="112"/>
      <c r="AG1" s="111"/>
      <c r="AH1" s="112"/>
      <c r="AI1" s="111"/>
      <c r="AJ1" s="112"/>
      <c r="AK1" s="112"/>
      <c r="AL1" s="112"/>
      <c r="AM1" s="112"/>
      <c r="AN1" s="111"/>
      <c r="AO1" s="111"/>
      <c r="AP1" s="111"/>
      <c r="AR1" s="114"/>
    </row>
    <row r="2" s="102" customFormat="1" customHeight="1" spans="1:67">
      <c r="A2" s="111" t="s">
        <v>40</v>
      </c>
      <c r="B2" s="102" t="s">
        <v>287</v>
      </c>
      <c r="C2" s="115" t="s">
        <v>288</v>
      </c>
      <c r="D2" s="102" t="s">
        <v>289</v>
      </c>
      <c r="F2" s="102" t="s">
        <v>291</v>
      </c>
      <c r="G2" s="102" t="s">
        <v>292</v>
      </c>
      <c r="H2" s="102" t="s">
        <v>290</v>
      </c>
      <c r="I2" s="102" t="s">
        <v>294</v>
      </c>
      <c r="J2" s="116" t="s">
        <v>1264</v>
      </c>
      <c r="K2" s="112" t="s">
        <v>296</v>
      </c>
      <c r="L2" s="117" t="s">
        <v>6574</v>
      </c>
      <c r="M2" s="112" t="s">
        <v>297</v>
      </c>
      <c r="N2" s="112" t="s">
        <v>298</v>
      </c>
      <c r="O2" s="117" t="s">
        <v>6575</v>
      </c>
      <c r="P2" s="116" t="s">
        <v>299</v>
      </c>
      <c r="Q2" s="118" t="s">
        <v>301</v>
      </c>
      <c r="R2" s="119"/>
      <c r="S2" s="119"/>
      <c r="T2" s="116" t="s">
        <v>302</v>
      </c>
      <c r="U2" s="120" t="s">
        <v>303</v>
      </c>
      <c r="V2" s="111" t="s">
        <v>304</v>
      </c>
      <c r="W2" s="120" t="s">
        <v>305</v>
      </c>
      <c r="X2" s="112" t="s">
        <v>306</v>
      </c>
      <c r="Y2" s="121"/>
      <c r="Z2" s="112"/>
      <c r="AA2" s="122"/>
      <c r="AB2" s="112"/>
      <c r="AC2" s="122"/>
      <c r="AD2" s="112"/>
      <c r="AE2" s="121"/>
      <c r="AF2" s="112"/>
      <c r="AG2" s="121"/>
      <c r="AH2" s="112"/>
      <c r="AI2" s="121"/>
      <c r="AJ2" s="112" t="s">
        <v>307</v>
      </c>
      <c r="AK2" s="116" t="s">
        <v>58</v>
      </c>
      <c r="AL2" s="112" t="s">
        <v>309</v>
      </c>
      <c r="AM2" s="112" t="s">
        <v>61</v>
      </c>
      <c r="AN2" s="102" t="s">
        <v>310</v>
      </c>
      <c r="AO2" s="102" t="s">
        <v>49</v>
      </c>
      <c r="AP2" s="102" t="s">
        <v>1266</v>
      </c>
      <c r="AQ2" s="123" t="s">
        <v>320</v>
      </c>
      <c r="AR2" s="123" t="s">
        <v>321</v>
      </c>
      <c r="AS2" s="124" t="s">
        <v>5627</v>
      </c>
      <c r="AT2" s="124" t="s">
        <v>3325</v>
      </c>
      <c r="AU2" s="124" t="s">
        <v>3326</v>
      </c>
      <c r="AV2" s="124" t="s">
        <v>6576</v>
      </c>
      <c r="AW2" s="124" t="s">
        <v>6577</v>
      </c>
      <c r="AX2" s="124" t="s">
        <v>6578</v>
      </c>
      <c r="AY2" s="124" t="s">
        <v>6579</v>
      </c>
      <c r="AZ2" s="124" t="s">
        <v>3331</v>
      </c>
      <c r="BA2" s="124" t="s">
        <v>3332</v>
      </c>
      <c r="BB2" s="124" t="s">
        <v>3333</v>
      </c>
      <c r="BC2" s="124" t="s">
        <v>3334</v>
      </c>
      <c r="BD2" s="124" t="s">
        <v>3335</v>
      </c>
      <c r="BE2" s="124" t="s">
        <v>3336</v>
      </c>
      <c r="BF2" s="124" t="s">
        <v>3337</v>
      </c>
      <c r="BG2" s="124" t="s">
        <v>3338</v>
      </c>
      <c r="BH2" s="124" t="s">
        <v>6580</v>
      </c>
      <c r="BI2" s="124" t="s">
        <v>6581</v>
      </c>
      <c r="BJ2" s="125"/>
      <c r="BK2" s="102" t="s">
        <v>351</v>
      </c>
      <c r="BM2" s="102" t="s">
        <v>106</v>
      </c>
      <c r="BN2" s="102" t="s">
        <v>352</v>
      </c>
    </row>
    <row r="3" s="102" customFormat="1" customHeight="1" spans="1:67">
      <c r="A3" s="111"/>
      <c r="C3" s="115"/>
      <c r="E3" s="102" t="s">
        <v>1295</v>
      </c>
      <c r="J3" s="112"/>
      <c r="K3" s="112"/>
      <c r="L3" s="117"/>
      <c r="M3" s="112"/>
      <c r="N3" s="112"/>
      <c r="O3" s="117"/>
      <c r="P3" s="116"/>
      <c r="Q3" s="118" t="s">
        <v>354</v>
      </c>
      <c r="R3" s="119" t="s">
        <v>1296</v>
      </c>
      <c r="S3" s="119" t="s">
        <v>1297</v>
      </c>
      <c r="T3" s="112"/>
      <c r="U3" s="120"/>
      <c r="V3" s="111"/>
      <c r="W3" s="120"/>
      <c r="X3" s="112" t="s">
        <v>356</v>
      </c>
      <c r="Y3" s="102" t="s">
        <v>357</v>
      </c>
      <c r="Z3" s="112" t="s">
        <v>358</v>
      </c>
      <c r="AA3" s="126" t="s">
        <v>357</v>
      </c>
      <c r="AB3" s="112" t="s">
        <v>359</v>
      </c>
      <c r="AC3" s="127" t="s">
        <v>357</v>
      </c>
      <c r="AD3" s="112" t="s">
        <v>360</v>
      </c>
      <c r="AE3" s="102" t="s">
        <v>357</v>
      </c>
      <c r="AF3" s="112" t="s">
        <v>361</v>
      </c>
      <c r="AG3" s="102" t="s">
        <v>357</v>
      </c>
      <c r="AH3" s="112" t="s">
        <v>362</v>
      </c>
      <c r="AI3" s="102" t="s">
        <v>357</v>
      </c>
      <c r="AJ3" s="112"/>
      <c r="AK3" s="112"/>
      <c r="AL3" s="112"/>
      <c r="AM3" s="112"/>
      <c r="AQ3" s="123"/>
      <c r="AR3" s="123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  <c r="BI3" s="124"/>
      <c r="BJ3" s="125"/>
    </row>
    <row r="4" s="103" customFormat="1" customHeight="1" spans="1:67">
      <c r="A4" s="103">
        <v>1</v>
      </c>
      <c r="B4" s="128"/>
      <c r="C4" s="129">
        <v>45734</v>
      </c>
      <c r="D4" s="103">
        <v>20250001362</v>
      </c>
      <c r="E4" s="103"/>
      <c r="F4" s="1021" t="s">
        <v>212</v>
      </c>
      <c r="G4" s="130" t="s">
        <v>213</v>
      </c>
      <c r="H4" s="103"/>
      <c r="I4" s="128" t="s">
        <v>6582</v>
      </c>
      <c r="J4" s="131">
        <v>86.11</v>
      </c>
      <c r="K4" s="132">
        <v>86.51</v>
      </c>
      <c r="L4" s="132">
        <v>86.51</v>
      </c>
      <c r="M4" s="132">
        <v>20000</v>
      </c>
      <c r="N4" s="132">
        <f>ROUND(L4*M4,0)</f>
        <v>1730200</v>
      </c>
      <c r="O4" s="133">
        <v>8000</v>
      </c>
      <c r="P4" s="131">
        <v>20000</v>
      </c>
      <c r="Q4" s="103"/>
      <c r="R4" s="103"/>
      <c r="S4" s="103"/>
      <c r="T4" s="132"/>
      <c r="U4" s="103"/>
      <c r="V4" s="103"/>
      <c r="W4" s="103" t="s">
        <v>383</v>
      </c>
      <c r="X4" s="132">
        <v>100000</v>
      </c>
      <c r="Y4" s="103" t="s">
        <v>4968</v>
      </c>
      <c r="Z4" s="132">
        <f>200000+562200</f>
        <v>762200</v>
      </c>
      <c r="AA4" s="134" t="s">
        <v>912</v>
      </c>
      <c r="AB4" s="132"/>
      <c r="AC4" s="134"/>
      <c r="AD4" s="132"/>
      <c r="AE4" s="103"/>
      <c r="AF4" s="132"/>
      <c r="AG4" s="103"/>
      <c r="AH4" s="132"/>
      <c r="AI4" s="103"/>
      <c r="AJ4" s="132">
        <f t="shared" ref="AJ4:AJ13" si="0">X4+Z4+AB4+AD4+AF4+AH4</f>
        <v>862200</v>
      </c>
      <c r="AK4" s="132"/>
      <c r="AL4" s="132"/>
      <c r="AM4" s="132">
        <f t="shared" ref="AM4:AM13" si="1">N4-AJ4</f>
        <v>868000</v>
      </c>
      <c r="AN4" s="103">
        <v>15109969288</v>
      </c>
      <c r="AO4" s="103" t="s">
        <v>690</v>
      </c>
      <c r="AP4" s="103"/>
      <c r="AQ4" s="103">
        <f>SUM(AS4:BJ4)</f>
        <v>862200</v>
      </c>
      <c r="AR4" s="135">
        <f>1%+0.25%+0.03%</f>
        <v>0.0128</v>
      </c>
      <c r="AU4" s="103">
        <v>862200</v>
      </c>
      <c r="BH4" s="136"/>
      <c r="BM4" s="103" t="s">
        <v>376</v>
      </c>
      <c r="BO4" s="103" t="s">
        <v>6583</v>
      </c>
    </row>
    <row r="5" s="103" customFormat="1" customHeight="1" spans="1:67">
      <c r="A5" s="103">
        <v>2</v>
      </c>
      <c r="B5" s="128"/>
      <c r="C5" s="129">
        <v>46145</v>
      </c>
      <c r="D5" s="103">
        <v>20260002112</v>
      </c>
      <c r="E5" s="103"/>
      <c r="F5" s="1021" t="s">
        <v>212</v>
      </c>
      <c r="G5" s="130" t="s">
        <v>213</v>
      </c>
      <c r="H5" s="103"/>
      <c r="I5" s="128" t="s">
        <v>214</v>
      </c>
      <c r="J5" s="131">
        <v>54.01</v>
      </c>
      <c r="K5" s="132">
        <v>54.26</v>
      </c>
      <c r="L5" s="132">
        <v>54.26</v>
      </c>
      <c r="M5" s="132">
        <v>17279.65</v>
      </c>
      <c r="N5" s="132">
        <f>4320+933274</f>
        <v>937594</v>
      </c>
      <c r="O5" s="133">
        <v>4320</v>
      </c>
      <c r="P5" s="131">
        <v>17800</v>
      </c>
      <c r="Q5" s="103"/>
      <c r="R5" s="103"/>
      <c r="S5" s="103"/>
      <c r="T5" s="132">
        <v>4320</v>
      </c>
      <c r="U5" s="103" t="s">
        <v>6584</v>
      </c>
      <c r="V5" s="103"/>
      <c r="W5" s="130" t="s">
        <v>383</v>
      </c>
      <c r="X5" s="132">
        <v>100000</v>
      </c>
      <c r="Y5" s="103" t="s">
        <v>4968</v>
      </c>
      <c r="Z5" s="132">
        <v>383274</v>
      </c>
      <c r="AA5" s="103" t="s">
        <v>6217</v>
      </c>
      <c r="AB5" s="132">
        <v>4320</v>
      </c>
      <c r="AC5" s="103" t="s">
        <v>6584</v>
      </c>
      <c r="AD5" s="132"/>
      <c r="AE5" s="103"/>
      <c r="AF5" s="132"/>
      <c r="AG5" s="103"/>
      <c r="AH5" s="132"/>
      <c r="AI5" s="103"/>
      <c r="AJ5" s="132">
        <f t="shared" si="0"/>
        <v>487594</v>
      </c>
      <c r="AK5" s="132"/>
      <c r="AL5" s="132"/>
      <c r="AM5" s="132">
        <f t="shared" si="1"/>
        <v>450000</v>
      </c>
      <c r="AN5" s="103">
        <v>15109969288</v>
      </c>
      <c r="AO5" s="103" t="s">
        <v>690</v>
      </c>
      <c r="AQ5" s="103">
        <f t="shared" ref="AQ5:AQ36" si="2">SUM(AS5:BJ5)</f>
        <v>0</v>
      </c>
      <c r="AR5" s="135">
        <f>1%+0.25%+0.03%</f>
        <v>0.0128</v>
      </c>
      <c r="BH5" s="136"/>
      <c r="BM5" s="103" t="s">
        <v>376</v>
      </c>
      <c r="BO5" s="103" t="s">
        <v>6585</v>
      </c>
    </row>
    <row r="6" s="103" customFormat="1" customHeight="1" spans="1:67">
      <c r="A6" s="103">
        <v>3</v>
      </c>
      <c r="B6" s="128"/>
      <c r="C6" s="129">
        <v>45779</v>
      </c>
      <c r="D6" s="103">
        <v>20250002358</v>
      </c>
      <c r="E6" s="103"/>
      <c r="F6" s="1021" t="s">
        <v>6586</v>
      </c>
      <c r="G6" s="103" t="s">
        <v>6587</v>
      </c>
      <c r="H6" s="103"/>
      <c r="I6" s="128" t="s">
        <v>6588</v>
      </c>
      <c r="J6" s="131">
        <v>104.3</v>
      </c>
      <c r="K6" s="132">
        <v>99.12</v>
      </c>
      <c r="L6" s="132">
        <v>99.12</v>
      </c>
      <c r="M6" s="132">
        <v>17500</v>
      </c>
      <c r="N6" s="132">
        <f>ROUND(L6*M6,0)</f>
        <v>1734600</v>
      </c>
      <c r="O6" s="133">
        <v>-90650</v>
      </c>
      <c r="P6" s="131">
        <v>17500</v>
      </c>
      <c r="Q6" s="103"/>
      <c r="R6" s="103"/>
      <c r="S6" s="103"/>
      <c r="T6" s="132"/>
      <c r="U6" s="129"/>
      <c r="V6" s="103"/>
      <c r="W6" s="103" t="s">
        <v>383</v>
      </c>
      <c r="X6" s="132">
        <v>50000</v>
      </c>
      <c r="Y6" s="103" t="s">
        <v>3502</v>
      </c>
      <c r="Z6" s="132">
        <f>340000+110000</f>
        <v>450000</v>
      </c>
      <c r="AA6" s="134" t="s">
        <v>3994</v>
      </c>
      <c r="AB6" s="132">
        <v>410000</v>
      </c>
      <c r="AC6" s="134" t="s">
        <v>5912</v>
      </c>
      <c r="AD6" s="132">
        <v>5250</v>
      </c>
      <c r="AE6" s="103" t="s">
        <v>3681</v>
      </c>
      <c r="AF6" s="132">
        <v>300000</v>
      </c>
      <c r="AG6" s="129">
        <v>45884</v>
      </c>
      <c r="AH6" s="132">
        <f>300000+310000</f>
        <v>610000</v>
      </c>
      <c r="AI6" s="137" t="s">
        <v>6589</v>
      </c>
      <c r="AJ6" s="132">
        <f t="shared" si="0"/>
        <v>1825250</v>
      </c>
      <c r="AK6" s="132"/>
      <c r="AL6" s="132"/>
      <c r="AM6" s="132">
        <f t="shared" si="1"/>
        <v>-90650</v>
      </c>
      <c r="AN6" s="103">
        <v>13150253833</v>
      </c>
      <c r="AO6" s="103" t="s">
        <v>502</v>
      </c>
      <c r="AQ6" s="103">
        <f t="shared" si="2"/>
        <v>1825250</v>
      </c>
      <c r="AR6" s="135">
        <f>1%+0.25%+0.03%</f>
        <v>0.0128</v>
      </c>
      <c r="AW6" s="103">
        <v>915250</v>
      </c>
      <c r="BC6" s="103">
        <v>910000</v>
      </c>
      <c r="BH6" s="136"/>
      <c r="BM6" s="103" t="s">
        <v>376</v>
      </c>
      <c r="BO6" s="103" t="s">
        <v>377</v>
      </c>
    </row>
    <row r="7" s="103" customFormat="1" customHeight="1" spans="1:67">
      <c r="A7" s="103">
        <v>4</v>
      </c>
      <c r="B7" s="128"/>
      <c r="C7" s="129">
        <v>45782</v>
      </c>
      <c r="D7" s="103">
        <v>20250002558</v>
      </c>
      <c r="E7" s="103"/>
      <c r="F7" s="1021" t="s">
        <v>6590</v>
      </c>
      <c r="G7" s="103" t="s">
        <v>6591</v>
      </c>
      <c r="H7" s="103"/>
      <c r="I7" s="128" t="s">
        <v>6592</v>
      </c>
      <c r="J7" s="131">
        <v>48.88</v>
      </c>
      <c r="K7" s="132">
        <v>49.1</v>
      </c>
      <c r="L7" s="132">
        <v>49.1</v>
      </c>
      <c r="M7" s="132">
        <v>17860.06</v>
      </c>
      <c r="N7" s="132">
        <v>876930</v>
      </c>
      <c r="O7" s="133">
        <v>3930</v>
      </c>
      <c r="P7" s="131">
        <v>17860.06</v>
      </c>
      <c r="Q7" s="103"/>
      <c r="R7" s="103"/>
      <c r="S7" s="103"/>
      <c r="T7" s="132"/>
      <c r="U7" s="129"/>
      <c r="V7" s="103"/>
      <c r="W7" s="103" t="s">
        <v>373</v>
      </c>
      <c r="X7" s="132">
        <v>20000</v>
      </c>
      <c r="Y7" s="103" t="s">
        <v>4244</v>
      </c>
      <c r="Z7" s="132">
        <v>480000</v>
      </c>
      <c r="AA7" s="134" t="s">
        <v>3681</v>
      </c>
      <c r="AB7" s="132">
        <v>73000</v>
      </c>
      <c r="AC7" s="134" t="s">
        <v>2750</v>
      </c>
      <c r="AD7" s="132">
        <v>300000</v>
      </c>
      <c r="AE7" s="129">
        <v>45867</v>
      </c>
      <c r="AF7" s="132">
        <v>3930</v>
      </c>
      <c r="AG7" s="129" t="s">
        <v>6593</v>
      </c>
      <c r="AH7" s="132"/>
      <c r="AI7" s="103"/>
      <c r="AJ7" s="132">
        <f t="shared" si="0"/>
        <v>876930</v>
      </c>
      <c r="AK7" s="132"/>
      <c r="AL7" s="132"/>
      <c r="AM7" s="132">
        <f t="shared" si="1"/>
        <v>0</v>
      </c>
      <c r="AN7" s="103">
        <v>18703021005</v>
      </c>
      <c r="AO7" s="103" t="s">
        <v>690</v>
      </c>
      <c r="AP7" s="103"/>
      <c r="AQ7" s="103">
        <f t="shared" si="2"/>
        <v>873000</v>
      </c>
      <c r="AR7" s="135">
        <f t="shared" ref="AR7:AR9" si="3">1%+0.18%+0.14%+0.03%</f>
        <v>0.0135</v>
      </c>
      <c r="AY7" s="103">
        <v>873000</v>
      </c>
      <c r="BH7" s="136"/>
      <c r="BM7" s="103" t="s">
        <v>376</v>
      </c>
      <c r="BO7" s="103" t="s">
        <v>377</v>
      </c>
    </row>
    <row r="8" s="103" customFormat="1" customHeight="1" spans="1:67">
      <c r="A8" s="103">
        <v>5</v>
      </c>
      <c r="B8" s="128"/>
      <c r="C8" s="129">
        <v>45778</v>
      </c>
      <c r="D8" s="103">
        <v>20250002330</v>
      </c>
      <c r="E8" s="103"/>
      <c r="F8" s="1021" t="s">
        <v>6594</v>
      </c>
      <c r="G8" s="103" t="s">
        <v>6595</v>
      </c>
      <c r="H8" s="103"/>
      <c r="I8" s="128" t="s">
        <v>6596</v>
      </c>
      <c r="J8" s="131">
        <v>49.18</v>
      </c>
      <c r="K8" s="132">
        <v>49.41</v>
      </c>
      <c r="L8" s="132">
        <v>49.41</v>
      </c>
      <c r="M8" s="132">
        <v>17893.45</v>
      </c>
      <c r="N8" s="132">
        <v>884116</v>
      </c>
      <c r="O8" s="133">
        <v>4116</v>
      </c>
      <c r="P8" s="131">
        <v>17893.45</v>
      </c>
      <c r="Q8" s="103"/>
      <c r="R8" s="103"/>
      <c r="S8" s="103"/>
      <c r="T8" s="132"/>
      <c r="U8" s="129"/>
      <c r="V8" s="103"/>
      <c r="W8" s="103" t="s">
        <v>486</v>
      </c>
      <c r="X8" s="132">
        <v>100000</v>
      </c>
      <c r="Y8" s="103" t="s">
        <v>2807</v>
      </c>
      <c r="Z8" s="132">
        <v>340000</v>
      </c>
      <c r="AA8" s="134" t="s">
        <v>3357</v>
      </c>
      <c r="AB8" s="132">
        <v>440000</v>
      </c>
      <c r="AC8" s="138">
        <v>46092</v>
      </c>
      <c r="AD8" s="132">
        <v>4116</v>
      </c>
      <c r="AE8" s="103" t="s">
        <v>6597</v>
      </c>
      <c r="AF8" s="132"/>
      <c r="AG8" s="103"/>
      <c r="AH8" s="132"/>
      <c r="AI8" s="103"/>
      <c r="AJ8" s="132">
        <f t="shared" si="0"/>
        <v>884116</v>
      </c>
      <c r="AK8" s="132"/>
      <c r="AL8" s="132"/>
      <c r="AM8" s="132">
        <f t="shared" si="1"/>
        <v>0</v>
      </c>
      <c r="AN8" s="103">
        <v>18197908180</v>
      </c>
      <c r="AO8" s="103" t="s">
        <v>690</v>
      </c>
      <c r="AQ8" s="103">
        <f t="shared" si="2"/>
        <v>880000</v>
      </c>
      <c r="AR8" s="135">
        <f t="shared" si="3"/>
        <v>0.0135</v>
      </c>
      <c r="AW8" s="103">
        <v>440000</v>
      </c>
      <c r="BG8" s="103">
        <v>440000</v>
      </c>
      <c r="BH8" s="136"/>
      <c r="BM8" s="103" t="s">
        <v>376</v>
      </c>
      <c r="BO8" s="103" t="s">
        <v>377</v>
      </c>
    </row>
    <row r="9" s="103" customFormat="1" customHeight="1" spans="1:67">
      <c r="A9" s="103">
        <v>6</v>
      </c>
      <c r="B9" s="128"/>
      <c r="C9" s="129">
        <v>45781</v>
      </c>
      <c r="D9" s="103">
        <v>20250002504</v>
      </c>
      <c r="E9" s="103"/>
      <c r="F9" s="1021" t="s">
        <v>6598</v>
      </c>
      <c r="G9" s="103" t="s">
        <v>6599</v>
      </c>
      <c r="H9" s="103"/>
      <c r="I9" s="128" t="s">
        <v>6600</v>
      </c>
      <c r="J9" s="131">
        <v>50.43</v>
      </c>
      <c r="K9" s="132">
        <v>50.66</v>
      </c>
      <c r="L9" s="132">
        <v>50.66</v>
      </c>
      <c r="M9" s="132">
        <v>17945.66</v>
      </c>
      <c r="N9" s="132">
        <v>909128</v>
      </c>
      <c r="O9" s="133">
        <v>4128</v>
      </c>
      <c r="P9" s="131">
        <v>17899.57</v>
      </c>
      <c r="Q9" s="103"/>
      <c r="R9" s="103"/>
      <c r="S9" s="103"/>
      <c r="T9" s="132"/>
      <c r="U9" s="103"/>
      <c r="V9" s="103"/>
      <c r="W9" s="103" t="s">
        <v>524</v>
      </c>
      <c r="X9" s="132">
        <v>100000</v>
      </c>
      <c r="Y9" s="103" t="s">
        <v>3370</v>
      </c>
      <c r="Z9" s="132">
        <v>805000</v>
      </c>
      <c r="AA9" s="134" t="s">
        <v>5912</v>
      </c>
      <c r="AB9" s="132">
        <v>4128</v>
      </c>
      <c r="AC9" s="103" t="s">
        <v>2963</v>
      </c>
      <c r="AD9" s="132"/>
      <c r="AE9" s="103"/>
      <c r="AF9" s="132"/>
      <c r="AG9" s="103"/>
      <c r="AH9" s="132"/>
      <c r="AI9" s="103"/>
      <c r="AJ9" s="132">
        <f t="shared" si="0"/>
        <v>909128</v>
      </c>
      <c r="AK9" s="132"/>
      <c r="AL9" s="132"/>
      <c r="AM9" s="132">
        <f t="shared" si="1"/>
        <v>0</v>
      </c>
      <c r="AN9" s="103">
        <v>18096807590</v>
      </c>
      <c r="AO9" s="103" t="s">
        <v>690</v>
      </c>
      <c r="AP9" s="103"/>
      <c r="AQ9" s="103">
        <f t="shared" si="2"/>
        <v>905000</v>
      </c>
      <c r="AR9" s="135">
        <f t="shared" si="3"/>
        <v>0.0135</v>
      </c>
      <c r="AW9" s="103">
        <v>905000</v>
      </c>
      <c r="BH9" s="136"/>
      <c r="BM9" s="103" t="s">
        <v>376</v>
      </c>
      <c r="BO9" s="103" t="s">
        <v>377</v>
      </c>
    </row>
    <row r="10" s="103" customFormat="1" customHeight="1" spans="1:67">
      <c r="A10" s="103">
        <v>7</v>
      </c>
      <c r="B10" s="128"/>
      <c r="C10" s="129">
        <v>45714</v>
      </c>
      <c r="D10" s="103">
        <v>20250000848</v>
      </c>
      <c r="E10" s="103"/>
      <c r="F10" s="103" t="s">
        <v>6601</v>
      </c>
      <c r="G10" s="103" t="s">
        <v>6602</v>
      </c>
      <c r="H10" s="103"/>
      <c r="I10" s="128" t="s">
        <v>6603</v>
      </c>
      <c r="J10" s="131">
        <v>60.3</v>
      </c>
      <c r="K10" s="132">
        <v>60.58</v>
      </c>
      <c r="L10" s="132">
        <v>60.58</v>
      </c>
      <c r="M10" s="132">
        <v>18000</v>
      </c>
      <c r="N10" s="132">
        <f>ROUND(L10*M10,0)</f>
        <v>1090440</v>
      </c>
      <c r="O10" s="133">
        <v>5040</v>
      </c>
      <c r="P10" s="131">
        <v>17805.78</v>
      </c>
      <c r="Q10" s="103"/>
      <c r="R10" s="103"/>
      <c r="S10" s="103"/>
      <c r="T10" s="132"/>
      <c r="U10" s="103"/>
      <c r="V10" s="1021" t="s">
        <v>3254</v>
      </c>
      <c r="W10" s="103" t="s">
        <v>400</v>
      </c>
      <c r="X10" s="132">
        <v>5000</v>
      </c>
      <c r="Y10" s="103" t="s">
        <v>1022</v>
      </c>
      <c r="Z10" s="132">
        <v>95000</v>
      </c>
      <c r="AA10" s="134" t="s">
        <v>3399</v>
      </c>
      <c r="AB10" s="132">
        <v>985400</v>
      </c>
      <c r="AC10" s="134" t="s">
        <v>6604</v>
      </c>
      <c r="AD10" s="132"/>
      <c r="AE10" s="103"/>
      <c r="AF10" s="132"/>
      <c r="AG10" s="103"/>
      <c r="AH10" s="132"/>
      <c r="AI10" s="103"/>
      <c r="AJ10" s="132">
        <f t="shared" si="0"/>
        <v>1085400</v>
      </c>
      <c r="AK10" s="132"/>
      <c r="AL10" s="132"/>
      <c r="AM10" s="132">
        <f t="shared" si="1"/>
        <v>5040</v>
      </c>
      <c r="AN10" s="103">
        <v>13999615069</v>
      </c>
      <c r="AQ10" s="103">
        <f t="shared" si="2"/>
        <v>1085400</v>
      </c>
      <c r="AR10" s="135">
        <f>1%+0.18%+0.25%+0.03%</f>
        <v>0.0146</v>
      </c>
      <c r="AT10" s="103">
        <v>1085400</v>
      </c>
      <c r="BH10" s="136"/>
      <c r="BM10" s="103" t="s">
        <v>376</v>
      </c>
      <c r="BO10" s="103" t="s">
        <v>377</v>
      </c>
    </row>
    <row r="11" s="103" customFormat="1" customHeight="1" spans="1:67">
      <c r="A11" s="103">
        <v>8</v>
      </c>
      <c r="B11" s="128"/>
      <c r="C11" s="129">
        <v>45937</v>
      </c>
      <c r="D11" s="103">
        <v>20250005147</v>
      </c>
      <c r="E11" s="103"/>
      <c r="F11" s="1021" t="s">
        <v>6605</v>
      </c>
      <c r="G11" s="103" t="s">
        <v>6606</v>
      </c>
      <c r="H11" s="103"/>
      <c r="I11" s="128" t="s">
        <v>6607</v>
      </c>
      <c r="J11" s="131">
        <v>51.52</v>
      </c>
      <c r="K11" s="132">
        <v>51.76</v>
      </c>
      <c r="L11" s="132">
        <v>51.76</v>
      </c>
      <c r="M11" s="132">
        <v>17117.39</v>
      </c>
      <c r="N11" s="132">
        <v>885997</v>
      </c>
      <c r="O11" s="133">
        <v>4109</v>
      </c>
      <c r="P11" s="131">
        <v>17007.39</v>
      </c>
      <c r="Q11" s="103"/>
      <c r="R11" s="103"/>
      <c r="S11" s="103"/>
      <c r="T11" s="132"/>
      <c r="U11" s="129"/>
      <c r="V11" s="103"/>
      <c r="W11" s="103"/>
      <c r="X11" s="132">
        <f>441888+440000</f>
        <v>881888</v>
      </c>
      <c r="Y11" s="129">
        <v>45937</v>
      </c>
      <c r="Z11" s="132">
        <v>4109</v>
      </c>
      <c r="AA11" s="129" t="s">
        <v>6232</v>
      </c>
      <c r="AB11" s="132"/>
      <c r="AC11" s="134"/>
      <c r="AD11" s="132"/>
      <c r="AE11" s="103"/>
      <c r="AF11" s="132"/>
      <c r="AG11" s="103"/>
      <c r="AH11" s="132"/>
      <c r="AI11" s="103"/>
      <c r="AJ11" s="132">
        <f t="shared" si="0"/>
        <v>885997</v>
      </c>
      <c r="AK11" s="132"/>
      <c r="AL11" s="132"/>
      <c r="AM11" s="132">
        <f t="shared" si="1"/>
        <v>0</v>
      </c>
      <c r="AQ11" s="103">
        <f t="shared" si="2"/>
        <v>881888</v>
      </c>
      <c r="AR11" s="135">
        <f>1%+0.18%+0.14%+0.03%</f>
        <v>0.0135</v>
      </c>
      <c r="BB11" s="103">
        <v>881888</v>
      </c>
      <c r="BH11" s="136"/>
      <c r="BM11" s="103" t="s">
        <v>3376</v>
      </c>
      <c r="BO11" s="103" t="s">
        <v>377</v>
      </c>
    </row>
    <row r="12" s="103" customFormat="1" customHeight="1" spans="1:67">
      <c r="A12" s="103">
        <v>9</v>
      </c>
      <c r="B12" s="128"/>
      <c r="C12" s="129">
        <v>45833</v>
      </c>
      <c r="D12" s="103">
        <v>20250003411</v>
      </c>
      <c r="E12" s="103"/>
      <c r="F12" s="1021" t="s">
        <v>6608</v>
      </c>
      <c r="G12" s="103" t="s">
        <v>6609</v>
      </c>
      <c r="H12" s="1021" t="s">
        <v>6610</v>
      </c>
      <c r="I12" s="128" t="s">
        <v>6611</v>
      </c>
      <c r="J12" s="131">
        <v>51.52</v>
      </c>
      <c r="K12" s="132">
        <v>51.76</v>
      </c>
      <c r="L12" s="132">
        <v>51.76</v>
      </c>
      <c r="M12" s="132">
        <v>17274.84</v>
      </c>
      <c r="N12" s="132">
        <f>ROUND(L12*M12,0)</f>
        <v>894146</v>
      </c>
      <c r="O12" s="133">
        <v>4146</v>
      </c>
      <c r="P12" s="131">
        <v>17617.66</v>
      </c>
      <c r="Q12" s="103"/>
      <c r="R12" s="103"/>
      <c r="S12" s="103"/>
      <c r="T12" s="132"/>
      <c r="U12" s="103"/>
      <c r="V12" s="103"/>
      <c r="W12" s="103" t="s">
        <v>840</v>
      </c>
      <c r="X12" s="132">
        <v>10000</v>
      </c>
      <c r="Y12" s="103" t="s">
        <v>957</v>
      </c>
      <c r="Z12" s="132">
        <f>810000+70000</f>
        <v>880000</v>
      </c>
      <c r="AA12" s="134" t="s">
        <v>3682</v>
      </c>
      <c r="AB12" s="132">
        <v>4146</v>
      </c>
      <c r="AC12" s="103" t="s">
        <v>6331</v>
      </c>
      <c r="AD12" s="132"/>
      <c r="AE12" s="103"/>
      <c r="AF12" s="132"/>
      <c r="AG12" s="103"/>
      <c r="AH12" s="132"/>
      <c r="AI12" s="103"/>
      <c r="AJ12" s="132">
        <f t="shared" si="0"/>
        <v>894146</v>
      </c>
      <c r="AK12" s="132"/>
      <c r="AL12" s="132"/>
      <c r="AM12" s="132">
        <f t="shared" si="1"/>
        <v>0</v>
      </c>
      <c r="AN12" s="103">
        <v>18999014233</v>
      </c>
      <c r="AO12" s="103" t="s">
        <v>690</v>
      </c>
      <c r="AP12" s="103"/>
      <c r="AQ12" s="103">
        <f t="shared" si="2"/>
        <v>890000</v>
      </c>
      <c r="AR12" s="135">
        <f>1%+0.14%+0.03%</f>
        <v>0.0117</v>
      </c>
      <c r="AX12" s="103">
        <v>890000</v>
      </c>
      <c r="BM12" s="103" t="s">
        <v>376</v>
      </c>
      <c r="BO12" s="103" t="s">
        <v>377</v>
      </c>
    </row>
    <row r="13" s="103" customFormat="1" customHeight="1" spans="1:67">
      <c r="A13" s="103">
        <v>10</v>
      </c>
      <c r="B13" s="128"/>
      <c r="C13" s="103"/>
      <c r="D13" s="103"/>
      <c r="E13" s="103"/>
      <c r="F13" s="1021" t="s">
        <v>6612</v>
      </c>
      <c r="G13" s="103" t="s">
        <v>6613</v>
      </c>
      <c r="H13" s="1021" t="s">
        <v>6614</v>
      </c>
      <c r="I13" s="128" t="s">
        <v>6615</v>
      </c>
      <c r="J13" s="131">
        <v>64.14</v>
      </c>
      <c r="K13" s="132">
        <v>64.44</v>
      </c>
      <c r="L13" s="132">
        <v>64.44</v>
      </c>
      <c r="M13" s="132">
        <v>16139.04</v>
      </c>
      <c r="N13" s="132">
        <v>1040000</v>
      </c>
      <c r="O13" s="132"/>
      <c r="P13" s="131">
        <v>17200</v>
      </c>
      <c r="Q13" s="103"/>
      <c r="R13" s="103"/>
      <c r="S13" s="103"/>
      <c r="T13" s="132"/>
      <c r="U13" s="103"/>
      <c r="V13" s="103"/>
      <c r="W13" s="103" t="s">
        <v>496</v>
      </c>
      <c r="X13" s="132">
        <v>500000</v>
      </c>
      <c r="Y13" s="103" t="s">
        <v>6616</v>
      </c>
      <c r="Z13" s="132"/>
      <c r="AA13" s="134"/>
      <c r="AB13" s="132"/>
      <c r="AC13" s="134"/>
      <c r="AD13" s="132"/>
      <c r="AE13" s="103"/>
      <c r="AF13" s="132"/>
      <c r="AG13" s="103"/>
      <c r="AH13" s="132"/>
      <c r="AI13" s="103"/>
      <c r="AJ13" s="132">
        <f t="shared" si="0"/>
        <v>500000</v>
      </c>
      <c r="AK13" s="132"/>
      <c r="AL13" s="132"/>
      <c r="AM13" s="132">
        <f t="shared" si="1"/>
        <v>540000</v>
      </c>
      <c r="AN13" s="103">
        <v>18699676616</v>
      </c>
      <c r="AO13" s="103"/>
      <c r="AP13" s="103"/>
      <c r="AQ13" s="103">
        <f t="shared" si="2"/>
        <v>0</v>
      </c>
      <c r="AR13" s="135">
        <f>1%+0.15%+0.14%+0.03%</f>
        <v>0.0132</v>
      </c>
      <c r="BO13" s="103" t="s">
        <v>6617</v>
      </c>
    </row>
    <row r="14" customHeight="1" spans="1:67">
      <c r="G14" s="106" t="s">
        <v>6618</v>
      </c>
      <c r="H14" s="106" t="s">
        <v>6618</v>
      </c>
      <c r="I14" s="101" t="s">
        <v>6619</v>
      </c>
      <c r="J14" s="139">
        <v>92.29</v>
      </c>
      <c r="L14" s="108">
        <v>92.72</v>
      </c>
      <c r="P14" s="139"/>
      <c r="AQ14" s="103">
        <f t="shared" si="2"/>
        <v>0</v>
      </c>
      <c r="AR14" s="106"/>
    </row>
    <row r="15" s="103" customFormat="1" customHeight="1" spans="1:67">
      <c r="A15" s="103">
        <v>11</v>
      </c>
      <c r="B15" s="128"/>
      <c r="C15" s="129"/>
      <c r="D15" s="103"/>
      <c r="E15" s="103"/>
      <c r="F15" s="1021" t="s">
        <v>6612</v>
      </c>
      <c r="G15" s="103" t="s">
        <v>6613</v>
      </c>
      <c r="H15" s="1021" t="s">
        <v>6620</v>
      </c>
      <c r="I15" s="128" t="s">
        <v>6621</v>
      </c>
      <c r="J15" s="131">
        <v>64.81</v>
      </c>
      <c r="K15" s="131">
        <v>65.11</v>
      </c>
      <c r="L15" s="131">
        <v>65.11</v>
      </c>
      <c r="M15" s="132">
        <v>16280.14</v>
      </c>
      <c r="N15" s="132">
        <v>1060000</v>
      </c>
      <c r="O15" s="132"/>
      <c r="P15" s="131">
        <v>17520.94</v>
      </c>
      <c r="Q15" s="103"/>
      <c r="R15" s="103"/>
      <c r="S15" s="103"/>
      <c r="T15" s="132"/>
      <c r="U15" s="103"/>
      <c r="V15" s="103"/>
      <c r="W15" s="103" t="s">
        <v>496</v>
      </c>
      <c r="X15" s="132">
        <v>500000</v>
      </c>
      <c r="Y15" s="103" t="s">
        <v>6616</v>
      </c>
      <c r="Z15" s="132"/>
      <c r="AA15" s="134"/>
      <c r="AB15" s="132"/>
      <c r="AC15" s="134"/>
      <c r="AD15" s="132"/>
      <c r="AE15" s="103"/>
      <c r="AF15" s="132"/>
      <c r="AG15" s="103"/>
      <c r="AH15" s="132"/>
      <c r="AI15" s="103"/>
      <c r="AJ15" s="132">
        <f t="shared" ref="AJ15:AJ36" si="4">X15+Z15+AB15+AD15+AF15+AH15</f>
        <v>500000</v>
      </c>
      <c r="AK15" s="132"/>
      <c r="AL15" s="132"/>
      <c r="AM15" s="132">
        <f>N15-AJ15</f>
        <v>560000</v>
      </c>
      <c r="AN15" s="103">
        <v>18699676616</v>
      </c>
      <c r="AQ15" s="103">
        <f t="shared" si="2"/>
        <v>0</v>
      </c>
      <c r="AR15" s="135">
        <f>1%+0.15%+0.14%+0.03%</f>
        <v>0.0132</v>
      </c>
      <c r="BM15" s="103" t="s">
        <v>376</v>
      </c>
      <c r="BO15" s="103" t="s">
        <v>6617</v>
      </c>
    </row>
    <row r="16" s="103" customFormat="1" customHeight="1" spans="1:67">
      <c r="A16" s="103">
        <v>12</v>
      </c>
      <c r="B16" s="128"/>
      <c r="C16" s="129">
        <v>45781</v>
      </c>
      <c r="D16" s="103">
        <v>20250002511</v>
      </c>
      <c r="E16" s="103"/>
      <c r="F16" s="1021" t="s">
        <v>6622</v>
      </c>
      <c r="G16" s="103" t="s">
        <v>6623</v>
      </c>
      <c r="H16" s="1021" t="s">
        <v>6624</v>
      </c>
      <c r="I16" s="128" t="s">
        <v>6625</v>
      </c>
      <c r="J16" s="131">
        <v>64.9</v>
      </c>
      <c r="K16" s="131">
        <v>65.2</v>
      </c>
      <c r="L16" s="131">
        <v>65.2</v>
      </c>
      <c r="M16" s="132">
        <v>17731.86</v>
      </c>
      <c r="N16" s="132">
        <v>1156118</v>
      </c>
      <c r="O16" s="133">
        <v>5320</v>
      </c>
      <c r="P16" s="131">
        <v>17615.65</v>
      </c>
      <c r="Q16" s="103"/>
      <c r="R16" s="103"/>
      <c r="S16" s="103"/>
      <c r="T16" s="132"/>
      <c r="U16" s="103"/>
      <c r="V16" s="103"/>
      <c r="W16" s="103" t="s">
        <v>496</v>
      </c>
      <c r="X16" s="132">
        <f>560798+20000</f>
        <v>580798</v>
      </c>
      <c r="Y16" s="103" t="s">
        <v>3486</v>
      </c>
      <c r="Z16" s="132">
        <f>559202+20000</f>
        <v>579202</v>
      </c>
      <c r="AA16" s="134" t="s">
        <v>3486</v>
      </c>
      <c r="AB16" s="132">
        <v>-9202</v>
      </c>
      <c r="AC16" s="138">
        <v>45866</v>
      </c>
      <c r="AD16" s="132"/>
      <c r="AE16" s="103"/>
      <c r="AF16" s="132"/>
      <c r="AG16" s="103"/>
      <c r="AH16" s="132"/>
      <c r="AI16" s="103"/>
      <c r="AJ16" s="132">
        <f t="shared" si="4"/>
        <v>1150798</v>
      </c>
      <c r="AK16" s="132"/>
      <c r="AL16" s="132"/>
      <c r="AM16" s="132">
        <f>N16-AJ16</f>
        <v>5320</v>
      </c>
      <c r="AN16" s="103">
        <v>18139081564</v>
      </c>
      <c r="AO16" s="103" t="s">
        <v>690</v>
      </c>
      <c r="AP16" s="103"/>
      <c r="AQ16" s="103">
        <f t="shared" si="2"/>
        <v>1150798</v>
      </c>
      <c r="AR16" s="140">
        <f>1%+0.18%+0.14%+0.03%</f>
        <v>0.0135</v>
      </c>
      <c r="AY16" s="103">
        <v>1150798</v>
      </c>
      <c r="BM16" s="103" t="s">
        <v>376</v>
      </c>
      <c r="BO16" s="103" t="s">
        <v>377</v>
      </c>
    </row>
    <row r="17" s="103" customFormat="1" customHeight="1" spans="1:67">
      <c r="A17" s="103">
        <v>13</v>
      </c>
      <c r="B17" s="128"/>
      <c r="C17" s="129">
        <v>45778</v>
      </c>
      <c r="D17" s="103">
        <v>20250002325</v>
      </c>
      <c r="E17" s="103"/>
      <c r="F17" s="1021" t="s">
        <v>6626</v>
      </c>
      <c r="G17" s="103" t="s">
        <v>6627</v>
      </c>
      <c r="H17" s="1021" t="s">
        <v>644</v>
      </c>
      <c r="I17" s="128" t="s">
        <v>6628</v>
      </c>
      <c r="J17" s="131">
        <v>64.9</v>
      </c>
      <c r="K17" s="132">
        <v>65.2</v>
      </c>
      <c r="L17" s="132">
        <v>65.2</v>
      </c>
      <c r="M17" s="132">
        <v>17873.65</v>
      </c>
      <c r="N17" s="132">
        <v>1165363</v>
      </c>
      <c r="O17" s="133">
        <v>5363</v>
      </c>
      <c r="P17" s="131">
        <v>17710.35</v>
      </c>
      <c r="Q17" s="103"/>
      <c r="R17" s="103"/>
      <c r="S17" s="103"/>
      <c r="T17" s="132">
        <v>5363</v>
      </c>
      <c r="U17" s="129">
        <v>46181</v>
      </c>
      <c r="V17" s="103"/>
      <c r="W17" s="103" t="s">
        <v>486</v>
      </c>
      <c r="X17" s="132">
        <v>30000</v>
      </c>
      <c r="Y17" s="103" t="s">
        <v>2959</v>
      </c>
      <c r="Z17" s="132">
        <v>550000</v>
      </c>
      <c r="AA17" s="134" t="s">
        <v>4179</v>
      </c>
      <c r="AB17" s="132">
        <v>280000</v>
      </c>
      <c r="AC17" s="138">
        <v>46064</v>
      </c>
      <c r="AD17" s="103">
        <v>300000</v>
      </c>
      <c r="AE17" s="129" t="s">
        <v>6503</v>
      </c>
      <c r="AF17" s="132">
        <v>5363</v>
      </c>
      <c r="AG17" s="129">
        <v>46181</v>
      </c>
      <c r="AH17" s="132"/>
      <c r="AI17" s="103"/>
      <c r="AJ17" s="132">
        <f t="shared" si="4"/>
        <v>1165363</v>
      </c>
      <c r="AK17" s="132"/>
      <c r="AL17" s="132"/>
      <c r="AM17" s="132">
        <f t="shared" ref="AM17:AM27" si="5">N17-AJ17</f>
        <v>0</v>
      </c>
      <c r="AN17" s="103">
        <v>13699334026</v>
      </c>
      <c r="AO17" s="103" t="s">
        <v>502</v>
      </c>
      <c r="AP17" s="103"/>
      <c r="AQ17" s="103">
        <f t="shared" si="2"/>
        <v>580000</v>
      </c>
      <c r="AR17" s="135">
        <f>1%+0.18%+0.2%+0.03%</f>
        <v>0.0141</v>
      </c>
      <c r="AW17" s="103">
        <v>580000</v>
      </c>
      <c r="BM17" s="103" t="s">
        <v>376</v>
      </c>
      <c r="BO17" s="103" t="s">
        <v>377</v>
      </c>
    </row>
    <row r="18" s="103" customFormat="1" customHeight="1" spans="1:67">
      <c r="A18" s="103">
        <v>14</v>
      </c>
      <c r="B18" s="128"/>
      <c r="C18" s="129">
        <v>45671</v>
      </c>
      <c r="D18" s="103">
        <v>20250000255</v>
      </c>
      <c r="E18" s="103"/>
      <c r="F18" s="1021" t="s">
        <v>389</v>
      </c>
      <c r="G18" s="103" t="s">
        <v>390</v>
      </c>
      <c r="H18" s="103"/>
      <c r="I18" s="128" t="s">
        <v>6629</v>
      </c>
      <c r="J18" s="131">
        <v>64.9</v>
      </c>
      <c r="K18" s="132">
        <v>65.2</v>
      </c>
      <c r="L18" s="132">
        <v>65.2</v>
      </c>
      <c r="M18" s="132">
        <v>17873.65</v>
      </c>
      <c r="N18" s="132">
        <v>1165363</v>
      </c>
      <c r="O18" s="133">
        <v>5363</v>
      </c>
      <c r="P18" s="131">
        <v>17805.06</v>
      </c>
      <c r="Q18" s="103"/>
      <c r="R18" s="103"/>
      <c r="S18" s="103"/>
      <c r="T18" s="132"/>
      <c r="U18" s="129"/>
      <c r="V18" s="103"/>
      <c r="W18" s="128" t="s">
        <v>393</v>
      </c>
      <c r="X18" s="132">
        <v>20000</v>
      </c>
      <c r="Y18" s="103" t="s">
        <v>3732</v>
      </c>
      <c r="Z18" s="132">
        <v>680000</v>
      </c>
      <c r="AA18" s="134" t="s">
        <v>3531</v>
      </c>
      <c r="AB18" s="132">
        <v>230000</v>
      </c>
      <c r="AC18" s="138">
        <v>45864</v>
      </c>
      <c r="AD18" s="132">
        <v>230000</v>
      </c>
      <c r="AE18" s="129">
        <v>45992</v>
      </c>
      <c r="AF18" s="132"/>
      <c r="AG18" s="103"/>
      <c r="AH18" s="132"/>
      <c r="AI18" s="103"/>
      <c r="AJ18" s="132">
        <f t="shared" si="4"/>
        <v>1160000</v>
      </c>
      <c r="AK18" s="132"/>
      <c r="AL18" s="132"/>
      <c r="AM18" s="132">
        <f t="shared" si="5"/>
        <v>5363</v>
      </c>
      <c r="AN18" s="103">
        <v>13899099509</v>
      </c>
      <c r="AO18" s="103" t="s">
        <v>502</v>
      </c>
      <c r="AQ18" s="103">
        <f t="shared" si="2"/>
        <v>1160000</v>
      </c>
      <c r="AR18" s="135">
        <f>1%+0.13%+0.2%+0.03%</f>
        <v>0.0136</v>
      </c>
      <c r="BD18" s="103">
        <v>1160000</v>
      </c>
      <c r="BM18" s="103" t="s">
        <v>376</v>
      </c>
      <c r="BO18" s="103" t="s">
        <v>377</v>
      </c>
    </row>
    <row r="19" s="103" customFormat="1" customHeight="1" spans="1:67">
      <c r="A19" s="103">
        <v>15</v>
      </c>
      <c r="B19" s="128"/>
      <c r="C19" s="129">
        <v>45656</v>
      </c>
      <c r="D19" s="103">
        <v>20240007524</v>
      </c>
      <c r="E19" s="103"/>
      <c r="F19" s="1021" t="s">
        <v>6630</v>
      </c>
      <c r="G19" s="130" t="s">
        <v>6631</v>
      </c>
      <c r="H19" s="103"/>
      <c r="I19" s="128" t="s">
        <v>6632</v>
      </c>
      <c r="J19" s="131">
        <v>90.35</v>
      </c>
      <c r="K19" s="132">
        <v>90.77</v>
      </c>
      <c r="L19" s="132">
        <v>90.77</v>
      </c>
      <c r="M19" s="132">
        <v>17500</v>
      </c>
      <c r="N19" s="132">
        <f t="shared" ref="N16:N22" si="6">ROUND(L19*M19,0)</f>
        <v>1588475</v>
      </c>
      <c r="O19" s="133">
        <v>7350</v>
      </c>
      <c r="P19" s="131">
        <v>17332.8</v>
      </c>
      <c r="Q19" s="103"/>
      <c r="R19" s="103"/>
      <c r="S19" s="103"/>
      <c r="T19" s="132"/>
      <c r="U19" s="103"/>
      <c r="V19" s="103"/>
      <c r="W19" s="130" t="s">
        <v>677</v>
      </c>
      <c r="X19" s="132">
        <v>100000</v>
      </c>
      <c r="Y19" s="103" t="s">
        <v>545</v>
      </c>
      <c r="Z19" s="132">
        <v>701125</v>
      </c>
      <c r="AA19" s="134" t="s">
        <v>2244</v>
      </c>
      <c r="AB19" s="132">
        <v>780000</v>
      </c>
      <c r="AC19" s="134" t="s">
        <v>5049</v>
      </c>
      <c r="AD19" s="132">
        <v>7350</v>
      </c>
      <c r="AE19" s="103" t="s">
        <v>6597</v>
      </c>
      <c r="AF19" s="132"/>
      <c r="AG19" s="103"/>
      <c r="AH19" s="132"/>
      <c r="AI19" s="103"/>
      <c r="AJ19" s="132">
        <f t="shared" si="4"/>
        <v>1588475</v>
      </c>
      <c r="AK19" s="132"/>
      <c r="AL19" s="132"/>
      <c r="AM19" s="132">
        <f t="shared" si="5"/>
        <v>0</v>
      </c>
      <c r="AO19" s="103" t="s">
        <v>502</v>
      </c>
      <c r="AQ19" s="103">
        <f t="shared" si="2"/>
        <v>1581125</v>
      </c>
      <c r="AR19" s="135">
        <f>1%+0.18%+0.25%+0.03%</f>
        <v>0.0146</v>
      </c>
      <c r="AS19" s="103">
        <v>801125</v>
      </c>
      <c r="AV19" s="103">
        <v>780000</v>
      </c>
      <c r="BM19" s="103" t="s">
        <v>376</v>
      </c>
      <c r="BO19" s="103" t="s">
        <v>377</v>
      </c>
    </row>
    <row r="20" s="103" customFormat="1" customHeight="1" spans="1:67">
      <c r="A20" s="103">
        <v>16</v>
      </c>
      <c r="B20" s="128"/>
      <c r="C20" s="129">
        <v>46053</v>
      </c>
      <c r="D20" s="103">
        <v>20260000546</v>
      </c>
      <c r="E20" s="103"/>
      <c r="F20" s="1021" t="s">
        <v>216</v>
      </c>
      <c r="G20" s="130" t="s">
        <v>217</v>
      </c>
      <c r="H20" s="103"/>
      <c r="I20" s="128" t="s">
        <v>218</v>
      </c>
      <c r="J20" s="131">
        <v>92.11</v>
      </c>
      <c r="K20" s="132">
        <v>92.54</v>
      </c>
      <c r="L20" s="132">
        <v>92.54</v>
      </c>
      <c r="M20" s="132">
        <v>21713.17</v>
      </c>
      <c r="N20" s="132">
        <f t="shared" si="6"/>
        <v>2009337</v>
      </c>
      <c r="O20" s="133">
        <v>9337</v>
      </c>
      <c r="P20" s="131">
        <v>21713.17</v>
      </c>
      <c r="Q20" s="103"/>
      <c r="R20" s="103"/>
      <c r="S20" s="103"/>
      <c r="T20" s="132"/>
      <c r="U20" s="129"/>
      <c r="V20" s="1021" t="s">
        <v>2206</v>
      </c>
      <c r="W20" s="130" t="s">
        <v>6633</v>
      </c>
      <c r="X20" s="132">
        <f>5000+20000</f>
        <v>25000</v>
      </c>
      <c r="Y20" s="103" t="s">
        <v>3399</v>
      </c>
      <c r="Z20" s="132">
        <v>75000</v>
      </c>
      <c r="AA20" s="134" t="s">
        <v>545</v>
      </c>
      <c r="AB20" s="132">
        <v>250000</v>
      </c>
      <c r="AC20" s="134" t="s">
        <v>2800</v>
      </c>
      <c r="AD20" s="132">
        <v>650000</v>
      </c>
      <c r="AE20" s="129">
        <v>46055</v>
      </c>
      <c r="AF20" s="132">
        <v>1000000</v>
      </c>
      <c r="AG20" s="129" t="s">
        <v>6019</v>
      </c>
      <c r="AH20" s="132">
        <v>9337</v>
      </c>
      <c r="AI20" s="103" t="s">
        <v>6597</v>
      </c>
      <c r="AJ20" s="132">
        <f t="shared" si="4"/>
        <v>2009337</v>
      </c>
      <c r="AK20" s="132"/>
      <c r="AL20" s="132"/>
      <c r="AM20" s="132">
        <f t="shared" si="5"/>
        <v>0</v>
      </c>
      <c r="AN20" s="103">
        <v>15899047359</v>
      </c>
      <c r="AO20" s="103" t="s">
        <v>502</v>
      </c>
      <c r="AP20" s="103"/>
      <c r="AQ20" s="103">
        <f t="shared" si="2"/>
        <v>2000000</v>
      </c>
      <c r="AR20" s="135">
        <f t="shared" ref="AR20:AR25" si="7">1%+0.18%+0.25%+0.03%</f>
        <v>0.0146</v>
      </c>
      <c r="BF20" s="103">
        <v>1000000</v>
      </c>
      <c r="BI20" s="103">
        <v>1000000</v>
      </c>
      <c r="BM20" s="103" t="s">
        <v>376</v>
      </c>
      <c r="BO20" s="103" t="s">
        <v>377</v>
      </c>
    </row>
    <row r="21" s="103" customFormat="1" customHeight="1" spans="1:67">
      <c r="A21" s="103">
        <v>17</v>
      </c>
      <c r="B21" s="128"/>
      <c r="C21" s="129">
        <v>45654</v>
      </c>
      <c r="D21" s="1021" t="s">
        <v>6634</v>
      </c>
      <c r="E21" s="103"/>
      <c r="F21" s="103"/>
      <c r="G21" s="130" t="s">
        <v>6635</v>
      </c>
      <c r="H21" s="103"/>
      <c r="I21" s="128" t="s">
        <v>6636</v>
      </c>
      <c r="J21" s="131">
        <v>65.45</v>
      </c>
      <c r="K21" s="132">
        <v>65.76</v>
      </c>
      <c r="L21" s="132">
        <v>65.76</v>
      </c>
      <c r="M21" s="132">
        <v>25974.03</v>
      </c>
      <c r="N21" s="132">
        <f t="shared" si="6"/>
        <v>1708052</v>
      </c>
      <c r="O21" s="133">
        <v>8052</v>
      </c>
      <c r="P21" s="131">
        <v>25974.03</v>
      </c>
      <c r="Q21" s="103"/>
      <c r="R21" s="103"/>
      <c r="S21" s="103"/>
      <c r="T21" s="132"/>
      <c r="U21" s="103"/>
      <c r="V21" s="1021" t="s">
        <v>4767</v>
      </c>
      <c r="W21" s="130" t="s">
        <v>400</v>
      </c>
      <c r="X21" s="132">
        <v>30000</v>
      </c>
      <c r="Y21" s="103" t="s">
        <v>3399</v>
      </c>
      <c r="Z21" s="132">
        <v>70000</v>
      </c>
      <c r="AA21" s="134" t="s">
        <v>545</v>
      </c>
      <c r="AB21" s="132">
        <v>750000</v>
      </c>
      <c r="AC21" s="134" t="s">
        <v>2800</v>
      </c>
      <c r="AD21" s="132">
        <v>850000</v>
      </c>
      <c r="AE21" s="103" t="s">
        <v>6637</v>
      </c>
      <c r="AF21" s="132">
        <v>8052</v>
      </c>
      <c r="AG21" s="103" t="s">
        <v>6597</v>
      </c>
      <c r="AH21" s="132"/>
      <c r="AI21" s="103"/>
      <c r="AJ21" s="132">
        <f t="shared" si="4"/>
        <v>1708052</v>
      </c>
      <c r="AK21" s="132"/>
      <c r="AL21" s="132"/>
      <c r="AM21" s="132">
        <f t="shared" si="5"/>
        <v>0</v>
      </c>
      <c r="AN21" s="103">
        <v>15899047359</v>
      </c>
      <c r="AO21" s="103" t="s">
        <v>502</v>
      </c>
      <c r="AP21" s="103"/>
      <c r="AQ21" s="103">
        <f t="shared" si="2"/>
        <v>1700000</v>
      </c>
      <c r="AR21" s="135">
        <f t="shared" si="7"/>
        <v>0.0146</v>
      </c>
      <c r="AZ21" s="103">
        <v>1700000</v>
      </c>
      <c r="BM21" s="103" t="s">
        <v>376</v>
      </c>
      <c r="BO21" s="103" t="s">
        <v>377</v>
      </c>
    </row>
    <row r="22" s="103" customFormat="1" customHeight="1" spans="1:67">
      <c r="A22" s="103">
        <v>18</v>
      </c>
      <c r="B22" s="128"/>
      <c r="C22" s="129">
        <v>45736</v>
      </c>
      <c r="D22" s="103">
        <v>20250001419</v>
      </c>
      <c r="E22" s="103"/>
      <c r="F22" s="1021" t="s">
        <v>6638</v>
      </c>
      <c r="G22" s="103" t="s">
        <v>6639</v>
      </c>
      <c r="H22" s="1021" t="s">
        <v>633</v>
      </c>
      <c r="I22" s="128" t="s">
        <v>6640</v>
      </c>
      <c r="J22" s="131">
        <v>108.27</v>
      </c>
      <c r="K22" s="132">
        <v>108.27</v>
      </c>
      <c r="L22" s="132">
        <v>108.27</v>
      </c>
      <c r="M22" s="132">
        <v>8080</v>
      </c>
      <c r="N22" s="132">
        <v>874821</v>
      </c>
      <c r="O22" s="1022" t="s">
        <v>6641</v>
      </c>
      <c r="P22" s="131">
        <v>8080</v>
      </c>
      <c r="Q22" s="103"/>
      <c r="R22" s="103"/>
      <c r="S22" s="103"/>
      <c r="T22" s="132"/>
      <c r="U22" s="103"/>
      <c r="V22" s="103"/>
      <c r="W22" s="103" t="s">
        <v>410</v>
      </c>
      <c r="X22" s="132">
        <v>20000</v>
      </c>
      <c r="Y22" s="103" t="s">
        <v>912</v>
      </c>
      <c r="Z22" s="132">
        <v>614821</v>
      </c>
      <c r="AA22" s="134" t="s">
        <v>3015</v>
      </c>
      <c r="AB22" s="132">
        <v>240000</v>
      </c>
      <c r="AC22" s="134" t="s">
        <v>4244</v>
      </c>
      <c r="AD22" s="132"/>
      <c r="AE22" s="103"/>
      <c r="AF22" s="132"/>
      <c r="AG22" s="103"/>
      <c r="AH22" s="132"/>
      <c r="AI22" s="103"/>
      <c r="AJ22" s="132">
        <f t="shared" si="4"/>
        <v>874821</v>
      </c>
      <c r="AK22" s="132"/>
      <c r="AL22" s="132"/>
      <c r="AM22" s="132">
        <f t="shared" si="5"/>
        <v>0</v>
      </c>
      <c r="AN22" s="103">
        <v>13709952700</v>
      </c>
      <c r="AO22" s="103" t="s">
        <v>690</v>
      </c>
      <c r="AP22" s="103"/>
      <c r="AQ22" s="103">
        <f t="shared" si="2"/>
        <v>874821</v>
      </c>
      <c r="AR22" s="135">
        <f>1%+0.25%+0.03%</f>
        <v>0.0128</v>
      </c>
      <c r="AV22" s="103">
        <v>874821</v>
      </c>
      <c r="BM22" s="103" t="s">
        <v>376</v>
      </c>
      <c r="BO22" s="103" t="s">
        <v>377</v>
      </c>
    </row>
    <row r="23" customHeight="1" spans="1:67">
      <c r="A23" s="106">
        <v>19</v>
      </c>
      <c r="I23" s="101" t="s">
        <v>6642</v>
      </c>
      <c r="J23" s="139">
        <v>67.9</v>
      </c>
      <c r="L23" s="139">
        <v>67.9</v>
      </c>
      <c r="P23" s="139">
        <v>8079.71</v>
      </c>
      <c r="AJ23" s="108">
        <f t="shared" si="4"/>
        <v>0</v>
      </c>
      <c r="AM23" s="141"/>
      <c r="AQ23" s="103">
        <f t="shared" si="2"/>
        <v>0</v>
      </c>
      <c r="AR23" s="106"/>
    </row>
    <row r="24" customHeight="1" spans="1:67">
      <c r="A24" s="106">
        <v>20</v>
      </c>
      <c r="I24" s="101" t="s">
        <v>6643</v>
      </c>
      <c r="J24" s="139">
        <v>131.15</v>
      </c>
      <c r="L24" s="139">
        <v>131.15</v>
      </c>
      <c r="P24" s="139">
        <v>7695</v>
      </c>
      <c r="AJ24" s="108">
        <f t="shared" si="4"/>
        <v>0</v>
      </c>
      <c r="AM24" s="141"/>
      <c r="AQ24" s="103">
        <f t="shared" si="2"/>
        <v>0</v>
      </c>
      <c r="AR24" s="106"/>
    </row>
    <row r="25" s="103" customFormat="1" customHeight="1" spans="1:67">
      <c r="A25" s="103">
        <v>21</v>
      </c>
      <c r="B25" s="128"/>
      <c r="C25" s="129">
        <v>45779</v>
      </c>
      <c r="D25" s="103">
        <v>20250002362</v>
      </c>
      <c r="E25" s="103"/>
      <c r="F25" s="1021" t="s">
        <v>6644</v>
      </c>
      <c r="G25" s="103" t="s">
        <v>6645</v>
      </c>
      <c r="H25" s="1021" t="s">
        <v>432</v>
      </c>
      <c r="I25" s="128" t="s">
        <v>6646</v>
      </c>
      <c r="J25" s="131">
        <v>61.45</v>
      </c>
      <c r="K25" s="132">
        <v>61.45</v>
      </c>
      <c r="L25" s="131">
        <v>61.45</v>
      </c>
      <c r="M25" s="132">
        <v>8136.69</v>
      </c>
      <c r="N25" s="132">
        <f>ROUND(L25*M25,0)</f>
        <v>500000</v>
      </c>
      <c r="O25" s="1022" t="s">
        <v>6641</v>
      </c>
      <c r="P25" s="131">
        <v>7925.81</v>
      </c>
      <c r="Q25" s="103"/>
      <c r="R25" s="103"/>
      <c r="S25" s="103"/>
      <c r="T25" s="132"/>
      <c r="U25" s="129"/>
      <c r="V25" s="103"/>
      <c r="W25" s="103" t="s">
        <v>486</v>
      </c>
      <c r="X25" s="132">
        <v>50000</v>
      </c>
      <c r="Y25" s="103" t="s">
        <v>3786</v>
      </c>
      <c r="Z25" s="132">
        <v>200000</v>
      </c>
      <c r="AA25" s="134" t="s">
        <v>3681</v>
      </c>
      <c r="AB25" s="132">
        <v>50000</v>
      </c>
      <c r="AC25" s="138">
        <v>46083</v>
      </c>
      <c r="AD25" s="103">
        <v>200000</v>
      </c>
      <c r="AE25" s="129" t="s">
        <v>5899</v>
      </c>
      <c r="AF25" s="132"/>
      <c r="AG25" s="103"/>
      <c r="AH25" s="132"/>
      <c r="AI25" s="103"/>
      <c r="AJ25" s="132">
        <f t="shared" si="4"/>
        <v>500000</v>
      </c>
      <c r="AK25" s="132"/>
      <c r="AL25" s="132"/>
      <c r="AM25" s="132">
        <f>N25-AJ25</f>
        <v>0</v>
      </c>
      <c r="AN25" s="103">
        <v>18935743808</v>
      </c>
      <c r="AO25" s="103" t="s">
        <v>690</v>
      </c>
      <c r="AP25" s="103"/>
      <c r="AQ25" s="103">
        <f t="shared" si="2"/>
        <v>500000</v>
      </c>
      <c r="AR25" s="135">
        <f t="shared" si="7"/>
        <v>0.0146</v>
      </c>
      <c r="AW25" s="103">
        <v>250000</v>
      </c>
      <c r="BH25" s="103">
        <v>250000</v>
      </c>
      <c r="BM25" s="103" t="s">
        <v>376</v>
      </c>
      <c r="BO25" s="103" t="s">
        <v>377</v>
      </c>
    </row>
    <row r="26" customHeight="1" spans="1:67">
      <c r="A26" s="106">
        <v>22</v>
      </c>
      <c r="I26" s="101" t="s">
        <v>6647</v>
      </c>
      <c r="J26" s="139">
        <v>61.84</v>
      </c>
      <c r="L26" s="139">
        <v>61.84</v>
      </c>
      <c r="P26" s="139">
        <v>7848.86</v>
      </c>
      <c r="AJ26" s="108">
        <f t="shared" si="4"/>
        <v>0</v>
      </c>
      <c r="AM26" s="141"/>
      <c r="AQ26" s="103">
        <f t="shared" si="2"/>
        <v>0</v>
      </c>
      <c r="AR26" s="106"/>
    </row>
    <row r="27" s="103" customFormat="1" customHeight="1" spans="1:67">
      <c r="A27" s="103">
        <v>23</v>
      </c>
      <c r="B27" s="128"/>
      <c r="C27" s="129">
        <v>46038</v>
      </c>
      <c r="D27" s="103">
        <v>20260000257</v>
      </c>
      <c r="E27" s="103"/>
      <c r="F27" s="1021" t="s">
        <v>219</v>
      </c>
      <c r="G27" s="103" t="s">
        <v>220</v>
      </c>
      <c r="H27" s="106"/>
      <c r="I27" s="128" t="s">
        <v>221</v>
      </c>
      <c r="J27" s="131">
        <v>64.99</v>
      </c>
      <c r="K27" s="132">
        <v>64.99</v>
      </c>
      <c r="L27" s="131">
        <v>64.99</v>
      </c>
      <c r="M27" s="132">
        <v>7500</v>
      </c>
      <c r="N27" s="132">
        <f>ROUND(L27*M27,0)</f>
        <v>487425</v>
      </c>
      <c r="O27" s="1022" t="s">
        <v>6641</v>
      </c>
      <c r="P27" s="131">
        <v>7500</v>
      </c>
      <c r="Q27" s="103"/>
      <c r="R27" s="103"/>
      <c r="S27" s="103"/>
      <c r="T27" s="132"/>
      <c r="U27" s="129"/>
      <c r="V27" s="103"/>
      <c r="W27" s="103" t="s">
        <v>6082</v>
      </c>
      <c r="X27" s="132">
        <v>20000</v>
      </c>
      <c r="Y27" s="129">
        <v>46003</v>
      </c>
      <c r="Z27" s="132">
        <v>227425</v>
      </c>
      <c r="AA27" s="138">
        <v>46038</v>
      </c>
      <c r="AB27" s="132">
        <v>240000</v>
      </c>
      <c r="AC27" s="138">
        <v>46064</v>
      </c>
      <c r="AD27" s="132"/>
      <c r="AE27" s="103"/>
      <c r="AF27" s="132"/>
      <c r="AG27" s="103"/>
      <c r="AH27" s="132"/>
      <c r="AI27" s="103"/>
      <c r="AJ27" s="132">
        <f t="shared" si="4"/>
        <v>487425</v>
      </c>
      <c r="AK27" s="132"/>
      <c r="AL27" s="132"/>
      <c r="AM27" s="132">
        <f>N27-AJ27</f>
        <v>0</v>
      </c>
      <c r="AN27" s="103">
        <v>18699671818</v>
      </c>
      <c r="AO27" s="103"/>
      <c r="AP27" s="103"/>
      <c r="AQ27" s="103">
        <f t="shared" si="2"/>
        <v>487425</v>
      </c>
      <c r="AR27" s="142">
        <f>1%+0.13%+0.14%+0.03%</f>
        <v>0.013</v>
      </c>
      <c r="BE27" s="103">
        <v>247425</v>
      </c>
      <c r="BF27" s="103">
        <v>240000</v>
      </c>
      <c r="BM27" s="103" t="s">
        <v>376</v>
      </c>
      <c r="BO27" s="103" t="s">
        <v>377</v>
      </c>
    </row>
    <row r="28" customHeight="1" spans="1:67">
      <c r="A28" s="106">
        <v>24</v>
      </c>
      <c r="I28" s="101" t="s">
        <v>6648</v>
      </c>
      <c r="J28" s="139">
        <v>75.9</v>
      </c>
      <c r="L28" s="139">
        <v>75.9</v>
      </c>
      <c r="P28" s="139">
        <v>7695.3</v>
      </c>
      <c r="AJ28" s="108">
        <f t="shared" si="4"/>
        <v>0</v>
      </c>
      <c r="AQ28" s="103">
        <f t="shared" si="2"/>
        <v>0</v>
      </c>
      <c r="AR28" s="106"/>
    </row>
    <row r="29" customHeight="1" spans="1:67">
      <c r="A29" s="106">
        <v>25</v>
      </c>
      <c r="I29" s="101" t="s">
        <v>6649</v>
      </c>
      <c r="J29" s="139">
        <v>77.46</v>
      </c>
      <c r="L29" s="139">
        <v>77.46</v>
      </c>
      <c r="P29" s="139">
        <v>7618.39</v>
      </c>
      <c r="AJ29" s="108">
        <f t="shared" si="4"/>
        <v>0</v>
      </c>
      <c r="AQ29" s="103">
        <f t="shared" si="2"/>
        <v>0</v>
      </c>
      <c r="AR29" s="106"/>
    </row>
    <row r="30" customHeight="1" spans="1:67">
      <c r="A30" s="106">
        <v>26</v>
      </c>
      <c r="I30" s="101" t="s">
        <v>6650</v>
      </c>
      <c r="J30" s="139">
        <v>64.78</v>
      </c>
      <c r="L30" s="139">
        <v>64.78</v>
      </c>
      <c r="P30" s="139">
        <v>7541.06</v>
      </c>
      <c r="AJ30" s="108">
        <f t="shared" si="4"/>
        <v>0</v>
      </c>
      <c r="AQ30" s="103">
        <f t="shared" si="2"/>
        <v>0</v>
      </c>
      <c r="AR30" s="106"/>
    </row>
    <row r="31" customHeight="1" spans="1:67">
      <c r="A31" s="106">
        <v>27</v>
      </c>
      <c r="I31" s="101" t="s">
        <v>6651</v>
      </c>
      <c r="J31" s="139">
        <v>64.78</v>
      </c>
      <c r="L31" s="139">
        <v>64.78</v>
      </c>
      <c r="P31" s="139">
        <v>7541.06</v>
      </c>
      <c r="AJ31" s="108">
        <f t="shared" si="4"/>
        <v>0</v>
      </c>
      <c r="AQ31" s="103">
        <f t="shared" si="2"/>
        <v>0</v>
      </c>
      <c r="AR31" s="106"/>
    </row>
    <row r="32" customHeight="1" spans="1:67">
      <c r="A32" s="106">
        <v>28</v>
      </c>
      <c r="I32" s="101" t="s">
        <v>6652</v>
      </c>
      <c r="J32" s="139">
        <v>80.63</v>
      </c>
      <c r="L32" s="139">
        <v>80.63</v>
      </c>
      <c r="P32" s="139">
        <v>7310.09</v>
      </c>
      <c r="AJ32" s="108">
        <f t="shared" si="4"/>
        <v>0</v>
      </c>
      <c r="AQ32" s="103">
        <f t="shared" si="2"/>
        <v>0</v>
      </c>
      <c r="AR32" s="106"/>
    </row>
    <row r="33" customHeight="1" spans="1:67">
      <c r="A33" s="106">
        <v>29</v>
      </c>
      <c r="I33" s="101" t="s">
        <v>6653</v>
      </c>
      <c r="J33" s="139">
        <v>212.72</v>
      </c>
      <c r="L33" s="139">
        <v>212.72</v>
      </c>
      <c r="P33" s="139">
        <v>7000</v>
      </c>
      <c r="AJ33" s="108">
        <f t="shared" si="4"/>
        <v>0</v>
      </c>
      <c r="AQ33" s="103">
        <f t="shared" si="2"/>
        <v>0</v>
      </c>
      <c r="AR33" s="106"/>
    </row>
    <row r="34" s="103" customFormat="1" customHeight="1" spans="1:67">
      <c r="A34" s="103">
        <v>30</v>
      </c>
      <c r="B34" s="128"/>
      <c r="C34" s="129">
        <v>45778</v>
      </c>
      <c r="D34" s="103">
        <v>20250002340</v>
      </c>
      <c r="E34" s="103"/>
      <c r="F34" s="1021" t="s">
        <v>6654</v>
      </c>
      <c r="G34" s="103" t="s">
        <v>6655</v>
      </c>
      <c r="H34" s="103"/>
      <c r="I34" s="128" t="s">
        <v>6656</v>
      </c>
      <c r="J34" s="131">
        <v>81.6</v>
      </c>
      <c r="K34" s="132">
        <v>81.6</v>
      </c>
      <c r="L34" s="131">
        <v>81.6</v>
      </c>
      <c r="M34" s="132">
        <v>8000</v>
      </c>
      <c r="N34" s="132">
        <f t="shared" ref="N34:N39" si="8">ROUND(L34*M34,0)</f>
        <v>652800</v>
      </c>
      <c r="O34" s="1022" t="s">
        <v>6641</v>
      </c>
      <c r="P34" s="131">
        <v>7695.38</v>
      </c>
      <c r="Q34" s="103"/>
      <c r="R34" s="103"/>
      <c r="S34" s="103"/>
      <c r="T34" s="132"/>
      <c r="U34" s="103"/>
      <c r="V34" s="103"/>
      <c r="W34" s="103" t="s">
        <v>373</v>
      </c>
      <c r="X34" s="132">
        <v>20000</v>
      </c>
      <c r="Y34" s="103" t="s">
        <v>1209</v>
      </c>
      <c r="Z34" s="132">
        <f>520000+66400</f>
        <v>586400</v>
      </c>
      <c r="AA34" s="134" t="s">
        <v>1003</v>
      </c>
      <c r="AB34" s="132">
        <v>46400</v>
      </c>
      <c r="AC34" s="134" t="s">
        <v>1314</v>
      </c>
      <c r="AD34" s="132"/>
      <c r="AE34" s="103"/>
      <c r="AF34" s="132"/>
      <c r="AG34" s="103"/>
      <c r="AH34" s="132"/>
      <c r="AI34" s="103"/>
      <c r="AJ34" s="132">
        <f t="shared" si="4"/>
        <v>652800</v>
      </c>
      <c r="AK34" s="132"/>
      <c r="AL34" s="132"/>
      <c r="AM34" s="132">
        <f t="shared" ref="AM34:AM39" si="9">N34-AJ34</f>
        <v>0</v>
      </c>
      <c r="AN34" s="103">
        <v>13999608655</v>
      </c>
      <c r="AO34" s="103" t="s">
        <v>690</v>
      </c>
      <c r="AP34" s="103"/>
      <c r="AQ34" s="103">
        <f t="shared" si="2"/>
        <v>652800</v>
      </c>
      <c r="AR34" s="135">
        <f>1%+0.18%+0.25%+0.03%</f>
        <v>0.0146</v>
      </c>
      <c r="AW34" s="103">
        <v>652800</v>
      </c>
      <c r="BM34" s="103" t="s">
        <v>376</v>
      </c>
      <c r="BO34" s="103" t="s">
        <v>377</v>
      </c>
    </row>
    <row r="35" customHeight="1" spans="1:67">
      <c r="A35" s="106">
        <v>31</v>
      </c>
      <c r="I35" s="101" t="s">
        <v>6657</v>
      </c>
      <c r="J35" s="139">
        <v>81.6</v>
      </c>
      <c r="L35" s="139">
        <v>81.6</v>
      </c>
      <c r="P35" s="139">
        <v>7772.33</v>
      </c>
      <c r="AJ35" s="108">
        <f t="shared" si="4"/>
        <v>0</v>
      </c>
      <c r="AQ35" s="103">
        <f t="shared" si="2"/>
        <v>0</v>
      </c>
      <c r="AR35" s="106"/>
    </row>
    <row r="36" customHeight="1" spans="1:67">
      <c r="A36" s="106">
        <v>32</v>
      </c>
      <c r="I36" s="101" t="s">
        <v>6658</v>
      </c>
      <c r="J36" s="139">
        <v>81.6</v>
      </c>
      <c r="L36" s="139">
        <v>81.6</v>
      </c>
      <c r="P36" s="139">
        <v>7849.28</v>
      </c>
      <c r="AJ36" s="108">
        <f t="shared" si="4"/>
        <v>0</v>
      </c>
      <c r="AQ36" s="103">
        <f t="shared" si="2"/>
        <v>0</v>
      </c>
      <c r="AR36" s="106"/>
    </row>
    <row r="37" customHeight="1" spans="1:67">
      <c r="A37" s="106">
        <v>33</v>
      </c>
      <c r="I37" s="101" t="s">
        <v>6659</v>
      </c>
      <c r="J37" s="139">
        <v>113.6</v>
      </c>
      <c r="L37" s="139">
        <v>113.6</v>
      </c>
      <c r="P37" s="139">
        <v>7926.06</v>
      </c>
      <c r="AJ37" s="108">
        <f t="shared" ref="AJ37:AJ64" si="10">X37+Z37+AB37+AD37+AF37+AH37</f>
        <v>0</v>
      </c>
      <c r="AQ37" s="103">
        <f t="shared" ref="AQ37:AQ63" si="11">SUM(AS37:BJ37)</f>
        <v>0</v>
      </c>
      <c r="AR37" s="106"/>
    </row>
    <row r="38" s="103" customFormat="1" customHeight="1" spans="1:67">
      <c r="A38" s="103">
        <v>34</v>
      </c>
      <c r="B38" s="128"/>
      <c r="C38" s="129">
        <v>45655</v>
      </c>
      <c r="D38" s="103">
        <v>20240007509</v>
      </c>
      <c r="E38" s="103"/>
      <c r="F38" s="1021" t="s">
        <v>6660</v>
      </c>
      <c r="G38" s="103" t="s">
        <v>5140</v>
      </c>
      <c r="H38" s="103"/>
      <c r="I38" s="128" t="s">
        <v>6661</v>
      </c>
      <c r="J38" s="131">
        <v>115.82</v>
      </c>
      <c r="K38" s="132">
        <v>115.82</v>
      </c>
      <c r="L38" s="131">
        <v>115.82</v>
      </c>
      <c r="M38" s="132">
        <v>7900</v>
      </c>
      <c r="N38" s="132">
        <f t="shared" si="8"/>
        <v>914978</v>
      </c>
      <c r="O38" s="1022" t="s">
        <v>6641</v>
      </c>
      <c r="P38" s="131">
        <v>7764.33</v>
      </c>
      <c r="Q38" s="103">
        <v>839429.36</v>
      </c>
      <c r="R38" s="1021" t="s">
        <v>6662</v>
      </c>
      <c r="S38" s="129">
        <v>46167</v>
      </c>
      <c r="T38" s="132"/>
      <c r="U38" s="103"/>
      <c r="V38" s="103"/>
      <c r="W38" s="103" t="s">
        <v>677</v>
      </c>
      <c r="X38" s="132">
        <v>100000</v>
      </c>
      <c r="Y38" s="103" t="s">
        <v>545</v>
      </c>
      <c r="Z38" s="132">
        <v>364978</v>
      </c>
      <c r="AA38" s="134" t="s">
        <v>3523</v>
      </c>
      <c r="AB38" s="132">
        <v>140000</v>
      </c>
      <c r="AC38" s="134" t="s">
        <v>6663</v>
      </c>
      <c r="AD38" s="132">
        <v>310000</v>
      </c>
      <c r="AE38" s="103" t="s">
        <v>3632</v>
      </c>
      <c r="AF38" s="132"/>
      <c r="AG38" s="103"/>
      <c r="AH38" s="132"/>
      <c r="AI38" s="103"/>
      <c r="AJ38" s="132">
        <f t="shared" si="10"/>
        <v>914978</v>
      </c>
      <c r="AK38" s="132"/>
      <c r="AL38" s="132"/>
      <c r="AM38" s="132">
        <f t="shared" si="9"/>
        <v>0</v>
      </c>
      <c r="AO38" s="103" t="s">
        <v>502</v>
      </c>
      <c r="AQ38" s="103">
        <f t="shared" si="11"/>
        <v>914978</v>
      </c>
      <c r="AR38" s="135">
        <f>1%+0.18%+0.25%+0.03%</f>
        <v>0.0146</v>
      </c>
      <c r="AV38" s="103">
        <v>914978</v>
      </c>
      <c r="BM38" s="103" t="s">
        <v>376</v>
      </c>
      <c r="BO38" s="103" t="s">
        <v>377</v>
      </c>
    </row>
    <row r="39" s="103" customFormat="1" customHeight="1" spans="1:67">
      <c r="A39" s="103">
        <v>35</v>
      </c>
      <c r="B39" s="128"/>
      <c r="C39" s="129">
        <v>45655</v>
      </c>
      <c r="D39" s="103">
        <v>20240007511</v>
      </c>
      <c r="E39" s="103"/>
      <c r="F39" s="103" t="s">
        <v>6664</v>
      </c>
      <c r="G39" s="103" t="s">
        <v>6665</v>
      </c>
      <c r="H39" s="103" t="s">
        <v>6666</v>
      </c>
      <c r="I39" s="128" t="s">
        <v>6667</v>
      </c>
      <c r="J39" s="131">
        <v>82.3</v>
      </c>
      <c r="K39" s="132">
        <v>82.3</v>
      </c>
      <c r="L39" s="131">
        <v>82.3</v>
      </c>
      <c r="M39" s="132">
        <v>8500</v>
      </c>
      <c r="N39" s="132">
        <f t="shared" si="8"/>
        <v>699550</v>
      </c>
      <c r="O39" s="1022" t="s">
        <v>6641</v>
      </c>
      <c r="P39" s="131">
        <v>8333.91</v>
      </c>
      <c r="Q39" s="103"/>
      <c r="R39" s="103"/>
      <c r="S39" s="103"/>
      <c r="T39" s="132"/>
      <c r="U39" s="103"/>
      <c r="V39" s="103"/>
      <c r="W39" s="103" t="s">
        <v>383</v>
      </c>
      <c r="X39" s="132">
        <v>50000</v>
      </c>
      <c r="Y39" s="103" t="s">
        <v>545</v>
      </c>
      <c r="Z39" s="132">
        <v>200000</v>
      </c>
      <c r="AA39" s="134" t="s">
        <v>3523</v>
      </c>
      <c r="AB39" s="132">
        <v>149550</v>
      </c>
      <c r="AC39" s="134" t="s">
        <v>6668</v>
      </c>
      <c r="AD39" s="132">
        <f>200000+50000+50000</f>
        <v>300000</v>
      </c>
      <c r="AE39" s="103" t="s">
        <v>3632</v>
      </c>
      <c r="AF39" s="132"/>
      <c r="AG39" s="103"/>
      <c r="AH39" s="132"/>
      <c r="AI39" s="103"/>
      <c r="AJ39" s="132">
        <f t="shared" si="10"/>
        <v>699550</v>
      </c>
      <c r="AK39" s="132"/>
      <c r="AL39" s="132"/>
      <c r="AM39" s="132">
        <f t="shared" si="9"/>
        <v>0</v>
      </c>
      <c r="AN39" s="103">
        <v>13779690127</v>
      </c>
      <c r="AO39" s="103" t="s">
        <v>502</v>
      </c>
      <c r="AQ39" s="103">
        <f t="shared" si="11"/>
        <v>699550</v>
      </c>
      <c r="AR39" s="135">
        <f t="shared" ref="AR39:AR54" si="12">1%+0.25%+0.03%</f>
        <v>0.0128</v>
      </c>
      <c r="AV39" s="103">
        <v>699550</v>
      </c>
      <c r="BM39" s="103" t="s">
        <v>376</v>
      </c>
      <c r="BO39" s="103" t="s">
        <v>377</v>
      </c>
    </row>
    <row r="40" customHeight="1" spans="1:67">
      <c r="G40" s="106" t="s">
        <v>6669</v>
      </c>
      <c r="H40" s="106" t="s">
        <v>6669</v>
      </c>
      <c r="I40" s="101" t="s">
        <v>6670</v>
      </c>
      <c r="J40" s="139">
        <v>1005.66</v>
      </c>
      <c r="L40" s="139">
        <v>1005.66</v>
      </c>
      <c r="AJ40" s="108">
        <f t="shared" si="10"/>
        <v>0</v>
      </c>
      <c r="AQ40" s="103">
        <f t="shared" si="11"/>
        <v>0</v>
      </c>
      <c r="AR40" s="106"/>
    </row>
    <row r="41" s="103" customFormat="1" customHeight="1" spans="1:67">
      <c r="A41" s="103">
        <v>36</v>
      </c>
      <c r="B41" s="128"/>
      <c r="C41" s="129">
        <v>46134</v>
      </c>
      <c r="D41" s="103">
        <v>20260001710</v>
      </c>
      <c r="E41" s="103"/>
      <c r="F41" s="103"/>
      <c r="G41" s="143" t="s">
        <v>222</v>
      </c>
      <c r="H41" s="103"/>
      <c r="I41" s="128" t="s">
        <v>223</v>
      </c>
      <c r="J41" s="144">
        <v>45.74</v>
      </c>
      <c r="K41" s="144">
        <v>45.74</v>
      </c>
      <c r="L41" s="144">
        <v>45.74</v>
      </c>
      <c r="M41" s="132">
        <v>33000</v>
      </c>
      <c r="N41" s="132">
        <f t="shared" ref="N41:N60" si="13">ROUND(L41*M41,0)</f>
        <v>1509420</v>
      </c>
      <c r="O41" s="1022" t="s">
        <v>6641</v>
      </c>
      <c r="P41" s="144">
        <v>33000</v>
      </c>
      <c r="Q41" s="103"/>
      <c r="R41" s="103"/>
      <c r="S41" s="103"/>
      <c r="T41" s="132"/>
      <c r="U41" s="103"/>
      <c r="V41" s="103"/>
      <c r="W41" s="103" t="s">
        <v>840</v>
      </c>
      <c r="X41" s="145">
        <f>100000-100000</f>
        <v>0</v>
      </c>
      <c r="Y41" s="138" t="s">
        <v>6671</v>
      </c>
      <c r="Z41" s="145">
        <f>100000+2450000-200000-200000-200000-200000-200000-200000-200000-200000-200000-200000-200000-200000-150000</f>
        <v>0</v>
      </c>
      <c r="AA41" s="138" t="s">
        <v>883</v>
      </c>
      <c r="AB41" s="145">
        <f>550000-200000-200000</f>
        <v>150000</v>
      </c>
      <c r="AC41" s="138" t="s">
        <v>4627</v>
      </c>
      <c r="AD41" s="132">
        <v>1004337</v>
      </c>
      <c r="AE41" s="103" t="s">
        <v>6213</v>
      </c>
      <c r="AF41" s="132">
        <v>355083</v>
      </c>
      <c r="AG41" s="103" t="s">
        <v>1244</v>
      </c>
      <c r="AH41" s="132"/>
      <c r="AI41" s="103"/>
      <c r="AJ41" s="132">
        <f t="shared" si="10"/>
        <v>1509420</v>
      </c>
      <c r="AK41" s="132"/>
      <c r="AL41" s="132"/>
      <c r="AM41" s="132">
        <f t="shared" ref="AM41:AM60" si="14">N41-AJ41</f>
        <v>0</v>
      </c>
      <c r="AN41" s="103">
        <v>13579031111</v>
      </c>
      <c r="AQ41" s="103">
        <f t="shared" si="11"/>
        <v>1509420</v>
      </c>
      <c r="AR41" s="135">
        <f t="shared" si="12"/>
        <v>0.0128</v>
      </c>
      <c r="BH41" s="103">
        <v>1509420</v>
      </c>
      <c r="BM41" s="103" t="s">
        <v>376</v>
      </c>
      <c r="BO41" s="103" t="s">
        <v>377</v>
      </c>
    </row>
    <row r="42" s="103" customFormat="1" customHeight="1" spans="1:67">
      <c r="A42" s="103">
        <v>37</v>
      </c>
      <c r="B42" s="128"/>
      <c r="C42" s="146">
        <v>46126</v>
      </c>
      <c r="D42" s="147">
        <v>20260001645</v>
      </c>
      <c r="E42" s="103"/>
      <c r="F42" s="1021" t="s">
        <v>224</v>
      </c>
      <c r="G42" s="103" t="s">
        <v>225</v>
      </c>
      <c r="H42" s="103"/>
      <c r="I42" s="128" t="s">
        <v>226</v>
      </c>
      <c r="J42" s="144">
        <v>46.87</v>
      </c>
      <c r="K42" s="144">
        <v>46.87</v>
      </c>
      <c r="L42" s="144">
        <v>46.87</v>
      </c>
      <c r="M42" s="132">
        <v>26286.42</v>
      </c>
      <c r="N42" s="132">
        <f t="shared" si="13"/>
        <v>1232045</v>
      </c>
      <c r="O42" s="1022" t="s">
        <v>6641</v>
      </c>
      <c r="P42" s="144">
        <v>26286.42</v>
      </c>
      <c r="Q42" s="103"/>
      <c r="R42" s="103"/>
      <c r="S42" s="103"/>
      <c r="T42" s="132"/>
      <c r="U42" s="129"/>
      <c r="V42" s="103"/>
      <c r="W42" s="103" t="s">
        <v>840</v>
      </c>
      <c r="X42" s="132">
        <v>200000</v>
      </c>
      <c r="Y42" s="103" t="s">
        <v>883</v>
      </c>
      <c r="Z42" s="132">
        <v>736382</v>
      </c>
      <c r="AA42" s="134" t="s">
        <v>6672</v>
      </c>
      <c r="AB42" s="132">
        <v>295663</v>
      </c>
      <c r="AC42" s="134" t="s">
        <v>6213</v>
      </c>
      <c r="AD42" s="132"/>
      <c r="AE42" s="103"/>
      <c r="AF42" s="132"/>
      <c r="AG42" s="103"/>
      <c r="AH42" s="132"/>
      <c r="AI42" s="103"/>
      <c r="AJ42" s="132">
        <f t="shared" si="10"/>
        <v>1232045</v>
      </c>
      <c r="AK42" s="132"/>
      <c r="AL42" s="132"/>
      <c r="AM42" s="132">
        <f t="shared" si="14"/>
        <v>0</v>
      </c>
      <c r="AN42" s="103">
        <v>13579031111</v>
      </c>
      <c r="AQ42" s="103">
        <f t="shared" si="11"/>
        <v>1232045</v>
      </c>
      <c r="AR42" s="135">
        <f t="shared" si="12"/>
        <v>0.0128</v>
      </c>
      <c r="BH42" s="103">
        <v>1232045</v>
      </c>
      <c r="BM42" s="103" t="s">
        <v>376</v>
      </c>
      <c r="BO42" s="103" t="s">
        <v>377</v>
      </c>
    </row>
    <row r="43" s="103" customFormat="1" customHeight="1" spans="1:67">
      <c r="A43" s="103">
        <v>38</v>
      </c>
      <c r="B43" s="128"/>
      <c r="C43" s="146">
        <v>46126</v>
      </c>
      <c r="D43" s="147">
        <v>20260001644</v>
      </c>
      <c r="E43" s="103"/>
      <c r="F43" s="1021" t="s">
        <v>224</v>
      </c>
      <c r="G43" s="103" t="s">
        <v>225</v>
      </c>
      <c r="H43" s="103"/>
      <c r="I43" s="128" t="s">
        <v>227</v>
      </c>
      <c r="J43" s="144">
        <v>45.23</v>
      </c>
      <c r="K43" s="144">
        <v>45.23</v>
      </c>
      <c r="L43" s="144">
        <v>45.23</v>
      </c>
      <c r="M43" s="132">
        <v>25512.55</v>
      </c>
      <c r="N43" s="132">
        <f t="shared" si="13"/>
        <v>1153933</v>
      </c>
      <c r="O43" s="1022" t="s">
        <v>6641</v>
      </c>
      <c r="P43" s="144">
        <v>25512.55</v>
      </c>
      <c r="Q43" s="103"/>
      <c r="R43" s="103"/>
      <c r="S43" s="103"/>
      <c r="T43" s="132"/>
      <c r="U43" s="129"/>
      <c r="V43" s="103"/>
      <c r="W43" s="103" t="s">
        <v>840</v>
      </c>
      <c r="X43" s="132">
        <v>200000</v>
      </c>
      <c r="Y43" s="103" t="s">
        <v>883</v>
      </c>
      <c r="Z43" s="132">
        <v>690315</v>
      </c>
      <c r="AA43" s="138">
        <v>46104</v>
      </c>
      <c r="AB43" s="132">
        <v>263618</v>
      </c>
      <c r="AC43" s="134" t="s">
        <v>6672</v>
      </c>
      <c r="AD43" s="132"/>
      <c r="AE43" s="103"/>
      <c r="AF43" s="132"/>
      <c r="AG43" s="103"/>
      <c r="AH43" s="132"/>
      <c r="AI43" s="103"/>
      <c r="AJ43" s="132">
        <f t="shared" si="10"/>
        <v>1153933</v>
      </c>
      <c r="AK43" s="132"/>
      <c r="AL43" s="132"/>
      <c r="AM43" s="132">
        <f t="shared" si="14"/>
        <v>0</v>
      </c>
      <c r="AN43" s="103">
        <v>13579031111</v>
      </c>
      <c r="AQ43" s="103">
        <f t="shared" si="11"/>
        <v>1153933</v>
      </c>
      <c r="AR43" s="135">
        <f t="shared" si="12"/>
        <v>0.0128</v>
      </c>
      <c r="BH43" s="103">
        <v>1153933</v>
      </c>
      <c r="BM43" s="103" t="s">
        <v>376</v>
      </c>
      <c r="BO43" s="103" t="s">
        <v>377</v>
      </c>
    </row>
    <row r="44" s="103" customFormat="1" customHeight="1" spans="1:67">
      <c r="A44" s="103">
        <v>39</v>
      </c>
      <c r="B44" s="128"/>
      <c r="C44" s="129">
        <v>46111</v>
      </c>
      <c r="D44" s="103">
        <v>20260001440</v>
      </c>
      <c r="E44" s="103"/>
      <c r="F44" s="1021" t="s">
        <v>224</v>
      </c>
      <c r="G44" s="103" t="s">
        <v>225</v>
      </c>
      <c r="H44" s="103"/>
      <c r="I44" s="128" t="s">
        <v>228</v>
      </c>
      <c r="J44" s="144">
        <v>45.23</v>
      </c>
      <c r="K44" s="144">
        <v>45.23</v>
      </c>
      <c r="L44" s="144">
        <v>45.23</v>
      </c>
      <c r="M44" s="132">
        <v>24738.74</v>
      </c>
      <c r="N44" s="132">
        <v>1118934</v>
      </c>
      <c r="O44" s="1022" t="s">
        <v>6641</v>
      </c>
      <c r="P44" s="144">
        <v>24738.74</v>
      </c>
      <c r="Q44" s="103"/>
      <c r="R44" s="103"/>
      <c r="S44" s="103"/>
      <c r="T44" s="132"/>
      <c r="U44" s="129"/>
      <c r="V44" s="103"/>
      <c r="W44" s="103" t="s">
        <v>840</v>
      </c>
      <c r="X44" s="132">
        <v>200000</v>
      </c>
      <c r="Y44" s="103" t="s">
        <v>883</v>
      </c>
      <c r="Z44" s="132">
        <v>109249</v>
      </c>
      <c r="AA44" s="138">
        <v>45961</v>
      </c>
      <c r="AB44" s="132">
        <v>500000</v>
      </c>
      <c r="AC44" s="138">
        <v>46058</v>
      </c>
      <c r="AD44" s="132">
        <v>309685</v>
      </c>
      <c r="AE44" s="129">
        <v>46104</v>
      </c>
      <c r="AF44" s="132"/>
      <c r="AG44" s="103"/>
      <c r="AH44" s="132"/>
      <c r="AI44" s="103"/>
      <c r="AJ44" s="132">
        <f t="shared" si="10"/>
        <v>1118934</v>
      </c>
      <c r="AK44" s="132"/>
      <c r="AL44" s="132"/>
      <c r="AM44" s="132">
        <f t="shared" si="14"/>
        <v>0</v>
      </c>
      <c r="AN44" s="103">
        <v>13579031111</v>
      </c>
      <c r="AQ44" s="103">
        <f t="shared" si="11"/>
        <v>1118934</v>
      </c>
      <c r="AR44" s="135">
        <f t="shared" si="12"/>
        <v>0.0128</v>
      </c>
      <c r="BG44" s="103">
        <v>1118934</v>
      </c>
      <c r="BM44" s="103" t="s">
        <v>376</v>
      </c>
      <c r="BO44" s="103" t="s">
        <v>377</v>
      </c>
    </row>
    <row r="45" s="103" customFormat="1" customHeight="1" spans="1:67">
      <c r="A45" s="103">
        <v>40</v>
      </c>
      <c r="B45" s="128"/>
      <c r="C45" s="129">
        <v>45932</v>
      </c>
      <c r="D45" s="103">
        <v>20250004964</v>
      </c>
      <c r="E45" s="103"/>
      <c r="F45" s="1021" t="s">
        <v>224</v>
      </c>
      <c r="G45" s="103" t="s">
        <v>225</v>
      </c>
      <c r="H45" s="103"/>
      <c r="I45" s="128" t="s">
        <v>6673</v>
      </c>
      <c r="J45" s="144">
        <v>82.99</v>
      </c>
      <c r="K45" s="144">
        <v>82.99</v>
      </c>
      <c r="L45" s="144">
        <v>82.99</v>
      </c>
      <c r="M45" s="132">
        <v>24351.83</v>
      </c>
      <c r="N45" s="132">
        <v>2020959</v>
      </c>
      <c r="O45" s="1022" t="s">
        <v>6641</v>
      </c>
      <c r="P45" s="144">
        <v>24351.83</v>
      </c>
      <c r="Q45" s="103"/>
      <c r="R45" s="103"/>
      <c r="S45" s="103"/>
      <c r="T45" s="132"/>
      <c r="U45" s="129"/>
      <c r="V45" s="103"/>
      <c r="W45" s="103" t="s">
        <v>840</v>
      </c>
      <c r="X45" s="132">
        <v>200000</v>
      </c>
      <c r="Y45" s="103" t="s">
        <v>883</v>
      </c>
      <c r="Z45" s="132">
        <f>739692+1081267</f>
        <v>1820959</v>
      </c>
      <c r="AA45" s="138" t="s">
        <v>6674</v>
      </c>
      <c r="AB45" s="132"/>
      <c r="AC45" s="134"/>
      <c r="AD45" s="132"/>
      <c r="AE45" s="103"/>
      <c r="AF45" s="132"/>
      <c r="AG45" s="103"/>
      <c r="AH45" s="132"/>
      <c r="AI45" s="103"/>
      <c r="AJ45" s="132">
        <f t="shared" si="10"/>
        <v>2020959</v>
      </c>
      <c r="AK45" s="132"/>
      <c r="AL45" s="132"/>
      <c r="AM45" s="132">
        <f t="shared" si="14"/>
        <v>0</v>
      </c>
      <c r="AN45" s="103">
        <v>13579031111</v>
      </c>
      <c r="AQ45" s="103">
        <f t="shared" si="11"/>
        <v>2020959</v>
      </c>
      <c r="AR45" s="135">
        <f t="shared" si="12"/>
        <v>0.0128</v>
      </c>
      <c r="BB45" s="103">
        <v>2020959</v>
      </c>
      <c r="BM45" s="103" t="s">
        <v>3376</v>
      </c>
      <c r="BO45" s="103" t="s">
        <v>377</v>
      </c>
    </row>
    <row r="46" s="103" customFormat="1" customHeight="1" spans="1:67">
      <c r="A46" s="103">
        <v>41</v>
      </c>
      <c r="B46" s="128"/>
      <c r="C46" s="129">
        <v>45961</v>
      </c>
      <c r="D46" s="103">
        <v>20250005595</v>
      </c>
      <c r="E46" s="103"/>
      <c r="F46" s="1021" t="s">
        <v>224</v>
      </c>
      <c r="G46" s="103" t="s">
        <v>225</v>
      </c>
      <c r="H46" s="103"/>
      <c r="I46" s="128" t="s">
        <v>6675</v>
      </c>
      <c r="J46" s="144">
        <v>45.15</v>
      </c>
      <c r="K46" s="144">
        <v>45.15</v>
      </c>
      <c r="L46" s="144">
        <v>45.15</v>
      </c>
      <c r="M46" s="132">
        <v>24158.38</v>
      </c>
      <c r="N46" s="132">
        <f t="shared" si="13"/>
        <v>1090751</v>
      </c>
      <c r="O46" s="1022" t="s">
        <v>6641</v>
      </c>
      <c r="P46" s="144">
        <v>24158.38</v>
      </c>
      <c r="Q46" s="103"/>
      <c r="R46" s="103"/>
      <c r="S46" s="103"/>
      <c r="T46" s="132"/>
      <c r="U46" s="129"/>
      <c r="V46" s="103"/>
      <c r="W46" s="103" t="s">
        <v>840</v>
      </c>
      <c r="X46" s="132">
        <v>200000</v>
      </c>
      <c r="Y46" s="103" t="s">
        <v>883</v>
      </c>
      <c r="Z46" s="132">
        <v>890751</v>
      </c>
      <c r="AA46" s="138">
        <v>45961</v>
      </c>
      <c r="AB46" s="132"/>
      <c r="AC46" s="134"/>
      <c r="AD46" s="132"/>
      <c r="AE46" s="103"/>
      <c r="AF46" s="132"/>
      <c r="AG46" s="103"/>
      <c r="AH46" s="132"/>
      <c r="AI46" s="103"/>
      <c r="AJ46" s="132">
        <f t="shared" si="10"/>
        <v>1090751</v>
      </c>
      <c r="AK46" s="132"/>
      <c r="AL46" s="132"/>
      <c r="AM46" s="132">
        <f t="shared" si="14"/>
        <v>0</v>
      </c>
      <c r="AN46" s="103">
        <v>13579031111</v>
      </c>
      <c r="AQ46" s="103">
        <f t="shared" si="11"/>
        <v>1090751</v>
      </c>
      <c r="AR46" s="135">
        <f t="shared" si="12"/>
        <v>0.0128</v>
      </c>
      <c r="BB46" s="103">
        <v>1090751</v>
      </c>
      <c r="BM46" s="103" t="s">
        <v>3376</v>
      </c>
      <c r="BO46" s="103" t="s">
        <v>377</v>
      </c>
    </row>
    <row r="47" s="103" customFormat="1" customHeight="1" spans="1:67">
      <c r="A47" s="103">
        <v>42</v>
      </c>
      <c r="B47" s="128"/>
      <c r="C47" s="129">
        <v>45917</v>
      </c>
      <c r="D47" s="103">
        <v>20250004687</v>
      </c>
      <c r="E47" s="103"/>
      <c r="F47" s="1021" t="s">
        <v>224</v>
      </c>
      <c r="G47" s="103" t="s">
        <v>225</v>
      </c>
      <c r="H47" s="103"/>
      <c r="I47" s="128" t="s">
        <v>6676</v>
      </c>
      <c r="J47" s="144">
        <v>45.23</v>
      </c>
      <c r="K47" s="144">
        <v>45.23</v>
      </c>
      <c r="L47" s="144">
        <v>45.23</v>
      </c>
      <c r="M47" s="132">
        <v>23964.93</v>
      </c>
      <c r="N47" s="132">
        <f t="shared" si="13"/>
        <v>1083934</v>
      </c>
      <c r="O47" s="1022" t="s">
        <v>6641</v>
      </c>
      <c r="P47" s="144">
        <v>23964.93</v>
      </c>
      <c r="Q47" s="103"/>
      <c r="R47" s="103"/>
      <c r="S47" s="103"/>
      <c r="T47" s="132"/>
      <c r="U47" s="129"/>
      <c r="V47" s="103"/>
      <c r="W47" s="103" t="s">
        <v>840</v>
      </c>
      <c r="X47" s="132">
        <v>200000</v>
      </c>
      <c r="Y47" s="103" t="s">
        <v>883</v>
      </c>
      <c r="Z47" s="132">
        <f>478626+145000</f>
        <v>623626</v>
      </c>
      <c r="AA47" s="138" t="s">
        <v>6677</v>
      </c>
      <c r="AB47" s="132">
        <v>260308</v>
      </c>
      <c r="AC47" s="138">
        <v>45906</v>
      </c>
      <c r="AD47" s="132"/>
      <c r="AE47" s="103"/>
      <c r="AF47" s="132"/>
      <c r="AG47" s="103"/>
      <c r="AH47" s="132"/>
      <c r="AI47" s="103"/>
      <c r="AJ47" s="132">
        <f t="shared" si="10"/>
        <v>1083934</v>
      </c>
      <c r="AK47" s="132"/>
      <c r="AL47" s="132"/>
      <c r="AM47" s="132">
        <f t="shared" si="14"/>
        <v>0</v>
      </c>
      <c r="AN47" s="103">
        <v>13579031111</v>
      </c>
      <c r="AQ47" s="103">
        <f t="shared" si="11"/>
        <v>1083934</v>
      </c>
      <c r="AR47" s="135">
        <f t="shared" si="12"/>
        <v>0.0128</v>
      </c>
      <c r="BA47" s="103">
        <v>1083934</v>
      </c>
      <c r="BM47" s="103" t="s">
        <v>3376</v>
      </c>
      <c r="BO47" s="103" t="s">
        <v>377</v>
      </c>
    </row>
    <row r="48" s="103" customFormat="1" customHeight="1" spans="1:67">
      <c r="A48" s="103">
        <v>43</v>
      </c>
      <c r="B48" s="128"/>
      <c r="C48" s="129">
        <v>45891</v>
      </c>
      <c r="D48" s="103">
        <v>20250004332</v>
      </c>
      <c r="E48" s="103"/>
      <c r="F48" s="1021" t="s">
        <v>224</v>
      </c>
      <c r="G48" s="103" t="s">
        <v>225</v>
      </c>
      <c r="H48" s="103"/>
      <c r="I48" s="128" t="s">
        <v>6678</v>
      </c>
      <c r="J48" s="144">
        <v>45.23</v>
      </c>
      <c r="K48" s="144">
        <v>45.23</v>
      </c>
      <c r="L48" s="144">
        <v>45.23</v>
      </c>
      <c r="M48" s="132">
        <v>23771.47</v>
      </c>
      <c r="N48" s="132">
        <f t="shared" si="13"/>
        <v>1075184</v>
      </c>
      <c r="O48" s="1022" t="s">
        <v>6641</v>
      </c>
      <c r="P48" s="144">
        <v>23771.47</v>
      </c>
      <c r="Q48" s="103"/>
      <c r="R48" s="103"/>
      <c r="S48" s="103"/>
      <c r="T48" s="132"/>
      <c r="U48" s="129"/>
      <c r="V48" s="103"/>
      <c r="W48" s="103" t="s">
        <v>840</v>
      </c>
      <c r="X48" s="132">
        <v>200000</v>
      </c>
      <c r="Y48" s="103" t="s">
        <v>883</v>
      </c>
      <c r="Z48" s="132">
        <f>110000+102549</f>
        <v>212549</v>
      </c>
      <c r="AA48" s="138">
        <v>45863</v>
      </c>
      <c r="AB48" s="132">
        <f>590000+72635</f>
        <v>662635</v>
      </c>
      <c r="AC48" s="138">
        <v>45873</v>
      </c>
      <c r="AD48" s="132"/>
      <c r="AE48" s="103"/>
      <c r="AF48" s="132"/>
      <c r="AG48" s="103"/>
      <c r="AH48" s="132"/>
      <c r="AI48" s="103"/>
      <c r="AJ48" s="132">
        <f t="shared" si="10"/>
        <v>1075184</v>
      </c>
      <c r="AK48" s="132"/>
      <c r="AL48" s="132"/>
      <c r="AM48" s="132">
        <f t="shared" si="14"/>
        <v>0</v>
      </c>
      <c r="AN48" s="103">
        <v>13579031111</v>
      </c>
      <c r="AQ48" s="103">
        <f t="shared" si="11"/>
        <v>1075184</v>
      </c>
      <c r="AR48" s="135">
        <f t="shared" si="12"/>
        <v>0.0128</v>
      </c>
      <c r="AZ48" s="103">
        <v>1075184</v>
      </c>
      <c r="BM48" s="103" t="s">
        <v>376</v>
      </c>
      <c r="BO48" s="103" t="s">
        <v>377</v>
      </c>
    </row>
    <row r="49" s="103" customFormat="1" customHeight="1" spans="1:67">
      <c r="A49" s="103">
        <v>44</v>
      </c>
      <c r="B49" s="128"/>
      <c r="C49" s="129">
        <v>45862</v>
      </c>
      <c r="D49" s="103">
        <v>20250003931</v>
      </c>
      <c r="E49" s="103"/>
      <c r="F49" s="1021" t="s">
        <v>224</v>
      </c>
      <c r="G49" s="103" t="s">
        <v>225</v>
      </c>
      <c r="H49" s="103"/>
      <c r="I49" s="128" t="s">
        <v>6679</v>
      </c>
      <c r="J49" s="144">
        <v>45.74</v>
      </c>
      <c r="K49" s="144">
        <v>45.74</v>
      </c>
      <c r="L49" s="144">
        <v>45.74</v>
      </c>
      <c r="M49" s="132">
        <v>23868.2</v>
      </c>
      <c r="N49" s="132">
        <v>1091732</v>
      </c>
      <c r="O49" s="1022" t="s">
        <v>6641</v>
      </c>
      <c r="P49" s="144">
        <v>23868.2</v>
      </c>
      <c r="Q49" s="103"/>
      <c r="R49" s="103"/>
      <c r="S49" s="103"/>
      <c r="T49" s="132"/>
      <c r="U49" s="129"/>
      <c r="V49" s="103"/>
      <c r="W49" s="103" t="s">
        <v>840</v>
      </c>
      <c r="X49" s="132">
        <v>200000</v>
      </c>
      <c r="Y49" s="103" t="s">
        <v>883</v>
      </c>
      <c r="Z49" s="132">
        <v>891732</v>
      </c>
      <c r="AA49" s="138">
        <v>45862</v>
      </c>
      <c r="AB49" s="132"/>
      <c r="AC49" s="138"/>
      <c r="AD49" s="132"/>
      <c r="AE49" s="103"/>
      <c r="AF49" s="132"/>
      <c r="AG49" s="103"/>
      <c r="AH49" s="132"/>
      <c r="AI49" s="103"/>
      <c r="AJ49" s="132">
        <f t="shared" si="10"/>
        <v>1091732</v>
      </c>
      <c r="AK49" s="132"/>
      <c r="AL49" s="132"/>
      <c r="AM49" s="132">
        <f t="shared" si="14"/>
        <v>0</v>
      </c>
      <c r="AN49" s="103">
        <v>13579031111</v>
      </c>
      <c r="AQ49" s="103">
        <f t="shared" si="11"/>
        <v>1091732</v>
      </c>
      <c r="AR49" s="135">
        <f t="shared" si="12"/>
        <v>0.0128</v>
      </c>
      <c r="AY49" s="103">
        <v>1091732</v>
      </c>
      <c r="BM49" s="103" t="s">
        <v>376</v>
      </c>
      <c r="BO49" s="103" t="s">
        <v>377</v>
      </c>
    </row>
    <row r="50" s="103" customFormat="1" customHeight="1" spans="1:67">
      <c r="A50" s="103">
        <v>45</v>
      </c>
      <c r="B50" s="128"/>
      <c r="C50" s="129">
        <v>45862</v>
      </c>
      <c r="D50" s="103">
        <v>20250003930</v>
      </c>
      <c r="E50" s="103"/>
      <c r="F50" s="1021" t="s">
        <v>224</v>
      </c>
      <c r="G50" s="103" t="s">
        <v>225</v>
      </c>
      <c r="H50" s="103"/>
      <c r="I50" s="128" t="s">
        <v>6680</v>
      </c>
      <c r="J50" s="144">
        <v>45.74</v>
      </c>
      <c r="K50" s="144">
        <v>45.74</v>
      </c>
      <c r="L50" s="144">
        <v>45.74</v>
      </c>
      <c r="M50" s="132">
        <v>24059.7</v>
      </c>
      <c r="N50" s="132">
        <f t="shared" si="13"/>
        <v>1100491</v>
      </c>
      <c r="O50" s="1022" t="s">
        <v>6641</v>
      </c>
      <c r="P50" s="144">
        <v>24059.7</v>
      </c>
      <c r="Q50" s="103"/>
      <c r="R50" s="103"/>
      <c r="S50" s="103"/>
      <c r="T50" s="132"/>
      <c r="U50" s="129"/>
      <c r="V50" s="103"/>
      <c r="W50" s="103" t="s">
        <v>840</v>
      </c>
      <c r="X50" s="132">
        <v>200000</v>
      </c>
      <c r="Y50" s="103" t="s">
        <v>883</v>
      </c>
      <c r="Z50" s="132">
        <f>232212+300000</f>
        <v>532212</v>
      </c>
      <c r="AA50" s="134" t="s">
        <v>957</v>
      </c>
      <c r="AB50" s="132">
        <v>368279</v>
      </c>
      <c r="AC50" s="138">
        <v>45862</v>
      </c>
      <c r="AD50" s="132"/>
      <c r="AE50" s="103"/>
      <c r="AF50" s="132"/>
      <c r="AG50" s="103"/>
      <c r="AH50" s="132"/>
      <c r="AI50" s="103"/>
      <c r="AJ50" s="132">
        <f t="shared" si="10"/>
        <v>1100491</v>
      </c>
      <c r="AK50" s="132"/>
      <c r="AL50" s="132"/>
      <c r="AM50" s="132">
        <f t="shared" si="14"/>
        <v>0</v>
      </c>
      <c r="AN50" s="103">
        <v>13579031111</v>
      </c>
      <c r="AQ50" s="103">
        <f t="shared" si="11"/>
        <v>1100491</v>
      </c>
      <c r="AR50" s="135">
        <f t="shared" si="12"/>
        <v>0.0128</v>
      </c>
      <c r="AY50" s="103">
        <v>1100491</v>
      </c>
      <c r="BM50" s="103" t="s">
        <v>376</v>
      </c>
      <c r="BO50" s="103" t="s">
        <v>377</v>
      </c>
    </row>
    <row r="51" s="103" customFormat="1" customHeight="1" spans="1:67">
      <c r="A51" s="103">
        <v>46</v>
      </c>
      <c r="B51" s="128"/>
      <c r="C51" s="129">
        <v>45782</v>
      </c>
      <c r="D51" s="103">
        <v>20250002536</v>
      </c>
      <c r="E51" s="103"/>
      <c r="F51" s="1021" t="s">
        <v>224</v>
      </c>
      <c r="G51" s="103" t="s">
        <v>225</v>
      </c>
      <c r="H51" s="103"/>
      <c r="I51" s="128" t="s">
        <v>6681</v>
      </c>
      <c r="J51" s="144">
        <v>45.23</v>
      </c>
      <c r="K51" s="144">
        <v>45.23</v>
      </c>
      <c r="L51" s="144">
        <v>45.23</v>
      </c>
      <c r="M51" s="132">
        <v>17395.93</v>
      </c>
      <c r="N51" s="132">
        <f t="shared" si="13"/>
        <v>786818</v>
      </c>
      <c r="O51" s="1022" t="s">
        <v>6641</v>
      </c>
      <c r="P51" s="144">
        <v>17395.93</v>
      </c>
      <c r="Q51" s="103"/>
      <c r="R51" s="103"/>
      <c r="S51" s="103"/>
      <c r="T51" s="132"/>
      <c r="U51" s="103"/>
      <c r="V51" s="103"/>
      <c r="W51" s="103" t="s">
        <v>840</v>
      </c>
      <c r="X51" s="132">
        <v>200000</v>
      </c>
      <c r="Y51" s="103" t="s">
        <v>883</v>
      </c>
      <c r="Z51" s="132">
        <v>586818</v>
      </c>
      <c r="AA51" s="134" t="s">
        <v>3223</v>
      </c>
      <c r="AB51" s="132"/>
      <c r="AC51" s="134"/>
      <c r="AD51" s="132"/>
      <c r="AE51" s="103"/>
      <c r="AF51" s="132"/>
      <c r="AG51" s="103"/>
      <c r="AH51" s="132"/>
      <c r="AI51" s="103"/>
      <c r="AJ51" s="132">
        <f t="shared" si="10"/>
        <v>786818</v>
      </c>
      <c r="AK51" s="132"/>
      <c r="AL51" s="132"/>
      <c r="AM51" s="132">
        <f t="shared" si="14"/>
        <v>0</v>
      </c>
      <c r="AN51" s="103">
        <v>13579031111</v>
      </c>
      <c r="AQ51" s="103">
        <f t="shared" si="11"/>
        <v>786818</v>
      </c>
      <c r="AR51" s="135">
        <f t="shared" si="12"/>
        <v>0.0128</v>
      </c>
      <c r="AW51" s="103">
        <v>786818</v>
      </c>
      <c r="BM51" s="103" t="s">
        <v>376</v>
      </c>
      <c r="BO51" s="103" t="s">
        <v>377</v>
      </c>
    </row>
    <row r="52" s="103" customFormat="1" customHeight="1" spans="1:67">
      <c r="A52" s="103">
        <v>47</v>
      </c>
      <c r="B52" s="128"/>
      <c r="C52" s="129">
        <v>45779</v>
      </c>
      <c r="D52" s="103">
        <v>20250002360</v>
      </c>
      <c r="E52" s="103"/>
      <c r="F52" s="1021" t="s">
        <v>224</v>
      </c>
      <c r="G52" s="103" t="s">
        <v>225</v>
      </c>
      <c r="H52" s="103"/>
      <c r="I52" s="128" t="s">
        <v>6682</v>
      </c>
      <c r="J52" s="144">
        <v>45.23</v>
      </c>
      <c r="K52" s="144">
        <v>45.23</v>
      </c>
      <c r="L52" s="144">
        <v>45.23</v>
      </c>
      <c r="M52" s="132">
        <v>17300.61</v>
      </c>
      <c r="N52" s="132">
        <f t="shared" si="13"/>
        <v>782507</v>
      </c>
      <c r="O52" s="1022" t="s">
        <v>6641</v>
      </c>
      <c r="P52" s="144">
        <v>17300.61</v>
      </c>
      <c r="Q52" s="103"/>
      <c r="R52" s="103"/>
      <c r="S52" s="103"/>
      <c r="T52" s="132"/>
      <c r="U52" s="103"/>
      <c r="V52" s="103"/>
      <c r="W52" s="103" t="s">
        <v>840</v>
      </c>
      <c r="X52" s="132">
        <v>200000</v>
      </c>
      <c r="Y52" s="103" t="s">
        <v>883</v>
      </c>
      <c r="Z52" s="132">
        <f>103557+100000</f>
        <v>203557</v>
      </c>
      <c r="AA52" s="134" t="s">
        <v>6076</v>
      </c>
      <c r="AB52" s="132">
        <v>378950</v>
      </c>
      <c r="AC52" s="134" t="s">
        <v>3223</v>
      </c>
      <c r="AD52" s="132"/>
      <c r="AE52" s="103"/>
      <c r="AF52" s="132"/>
      <c r="AG52" s="103"/>
      <c r="AH52" s="132"/>
      <c r="AI52" s="103"/>
      <c r="AJ52" s="132">
        <f t="shared" si="10"/>
        <v>782507</v>
      </c>
      <c r="AK52" s="132"/>
      <c r="AL52" s="132"/>
      <c r="AM52" s="132">
        <f t="shared" si="14"/>
        <v>0</v>
      </c>
      <c r="AN52" s="103">
        <v>13579031111</v>
      </c>
      <c r="AQ52" s="103">
        <f t="shared" si="11"/>
        <v>782507</v>
      </c>
      <c r="AR52" s="135">
        <f t="shared" si="12"/>
        <v>0.0128</v>
      </c>
      <c r="AW52" s="103">
        <v>782507</v>
      </c>
      <c r="BM52" s="103" t="s">
        <v>376</v>
      </c>
      <c r="BO52" s="103" t="s">
        <v>377</v>
      </c>
    </row>
    <row r="53" s="103" customFormat="1" customHeight="1" spans="1:67">
      <c r="A53" s="103">
        <v>48</v>
      </c>
      <c r="B53" s="128"/>
      <c r="C53" s="129">
        <v>45716</v>
      </c>
      <c r="D53" s="103">
        <v>20250000940</v>
      </c>
      <c r="E53" s="103"/>
      <c r="F53" s="1021" t="s">
        <v>224</v>
      </c>
      <c r="G53" s="103" t="s">
        <v>225</v>
      </c>
      <c r="H53" s="103"/>
      <c r="I53" s="128" t="s">
        <v>6683</v>
      </c>
      <c r="J53" s="144">
        <v>45.15</v>
      </c>
      <c r="K53" s="144">
        <v>45.15</v>
      </c>
      <c r="L53" s="144">
        <v>45.15</v>
      </c>
      <c r="M53" s="132">
        <v>17203.88</v>
      </c>
      <c r="N53" s="132">
        <v>776756</v>
      </c>
      <c r="O53" s="1022" t="s">
        <v>6641</v>
      </c>
      <c r="P53" s="144">
        <v>17203.88</v>
      </c>
      <c r="Q53" s="103"/>
      <c r="R53" s="103"/>
      <c r="S53" s="103"/>
      <c r="T53" s="132"/>
      <c r="U53" s="103"/>
      <c r="V53" s="103"/>
      <c r="W53" s="103" t="s">
        <v>840</v>
      </c>
      <c r="X53" s="132">
        <v>200000</v>
      </c>
      <c r="Y53" s="103" t="s">
        <v>883</v>
      </c>
      <c r="Z53" s="132">
        <v>576756</v>
      </c>
      <c r="AA53" s="134" t="s">
        <v>6076</v>
      </c>
      <c r="AB53" s="132"/>
      <c r="AC53" s="134"/>
      <c r="AD53" s="132"/>
      <c r="AE53" s="103"/>
      <c r="AF53" s="132"/>
      <c r="AG53" s="103"/>
      <c r="AH53" s="132"/>
      <c r="AI53" s="103"/>
      <c r="AJ53" s="132">
        <f t="shared" si="10"/>
        <v>776756</v>
      </c>
      <c r="AK53" s="132"/>
      <c r="AL53" s="132"/>
      <c r="AM53" s="132">
        <f t="shared" si="14"/>
        <v>0</v>
      </c>
      <c r="AN53" s="103">
        <v>13579031111</v>
      </c>
      <c r="AQ53" s="103">
        <f t="shared" si="11"/>
        <v>776756</v>
      </c>
      <c r="AR53" s="135">
        <f t="shared" si="12"/>
        <v>0.0128</v>
      </c>
      <c r="AT53" s="103">
        <v>776756</v>
      </c>
      <c r="BM53" s="103" t="s">
        <v>376</v>
      </c>
      <c r="BO53" s="103" t="s">
        <v>377</v>
      </c>
    </row>
    <row r="54" s="103" customFormat="1" customHeight="1" spans="1:67">
      <c r="A54" s="103">
        <v>49</v>
      </c>
      <c r="B54" s="128"/>
      <c r="C54" s="129">
        <v>45716</v>
      </c>
      <c r="D54" s="103">
        <v>20250000941</v>
      </c>
      <c r="E54" s="103"/>
      <c r="F54" s="1021" t="s">
        <v>224</v>
      </c>
      <c r="G54" s="103" t="s">
        <v>225</v>
      </c>
      <c r="H54" s="103"/>
      <c r="I54" s="128" t="s">
        <v>6684</v>
      </c>
      <c r="J54" s="144">
        <v>51.95</v>
      </c>
      <c r="K54" s="144">
        <v>51.95</v>
      </c>
      <c r="L54" s="144">
        <v>51.95</v>
      </c>
      <c r="M54" s="132">
        <v>17300.61</v>
      </c>
      <c r="N54" s="132">
        <f t="shared" si="13"/>
        <v>898767</v>
      </c>
      <c r="O54" s="1022" t="s">
        <v>6641</v>
      </c>
      <c r="P54" s="144">
        <v>17300.61</v>
      </c>
      <c r="Q54" s="103"/>
      <c r="R54" s="103"/>
      <c r="S54" s="103"/>
      <c r="T54" s="132"/>
      <c r="U54" s="103"/>
      <c r="V54" s="103"/>
      <c r="W54" s="103" t="s">
        <v>840</v>
      </c>
      <c r="X54" s="132">
        <v>200000</v>
      </c>
      <c r="Y54" s="103" t="s">
        <v>883</v>
      </c>
      <c r="Z54" s="132">
        <v>526229</v>
      </c>
      <c r="AA54" s="134" t="s">
        <v>6445</v>
      </c>
      <c r="AB54" s="132">
        <v>172538</v>
      </c>
      <c r="AC54" s="134" t="s">
        <v>6076</v>
      </c>
      <c r="AD54" s="132"/>
      <c r="AE54" s="103"/>
      <c r="AF54" s="132"/>
      <c r="AG54" s="103"/>
      <c r="AH54" s="132"/>
      <c r="AI54" s="103"/>
      <c r="AJ54" s="132">
        <f t="shared" si="10"/>
        <v>898767</v>
      </c>
      <c r="AK54" s="132"/>
      <c r="AL54" s="132"/>
      <c r="AM54" s="132">
        <f t="shared" si="14"/>
        <v>0</v>
      </c>
      <c r="AN54" s="103">
        <v>13579031111</v>
      </c>
      <c r="AQ54" s="103">
        <f t="shared" si="11"/>
        <v>898767</v>
      </c>
      <c r="AR54" s="135">
        <f t="shared" si="12"/>
        <v>0.0128</v>
      </c>
      <c r="AT54" s="103">
        <v>898767</v>
      </c>
      <c r="BM54" s="103" t="s">
        <v>376</v>
      </c>
      <c r="BO54" s="103" t="s">
        <v>377</v>
      </c>
    </row>
    <row r="55" s="103" customFormat="1" customHeight="1" spans="1:67">
      <c r="A55" s="103">
        <v>50</v>
      </c>
      <c r="B55" s="128"/>
      <c r="C55" s="129">
        <v>45657</v>
      </c>
      <c r="D55" s="103">
        <v>20240007552</v>
      </c>
      <c r="E55" s="103"/>
      <c r="F55" s="1021" t="s">
        <v>224</v>
      </c>
      <c r="G55" s="103" t="s">
        <v>225</v>
      </c>
      <c r="H55" s="103"/>
      <c r="I55" s="128" t="s">
        <v>6685</v>
      </c>
      <c r="J55" s="144">
        <v>45.23</v>
      </c>
      <c r="K55" s="144">
        <v>45.23</v>
      </c>
      <c r="L55" s="144">
        <v>45.23</v>
      </c>
      <c r="M55" s="132">
        <v>17397.33</v>
      </c>
      <c r="N55" s="132">
        <v>786882</v>
      </c>
      <c r="O55" s="1022" t="s">
        <v>6641</v>
      </c>
      <c r="P55" s="144">
        <v>17397.33</v>
      </c>
      <c r="Q55" s="103"/>
      <c r="R55" s="103"/>
      <c r="S55" s="103"/>
      <c r="T55" s="132"/>
      <c r="U55" s="103"/>
      <c r="V55" s="103"/>
      <c r="W55" s="103" t="s">
        <v>840</v>
      </c>
      <c r="X55" s="132">
        <v>113111</v>
      </c>
      <c r="Y55" s="103" t="s">
        <v>620</v>
      </c>
      <c r="Z55" s="132">
        <v>200000</v>
      </c>
      <c r="AA55" s="134" t="s">
        <v>3955</v>
      </c>
      <c r="AB55" s="132">
        <v>473771</v>
      </c>
      <c r="AC55" s="134" t="s">
        <v>6445</v>
      </c>
      <c r="AD55" s="132"/>
      <c r="AE55" s="103"/>
      <c r="AF55" s="132"/>
      <c r="AG55" s="103"/>
      <c r="AH55" s="132"/>
      <c r="AI55" s="103"/>
      <c r="AJ55" s="132">
        <f t="shared" si="10"/>
        <v>786882</v>
      </c>
      <c r="AK55" s="132"/>
      <c r="AL55" s="132"/>
      <c r="AM55" s="132">
        <f t="shared" si="14"/>
        <v>0</v>
      </c>
      <c r="AN55" s="103">
        <v>13579031111</v>
      </c>
      <c r="AQ55" s="103">
        <f t="shared" si="11"/>
        <v>786882</v>
      </c>
      <c r="AR55" s="135">
        <f t="shared" ref="AR55:AR59" si="15">1%+0.25%+0.03%</f>
        <v>0.0128</v>
      </c>
      <c r="AS55" s="103">
        <v>786882</v>
      </c>
      <c r="BM55" s="103" t="s">
        <v>376</v>
      </c>
      <c r="BO55" s="103" t="s">
        <v>377</v>
      </c>
    </row>
    <row r="56" s="103" customFormat="1" customHeight="1" spans="1:67">
      <c r="A56" s="103">
        <v>51</v>
      </c>
      <c r="B56" s="128"/>
      <c r="C56" s="129">
        <v>45650</v>
      </c>
      <c r="D56" s="103">
        <v>20240007416</v>
      </c>
      <c r="E56" s="103"/>
      <c r="F56" s="1021" t="s">
        <v>224</v>
      </c>
      <c r="G56" s="103" t="s">
        <v>225</v>
      </c>
      <c r="H56" s="103"/>
      <c r="I56" s="128" t="s">
        <v>6686</v>
      </c>
      <c r="J56" s="144">
        <v>45.23</v>
      </c>
      <c r="K56" s="144">
        <v>45.23</v>
      </c>
      <c r="L56" s="144">
        <v>45.23</v>
      </c>
      <c r="M56" s="132">
        <v>17494.06</v>
      </c>
      <c r="N56" s="132">
        <v>791257</v>
      </c>
      <c r="O56" s="1022" t="s">
        <v>6641</v>
      </c>
      <c r="P56" s="144">
        <v>17494.06</v>
      </c>
      <c r="Q56" s="103"/>
      <c r="R56" s="103"/>
      <c r="S56" s="103"/>
      <c r="T56" s="132"/>
      <c r="U56" s="103"/>
      <c r="V56" s="103"/>
      <c r="W56" s="103" t="s">
        <v>840</v>
      </c>
      <c r="X56" s="132">
        <v>591257</v>
      </c>
      <c r="Y56" s="103" t="s">
        <v>620</v>
      </c>
      <c r="Z56" s="132">
        <v>200000</v>
      </c>
      <c r="AA56" s="134" t="s">
        <v>5843</v>
      </c>
      <c r="AB56" s="132"/>
      <c r="AC56" s="134"/>
      <c r="AD56" s="132"/>
      <c r="AE56" s="103"/>
      <c r="AF56" s="132"/>
      <c r="AG56" s="103"/>
      <c r="AH56" s="132"/>
      <c r="AI56" s="103"/>
      <c r="AJ56" s="132">
        <f t="shared" si="10"/>
        <v>791257</v>
      </c>
      <c r="AK56" s="132"/>
      <c r="AL56" s="132"/>
      <c r="AM56" s="132">
        <f t="shared" si="14"/>
        <v>0</v>
      </c>
      <c r="AN56" s="103">
        <v>13579031111</v>
      </c>
      <c r="AQ56" s="103">
        <f t="shared" si="11"/>
        <v>791257</v>
      </c>
      <c r="AR56" s="135">
        <f t="shared" si="15"/>
        <v>0.0128</v>
      </c>
      <c r="AS56" s="103">
        <v>791257</v>
      </c>
      <c r="BM56" s="103" t="s">
        <v>376</v>
      </c>
      <c r="BO56" s="103" t="s">
        <v>377</v>
      </c>
    </row>
    <row r="57" s="103" customFormat="1" customHeight="1" spans="1:67">
      <c r="A57" s="103">
        <v>52</v>
      </c>
      <c r="B57" s="128"/>
      <c r="C57" s="129">
        <v>45650</v>
      </c>
      <c r="D57" s="103">
        <v>20240007420</v>
      </c>
      <c r="E57" s="103"/>
      <c r="F57" s="1021" t="s">
        <v>224</v>
      </c>
      <c r="G57" s="103" t="s">
        <v>225</v>
      </c>
      <c r="H57" s="103"/>
      <c r="I57" s="128" t="s">
        <v>6687</v>
      </c>
      <c r="J57" s="144">
        <v>45.23</v>
      </c>
      <c r="K57" s="144">
        <v>45.23</v>
      </c>
      <c r="L57" s="144">
        <v>45.23</v>
      </c>
      <c r="M57" s="132">
        <v>17590.79</v>
      </c>
      <c r="N57" s="132">
        <v>795632</v>
      </c>
      <c r="O57" s="1022" t="s">
        <v>6641</v>
      </c>
      <c r="P57" s="144">
        <v>17590.79</v>
      </c>
      <c r="Q57" s="103"/>
      <c r="R57" s="103"/>
      <c r="S57" s="103"/>
      <c r="T57" s="132"/>
      <c r="U57" s="103"/>
      <c r="V57" s="103"/>
      <c r="W57" s="103" t="s">
        <v>840</v>
      </c>
      <c r="X57" s="132">
        <v>295632</v>
      </c>
      <c r="Y57" s="103" t="s">
        <v>620</v>
      </c>
      <c r="Z57" s="132">
        <f>200000+300000</f>
        <v>500000</v>
      </c>
      <c r="AA57" s="134" t="s">
        <v>4814</v>
      </c>
      <c r="AB57" s="132"/>
      <c r="AC57" s="134"/>
      <c r="AD57" s="132"/>
      <c r="AE57" s="103"/>
      <c r="AF57" s="132"/>
      <c r="AG57" s="103"/>
      <c r="AH57" s="132"/>
      <c r="AI57" s="103"/>
      <c r="AJ57" s="132">
        <f t="shared" si="10"/>
        <v>795632</v>
      </c>
      <c r="AK57" s="132"/>
      <c r="AL57" s="132"/>
      <c r="AM57" s="132">
        <f t="shared" si="14"/>
        <v>0</v>
      </c>
      <c r="AN57" s="103">
        <v>13579031111</v>
      </c>
      <c r="AQ57" s="103">
        <f t="shared" si="11"/>
        <v>795632</v>
      </c>
      <c r="AR57" s="135">
        <f t="shared" si="15"/>
        <v>0.0128</v>
      </c>
      <c r="AS57" s="103">
        <v>795632</v>
      </c>
      <c r="BM57" s="103" t="s">
        <v>376</v>
      </c>
      <c r="BO57" s="103" t="s">
        <v>377</v>
      </c>
    </row>
    <row r="58" s="103" customFormat="1" customHeight="1" spans="1:67">
      <c r="A58" s="103">
        <v>53</v>
      </c>
      <c r="B58" s="128"/>
      <c r="C58" s="129">
        <v>45716</v>
      </c>
      <c r="D58" s="103">
        <v>20250000942</v>
      </c>
      <c r="E58" s="103"/>
      <c r="F58" s="1021" t="s">
        <v>224</v>
      </c>
      <c r="G58" s="103" t="s">
        <v>225</v>
      </c>
      <c r="H58" s="103"/>
      <c r="I58" s="128" t="s">
        <v>6688</v>
      </c>
      <c r="J58" s="144">
        <v>46.87</v>
      </c>
      <c r="K58" s="144">
        <v>46.87</v>
      </c>
      <c r="L58" s="144">
        <v>46.87</v>
      </c>
      <c r="M58" s="132">
        <v>18074.42</v>
      </c>
      <c r="N58" s="132">
        <v>847149</v>
      </c>
      <c r="O58" s="1022" t="s">
        <v>6641</v>
      </c>
      <c r="P58" s="144">
        <v>18074.42</v>
      </c>
      <c r="Q58" s="103"/>
      <c r="R58" s="103"/>
      <c r="S58" s="103"/>
      <c r="T58" s="132"/>
      <c r="U58" s="103"/>
      <c r="V58" s="103"/>
      <c r="W58" s="103" t="s">
        <v>840</v>
      </c>
      <c r="X58" s="132">
        <v>200000</v>
      </c>
      <c r="Y58" s="103" t="s">
        <v>883</v>
      </c>
      <c r="Z58" s="132">
        <v>600000</v>
      </c>
      <c r="AA58" s="134" t="s">
        <v>773</v>
      </c>
      <c r="AB58" s="132">
        <v>47149</v>
      </c>
      <c r="AC58" s="134" t="s">
        <v>6076</v>
      </c>
      <c r="AD58" s="132"/>
      <c r="AE58" s="103"/>
      <c r="AF58" s="132"/>
      <c r="AG58" s="103"/>
      <c r="AH58" s="132"/>
      <c r="AI58" s="103"/>
      <c r="AJ58" s="132">
        <f t="shared" si="10"/>
        <v>847149</v>
      </c>
      <c r="AK58" s="132"/>
      <c r="AL58" s="132"/>
      <c r="AM58" s="132">
        <f t="shared" si="14"/>
        <v>0</v>
      </c>
      <c r="AN58" s="103">
        <v>13579031111</v>
      </c>
      <c r="AQ58" s="103">
        <f t="shared" si="11"/>
        <v>847149</v>
      </c>
      <c r="AR58" s="135">
        <f t="shared" si="15"/>
        <v>0.0128</v>
      </c>
      <c r="AT58" s="103">
        <v>847149</v>
      </c>
      <c r="BM58" s="103" t="s">
        <v>376</v>
      </c>
      <c r="BO58" s="103" t="s">
        <v>377</v>
      </c>
    </row>
    <row r="59" s="103" customFormat="1" customHeight="1" spans="1:67">
      <c r="A59" s="103">
        <v>54</v>
      </c>
      <c r="B59" s="128"/>
      <c r="C59" s="129">
        <v>45827</v>
      </c>
      <c r="D59" s="103">
        <v>20250003258</v>
      </c>
      <c r="E59" s="103"/>
      <c r="F59" s="1021" t="s">
        <v>224</v>
      </c>
      <c r="G59" s="103" t="s">
        <v>225</v>
      </c>
      <c r="H59" s="103"/>
      <c r="I59" s="128" t="s">
        <v>6689</v>
      </c>
      <c r="J59" s="144">
        <v>45.74</v>
      </c>
      <c r="K59" s="144">
        <v>45.74</v>
      </c>
      <c r="L59" s="144">
        <v>45.74</v>
      </c>
      <c r="M59" s="132">
        <v>23000</v>
      </c>
      <c r="N59" s="132">
        <f t="shared" si="13"/>
        <v>1052020</v>
      </c>
      <c r="O59" s="1022" t="s">
        <v>6641</v>
      </c>
      <c r="P59" s="144">
        <v>23000</v>
      </c>
      <c r="Q59" s="103"/>
      <c r="R59" s="103"/>
      <c r="S59" s="103"/>
      <c r="T59" s="132"/>
      <c r="U59" s="103"/>
      <c r="V59" s="103"/>
      <c r="W59" s="103" t="s">
        <v>840</v>
      </c>
      <c r="X59" s="132">
        <v>250000</v>
      </c>
      <c r="Y59" s="103" t="s">
        <v>4627</v>
      </c>
      <c r="Z59" s="132">
        <v>34232</v>
      </c>
      <c r="AA59" s="134" t="s">
        <v>3223</v>
      </c>
      <c r="AB59" s="132">
        <v>767788</v>
      </c>
      <c r="AC59" s="134" t="s">
        <v>957</v>
      </c>
      <c r="AD59" s="132"/>
      <c r="AE59" s="103"/>
      <c r="AF59" s="132"/>
      <c r="AG59" s="103"/>
      <c r="AH59" s="132"/>
      <c r="AI59" s="103"/>
      <c r="AJ59" s="132">
        <f t="shared" si="10"/>
        <v>1052020</v>
      </c>
      <c r="AK59" s="132"/>
      <c r="AL59" s="132"/>
      <c r="AM59" s="132">
        <f t="shared" si="14"/>
        <v>0</v>
      </c>
      <c r="AN59" s="103">
        <v>13579031111</v>
      </c>
      <c r="AQ59" s="103">
        <f t="shared" si="11"/>
        <v>1052020</v>
      </c>
      <c r="AR59" s="135">
        <f t="shared" si="15"/>
        <v>0.0128</v>
      </c>
      <c r="AX59" s="103">
        <v>1052020</v>
      </c>
      <c r="BM59" s="103" t="s">
        <v>376</v>
      </c>
      <c r="BO59" s="103" t="s">
        <v>377</v>
      </c>
    </row>
    <row r="60" s="103" customFormat="1" customHeight="1" spans="1:67">
      <c r="A60" s="103">
        <v>55</v>
      </c>
      <c r="B60" s="128"/>
      <c r="C60" s="129">
        <v>45779</v>
      </c>
      <c r="D60" s="103">
        <v>20250002401</v>
      </c>
      <c r="E60" s="103"/>
      <c r="F60" s="1021" t="s">
        <v>6690</v>
      </c>
      <c r="G60" s="103" t="s">
        <v>6691</v>
      </c>
      <c r="H60" s="1021" t="s">
        <v>6692</v>
      </c>
      <c r="I60" s="128" t="s">
        <v>6693</v>
      </c>
      <c r="J60" s="144">
        <v>319.41</v>
      </c>
      <c r="K60" s="144">
        <v>322.47</v>
      </c>
      <c r="L60" s="144">
        <v>322.47</v>
      </c>
      <c r="M60" s="132">
        <v>11000</v>
      </c>
      <c r="N60" s="132">
        <f t="shared" si="13"/>
        <v>3547170</v>
      </c>
      <c r="O60" s="133">
        <v>33660</v>
      </c>
      <c r="P60" s="144">
        <v>11136.88</v>
      </c>
      <c r="Q60" s="103"/>
      <c r="R60" s="103"/>
      <c r="S60" s="103"/>
      <c r="T60" s="132"/>
      <c r="U60" s="129"/>
      <c r="V60" s="103"/>
      <c r="W60" s="103" t="s">
        <v>486</v>
      </c>
      <c r="X60" s="132">
        <v>100000</v>
      </c>
      <c r="Y60" s="103" t="s">
        <v>3667</v>
      </c>
      <c r="Z60" s="132">
        <v>1663510</v>
      </c>
      <c r="AA60" s="134" t="s">
        <v>3357</v>
      </c>
      <c r="AB60" s="132">
        <v>550000</v>
      </c>
      <c r="AC60" s="138">
        <v>46091</v>
      </c>
      <c r="AD60" s="132">
        <v>1200000</v>
      </c>
      <c r="AE60" s="129" t="s">
        <v>6694</v>
      </c>
      <c r="AF60" s="132">
        <v>33660</v>
      </c>
      <c r="AG60" s="103" t="s">
        <v>6695</v>
      </c>
      <c r="AH60" s="132"/>
      <c r="AI60" s="103"/>
      <c r="AJ60" s="132">
        <f t="shared" si="10"/>
        <v>3547170</v>
      </c>
      <c r="AK60" s="132"/>
      <c r="AL60" s="132"/>
      <c r="AM60" s="132">
        <f t="shared" si="14"/>
        <v>0</v>
      </c>
      <c r="AN60" s="103">
        <v>15001596148</v>
      </c>
      <c r="AO60" s="103" t="s">
        <v>690</v>
      </c>
      <c r="AQ60" s="103">
        <f t="shared" si="11"/>
        <v>3513510</v>
      </c>
      <c r="AR60" s="135">
        <f>1%+0.18%+0.25%+0.03%</f>
        <v>0.0146</v>
      </c>
      <c r="AW60" s="103">
        <v>1763510</v>
      </c>
      <c r="BI60" s="103">
        <v>1750000</v>
      </c>
      <c r="BM60" s="103" t="s">
        <v>376</v>
      </c>
      <c r="BO60" s="103" t="s">
        <v>377</v>
      </c>
    </row>
    <row r="61" s="104" customFormat="1" ht="25" customHeight="1" spans="1:67">
      <c r="A61" s="104">
        <v>56</v>
      </c>
      <c r="B61" s="101"/>
      <c r="C61" s="104"/>
      <c r="D61" s="104"/>
      <c r="E61" s="104"/>
      <c r="F61" s="104"/>
      <c r="G61" s="104"/>
      <c r="H61" s="104"/>
      <c r="I61" s="101" t="s">
        <v>6696</v>
      </c>
      <c r="J61" s="148">
        <v>317.38</v>
      </c>
      <c r="K61" s="148"/>
      <c r="L61" s="148">
        <v>310.28</v>
      </c>
      <c r="M61" s="141"/>
      <c r="N61" s="141"/>
      <c r="O61" s="141"/>
      <c r="P61" s="148">
        <v>1091414</v>
      </c>
      <c r="Q61" s="104"/>
      <c r="R61" s="104"/>
      <c r="S61" s="104"/>
      <c r="T61" s="141"/>
      <c r="U61" s="104"/>
      <c r="V61" s="104"/>
      <c r="W61" s="104"/>
      <c r="X61" s="141"/>
      <c r="Y61" s="104"/>
      <c r="Z61" s="141"/>
      <c r="AA61" s="149"/>
      <c r="AB61" s="141"/>
      <c r="AC61" s="149"/>
      <c r="AD61" s="141"/>
      <c r="AE61" s="104"/>
      <c r="AF61" s="141"/>
      <c r="AG61" s="104"/>
      <c r="AH61" s="141"/>
      <c r="AI61" s="104"/>
      <c r="AJ61" s="141">
        <f t="shared" si="10"/>
        <v>0</v>
      </c>
      <c r="AK61" s="141"/>
      <c r="AL61" s="141"/>
      <c r="AM61" s="141"/>
      <c r="AQ61" s="103">
        <f t="shared" si="11"/>
        <v>0</v>
      </c>
    </row>
    <row r="62" s="103" customFormat="1" ht="25" customHeight="1" spans="1:67">
      <c r="A62" s="103">
        <v>57</v>
      </c>
      <c r="B62" s="128"/>
      <c r="C62" s="129">
        <v>45934</v>
      </c>
      <c r="D62" s="103">
        <v>20250005064</v>
      </c>
      <c r="E62" s="103"/>
      <c r="F62" s="1021" t="s">
        <v>6697</v>
      </c>
      <c r="G62" s="103" t="s">
        <v>6698</v>
      </c>
      <c r="H62" s="103"/>
      <c r="I62" s="128" t="s">
        <v>6699</v>
      </c>
      <c r="J62" s="144">
        <v>209.44</v>
      </c>
      <c r="K62" s="144">
        <v>211.45</v>
      </c>
      <c r="L62" s="144">
        <v>211.45</v>
      </c>
      <c r="M62" s="132">
        <v>10523.3</v>
      </c>
      <c r="N62" s="132">
        <f>ROUND(L62*M62,0)</f>
        <v>2225152</v>
      </c>
      <c r="O62" s="133">
        <v>21152</v>
      </c>
      <c r="P62" s="144">
        <v>10790.88</v>
      </c>
      <c r="Q62" s="103"/>
      <c r="R62" s="103"/>
      <c r="S62" s="103"/>
      <c r="T62" s="132"/>
      <c r="U62" s="129"/>
      <c r="V62" s="103"/>
      <c r="W62" s="103" t="s">
        <v>410</v>
      </c>
      <c r="X62" s="132">
        <v>20000</v>
      </c>
      <c r="Y62" s="103" t="s">
        <v>3715</v>
      </c>
      <c r="Z62" s="132">
        <v>80000</v>
      </c>
      <c r="AA62" s="138" t="s">
        <v>6700</v>
      </c>
      <c r="AB62" s="132">
        <v>1004000</v>
      </c>
      <c r="AC62" s="138">
        <v>45934</v>
      </c>
      <c r="AD62" s="132">
        <v>1100000</v>
      </c>
      <c r="AE62" s="129">
        <v>46023</v>
      </c>
      <c r="AF62" s="132">
        <v>21152</v>
      </c>
      <c r="AG62" s="129" t="s">
        <v>6593</v>
      </c>
      <c r="AH62" s="132"/>
      <c r="AI62" s="103"/>
      <c r="AJ62" s="132">
        <f t="shared" si="10"/>
        <v>2225152</v>
      </c>
      <c r="AK62" s="132"/>
      <c r="AL62" s="132"/>
      <c r="AM62" s="132">
        <f>N62-AJ62</f>
        <v>0</v>
      </c>
      <c r="AN62" s="103">
        <v>18196258701</v>
      </c>
      <c r="AO62" s="103" t="s">
        <v>690</v>
      </c>
      <c r="AQ62" s="103">
        <f t="shared" si="11"/>
        <v>2204000</v>
      </c>
      <c r="AR62" s="142">
        <f>1%+0.25%+0.03%</f>
        <v>0.0128</v>
      </c>
      <c r="BB62" s="103">
        <v>1104000</v>
      </c>
      <c r="BE62" s="103">
        <v>1100000</v>
      </c>
      <c r="BM62" s="103" t="s">
        <v>3376</v>
      </c>
      <c r="BO62" s="103" t="s">
        <v>377</v>
      </c>
    </row>
    <row r="63" s="103" customFormat="1" ht="25" customHeight="1" spans="1:67">
      <c r="A63" s="103">
        <v>58</v>
      </c>
      <c r="B63" s="128"/>
      <c r="C63" s="129">
        <v>46056</v>
      </c>
      <c r="D63" s="103">
        <v>20260000663</v>
      </c>
      <c r="E63" s="103"/>
      <c r="F63" s="1021" t="s">
        <v>229</v>
      </c>
      <c r="G63" s="103" t="s">
        <v>230</v>
      </c>
      <c r="H63" s="103"/>
      <c r="I63" s="128" t="s">
        <v>231</v>
      </c>
      <c r="J63" s="144">
        <v>210.8</v>
      </c>
      <c r="K63" s="144">
        <v>212.83</v>
      </c>
      <c r="L63" s="144">
        <v>212.83</v>
      </c>
      <c r="M63" s="132">
        <v>10550.28</v>
      </c>
      <c r="N63" s="132">
        <v>2245418</v>
      </c>
      <c r="O63" s="133">
        <v>21418</v>
      </c>
      <c r="P63" s="144">
        <v>10550.28</v>
      </c>
      <c r="Q63" s="103"/>
      <c r="R63" s="103"/>
      <c r="S63" s="103"/>
      <c r="T63" s="132"/>
      <c r="U63" s="129"/>
      <c r="V63" s="103"/>
      <c r="W63" s="103" t="s">
        <v>410</v>
      </c>
      <c r="X63" s="132">
        <v>20000</v>
      </c>
      <c r="Y63" s="103" t="s">
        <v>3715</v>
      </c>
      <c r="Z63" s="132">
        <v>80000</v>
      </c>
      <c r="AA63" s="138" t="s">
        <v>6700</v>
      </c>
      <c r="AB63" s="132">
        <v>1024000</v>
      </c>
      <c r="AC63" s="138">
        <v>46056</v>
      </c>
      <c r="AD63" s="103">
        <v>1100000</v>
      </c>
      <c r="AE63" s="129" t="s">
        <v>5899</v>
      </c>
      <c r="AF63" s="132">
        <v>21418</v>
      </c>
      <c r="AG63" s="129" t="s">
        <v>6701</v>
      </c>
      <c r="AH63" s="132"/>
      <c r="AI63" s="103"/>
      <c r="AJ63" s="132">
        <f t="shared" si="10"/>
        <v>2245418</v>
      </c>
      <c r="AK63" s="132"/>
      <c r="AL63" s="132"/>
      <c r="AM63" s="132">
        <f>N63-AJ63</f>
        <v>0</v>
      </c>
      <c r="AN63" s="103">
        <v>13579045102</v>
      </c>
      <c r="AO63" s="103" t="s">
        <v>690</v>
      </c>
      <c r="AQ63" s="103">
        <f t="shared" si="11"/>
        <v>2224000</v>
      </c>
      <c r="AR63" s="142">
        <f>1%+0.25%+0.03%</f>
        <v>0.0128</v>
      </c>
      <c r="BF63" s="103">
        <v>1124000</v>
      </c>
      <c r="BI63" s="103">
        <v>1100000</v>
      </c>
      <c r="BK63" s="103">
        <f>BH63*AR63</f>
        <v>0</v>
      </c>
      <c r="BM63" s="103" t="s">
        <v>376</v>
      </c>
      <c r="BO63" s="103" t="s">
        <v>377</v>
      </c>
    </row>
    <row r="64" s="105" customFormat="1" ht="43" customHeight="1" spans="1:67">
      <c r="A64" s="105" t="s">
        <v>70</v>
      </c>
      <c r="B64" s="150">
        <f>SUM(B4:B63)</f>
        <v>0</v>
      </c>
      <c r="J64" s="105">
        <f t="shared" ref="J64:O64" si="16">SUM(J4:J63)</f>
        <v>5820.18999999999</v>
      </c>
      <c r="K64" s="105">
        <f t="shared" si="16"/>
        <v>3297.57</v>
      </c>
      <c r="L64" s="105">
        <f t="shared" si="16"/>
        <v>5820.19</v>
      </c>
      <c r="N64" s="105">
        <f t="shared" si="16"/>
        <v>52978344</v>
      </c>
      <c r="O64" s="151">
        <v>64154</v>
      </c>
      <c r="Q64" s="105">
        <f>SUM(Q4:Q63)</f>
        <v>839429.36</v>
      </c>
      <c r="T64" s="105">
        <f>SUM(T4:T63)</f>
        <v>9683</v>
      </c>
      <c r="X64" s="105">
        <f>SUM(X4:X63)</f>
        <v>7602686</v>
      </c>
      <c r="Z64" s="105">
        <f>SUM(Z4:Z63)</f>
        <v>20807411</v>
      </c>
      <c r="AA64" s="152"/>
      <c r="AB64" s="105">
        <f>SUM(AB4:AB63)</f>
        <v>11986441</v>
      </c>
      <c r="AC64" s="152"/>
      <c r="AD64" s="105">
        <f>SUM(AD4:AD63)</f>
        <v>7870738</v>
      </c>
      <c r="AF64" s="105">
        <f>SUM(AF4:AF63)</f>
        <v>1748658</v>
      </c>
      <c r="AH64" s="105">
        <f>SUM(AH4:AH63)</f>
        <v>619337</v>
      </c>
      <c r="AJ64" s="105">
        <f>SUM(AJ4:AJ63)</f>
        <v>50635271</v>
      </c>
      <c r="AK64" s="105">
        <f>SUM(AK4:AK63)</f>
        <v>0</v>
      </c>
      <c r="AL64" s="105">
        <f t="shared" ref="AL64:AQ64" si="17">SUM(AL4:AL63)</f>
        <v>0</v>
      </c>
      <c r="AM64" s="105">
        <f t="shared" si="17"/>
        <v>2343073</v>
      </c>
      <c r="AQ64" s="105">
        <f t="shared" si="17"/>
        <v>48440916</v>
      </c>
      <c r="AR64" s="153"/>
      <c r="AS64" s="105">
        <f t="shared" ref="AS64:BA64" si="18">SUM(AS4:AS63)</f>
        <v>3174896</v>
      </c>
      <c r="AT64" s="105">
        <f t="shared" si="18"/>
        <v>3608072</v>
      </c>
      <c r="AU64" s="105">
        <f t="shared" si="18"/>
        <v>862200</v>
      </c>
      <c r="AV64" s="105">
        <f t="shared" si="18"/>
        <v>3269349</v>
      </c>
      <c r="AW64" s="105">
        <f t="shared" si="18"/>
        <v>7075885</v>
      </c>
      <c r="AX64" s="105">
        <f t="shared" si="18"/>
        <v>1942020</v>
      </c>
      <c r="AY64" s="105">
        <f t="shared" si="18"/>
        <v>4216021</v>
      </c>
      <c r="AZ64" s="105">
        <f t="shared" ref="AZ64:BK64" si="19">SUM(AZ4:AZ63)</f>
        <v>2775184</v>
      </c>
      <c r="BA64" s="105">
        <f t="shared" si="19"/>
        <v>1083934</v>
      </c>
      <c r="BB64" s="105">
        <f t="shared" si="19"/>
        <v>5097598</v>
      </c>
      <c r="BC64" s="105">
        <f t="shared" si="19"/>
        <v>910000</v>
      </c>
      <c r="BD64" s="105">
        <f t="shared" si="19"/>
        <v>1160000</v>
      </c>
      <c r="BE64" s="105">
        <f t="shared" si="19"/>
        <v>1347425</v>
      </c>
      <c r="BF64" s="105">
        <f t="shared" si="19"/>
        <v>2364000</v>
      </c>
      <c r="BG64" s="105">
        <f t="shared" si="19"/>
        <v>1558934</v>
      </c>
      <c r="BH64" s="105">
        <f t="shared" si="19"/>
        <v>4145398</v>
      </c>
      <c r="BI64" s="105">
        <f t="shared" si="19"/>
        <v>3850000</v>
      </c>
      <c r="BJ64" s="105">
        <f t="shared" si="19"/>
        <v>0</v>
      </c>
      <c r="BK64" s="105">
        <f t="shared" si="19"/>
        <v>0</v>
      </c>
    </row>
    <row r="65" ht="14.25" spans="18:64">
      <c r="R65" s="106" t="s">
        <v>5988</v>
      </c>
      <c r="AR65" s="154"/>
      <c r="AW65" s="106">
        <f>AW64+'画堂春锦13#14#15#17#18# 商铺'!CA151</f>
        <v>8066607</v>
      </c>
    </row>
    <row r="66" ht="14.25" spans="18:64">
      <c r="R66" s="106" t="s">
        <v>1246</v>
      </c>
      <c r="T66" s="108">
        <v>9683</v>
      </c>
      <c r="AR66" s="154"/>
    </row>
    <row r="67" ht="14.25" spans="18:64">
      <c r="R67" s="106" t="s">
        <v>73</v>
      </c>
      <c r="S67" s="155"/>
      <c r="AR67" s="154"/>
    </row>
    <row r="68" ht="14.25" spans="18:64">
      <c r="T68" s="108">
        <f>T66+T67</f>
        <v>9683</v>
      </c>
      <c r="AR68" s="154"/>
    </row>
    <row r="69" ht="14.25" spans="18:64">
      <c r="AR69" s="154"/>
    </row>
    <row r="70" ht="14.25" spans="18:64">
      <c r="AR70" s="154"/>
      <c r="BK70" s="106" t="s">
        <v>1248</v>
      </c>
      <c r="BL70" s="106">
        <f>BK21+BK48</f>
        <v>0</v>
      </c>
    </row>
    <row r="71" customHeight="1" spans="18:64">
      <c r="AR71" s="154"/>
    </row>
    <row r="72" customHeight="1" spans="18:64">
      <c r="AR72" s="154"/>
    </row>
    <row r="73" customHeight="1" spans="18:64">
      <c r="AR73" s="154"/>
    </row>
    <row r="74" customHeight="1" spans="18:64">
      <c r="AR74" s="154"/>
    </row>
    <row r="75" customHeight="1" spans="18:64">
      <c r="AR75" s="154"/>
    </row>
    <row r="76" customHeight="1" spans="18:64">
      <c r="AR76" s="154"/>
    </row>
    <row r="77" customHeight="1" spans="18:64">
      <c r="AR77" s="154"/>
    </row>
    <row r="78" customHeight="1" spans="18:64">
      <c r="AR78" s="154"/>
    </row>
    <row r="79" customHeight="1" spans="18:64">
      <c r="AR79" s="154"/>
    </row>
  </sheetData>
  <autoFilter xmlns:etc="http://www.wps.cn/officeDocument/2017/etCustomData" ref="A2:BO68" etc:filterBottomFollowUsedRange="0">
    <extLst/>
  </autoFilter>
  <mergeCells count="51">
    <mergeCell ref="A1:AP1"/>
    <mergeCell ref="Q2:S2"/>
    <mergeCell ref="X2:AI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T2:T3"/>
    <mergeCell ref="U2:U3"/>
    <mergeCell ref="V2:V3"/>
    <mergeCell ref="W2:W3"/>
    <mergeCell ref="AJ2:AJ3"/>
    <mergeCell ref="AK2:AK3"/>
    <mergeCell ref="AL2:AL3"/>
    <mergeCell ref="AM2:AM3"/>
    <mergeCell ref="AN2:AN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H4:BH5"/>
    <mergeCell ref="BH6:BH7"/>
    <mergeCell ref="BH8:BH9"/>
    <mergeCell ref="BH10:BH11"/>
    <mergeCell ref="BI2:BI3"/>
  </mergeCells>
  <pageMargins left="0.75" right="0.75" top="1" bottom="1" header="0.5" footer="0.5"/>
  <pageSetup paperSize="9" orientation="portrait"/>
  <headerFooter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55"/>
  <sheetViews>
    <sheetView topLeftCell="B27" workbookViewId="0">
      <selection activeCell="C46" sqref="C46:R46"/>
    </sheetView>
  </sheetViews>
  <sheetFormatPr defaultColWidth="9" defaultRowHeight="19" customHeight="1"/>
  <cols>
    <col min="1" max="1" width="5" style="70" customWidth="1"/>
    <col min="2" max="2" width="12.75" style="70" customWidth="1"/>
    <col min="3" max="5" width="9" style="70"/>
    <col min="6" max="6" width="12.7083333333333" style="71" customWidth="1"/>
    <col min="7" max="7" width="12.75" style="70" customWidth="1"/>
    <col min="8" max="8" width="13.5" style="70" customWidth="1"/>
    <col min="9" max="9" width="6" style="70" customWidth="1"/>
    <col min="10" max="10" width="8" style="72" customWidth="1"/>
    <col min="11" max="17" width="9" style="70"/>
    <col min="18" max="18" width="11.5" style="70"/>
    <col min="19" max="19" width="16" style="70" customWidth="1"/>
    <col min="20" max="20" width="9" style="70" customWidth="1"/>
    <col min="21" max="16384" width="9" style="70"/>
  </cols>
  <sheetData>
    <row r="1" customHeight="1" spans="1:21">
      <c r="A1" s="73"/>
      <c r="B1" s="74" t="s">
        <v>6702</v>
      </c>
      <c r="C1" s="74"/>
      <c r="D1" s="74"/>
      <c r="E1" s="74"/>
      <c r="F1" s="75" t="s">
        <v>6703</v>
      </c>
      <c r="G1" s="76"/>
      <c r="H1" s="76"/>
      <c r="I1" s="73"/>
      <c r="J1" s="77"/>
      <c r="L1" s="73"/>
      <c r="M1" s="74" t="s">
        <v>6702</v>
      </c>
      <c r="N1" s="74"/>
      <c r="O1" s="74"/>
      <c r="P1" s="74"/>
      <c r="Q1" s="75" t="s">
        <v>6703</v>
      </c>
      <c r="R1" s="76"/>
      <c r="S1" s="76"/>
      <c r="T1" s="73"/>
      <c r="U1" s="77"/>
    </row>
    <row r="2" customHeight="1" spans="1:21">
      <c r="A2" s="73" t="s">
        <v>40</v>
      </c>
      <c r="B2" s="78" t="s">
        <v>294</v>
      </c>
      <c r="C2" s="79" t="s">
        <v>6704</v>
      </c>
      <c r="D2" s="79" t="s">
        <v>6574</v>
      </c>
      <c r="E2" s="79" t="s">
        <v>6575</v>
      </c>
      <c r="F2" s="80" t="s">
        <v>292</v>
      </c>
      <c r="G2" s="81" t="s">
        <v>7</v>
      </c>
      <c r="H2" s="81"/>
      <c r="I2" s="73"/>
      <c r="J2" s="77"/>
      <c r="L2" s="73" t="s">
        <v>40</v>
      </c>
      <c r="M2" s="78" t="s">
        <v>294</v>
      </c>
      <c r="N2" s="79" t="s">
        <v>6704</v>
      </c>
      <c r="O2" s="79" t="s">
        <v>6574</v>
      </c>
      <c r="P2" s="79" t="s">
        <v>6575</v>
      </c>
      <c r="Q2" s="80" t="s">
        <v>292</v>
      </c>
      <c r="R2" s="81" t="s">
        <v>7</v>
      </c>
      <c r="S2" s="81"/>
      <c r="T2" s="73"/>
      <c r="U2" s="77"/>
    </row>
    <row r="3" customHeight="1" spans="1:21">
      <c r="A3" s="73"/>
      <c r="B3" s="78"/>
      <c r="C3" s="79"/>
      <c r="D3" s="79"/>
      <c r="E3" s="79"/>
      <c r="F3" s="80"/>
      <c r="G3" s="82" t="s">
        <v>297</v>
      </c>
      <c r="H3" s="82" t="s">
        <v>6705</v>
      </c>
      <c r="I3" s="73"/>
      <c r="J3" s="77" t="s">
        <v>6706</v>
      </c>
      <c r="L3" s="73"/>
      <c r="M3" s="78"/>
      <c r="N3" s="79"/>
      <c r="O3" s="79"/>
      <c r="P3" s="79"/>
      <c r="Q3" s="80"/>
      <c r="R3" s="82" t="s">
        <v>297</v>
      </c>
      <c r="S3" s="82" t="s">
        <v>6705</v>
      </c>
      <c r="T3" s="73"/>
      <c r="U3" s="77" t="s">
        <v>6706</v>
      </c>
    </row>
    <row r="4" customHeight="1" spans="1:21">
      <c r="A4" s="73">
        <v>1</v>
      </c>
      <c r="B4" s="83" t="s">
        <v>1710</v>
      </c>
      <c r="C4" s="74">
        <v>117.51</v>
      </c>
      <c r="D4" s="74">
        <v>117.5</v>
      </c>
      <c r="E4" s="84">
        <v>-0.0100000000000051</v>
      </c>
      <c r="F4" s="85" t="s">
        <v>1708</v>
      </c>
      <c r="G4" s="86">
        <v>8050</v>
      </c>
      <c r="H4" s="86">
        <v>945956</v>
      </c>
      <c r="I4" s="73"/>
      <c r="J4" s="77">
        <f>E4*G4</f>
        <v>-80.5000000000411</v>
      </c>
      <c r="L4" s="73">
        <v>1</v>
      </c>
      <c r="M4" s="87" t="s">
        <v>6707</v>
      </c>
      <c r="N4" s="87">
        <v>572.65</v>
      </c>
      <c r="O4" s="87">
        <v>569.14</v>
      </c>
      <c r="P4" s="87">
        <v>-3.50999999999999</v>
      </c>
      <c r="Q4" s="85" t="s">
        <v>6708</v>
      </c>
      <c r="R4" s="86">
        <v>7000</v>
      </c>
      <c r="S4" s="86">
        <v>4008550</v>
      </c>
      <c r="T4" s="73"/>
      <c r="U4" s="77">
        <f>P4*R4</f>
        <v>-24569.9999999999</v>
      </c>
    </row>
    <row r="5" customHeight="1" spans="1:21">
      <c r="A5" s="73">
        <v>2</v>
      </c>
      <c r="B5" s="83" t="s">
        <v>1726</v>
      </c>
      <c r="C5" s="74">
        <v>115.95</v>
      </c>
      <c r="D5" s="74">
        <v>115.94</v>
      </c>
      <c r="E5" s="84">
        <v>-0.0100000000000051</v>
      </c>
      <c r="F5" s="85" t="s">
        <v>1725</v>
      </c>
      <c r="G5" s="86">
        <v>6190.71</v>
      </c>
      <c r="H5" s="86">
        <v>717813</v>
      </c>
      <c r="I5" s="73"/>
      <c r="J5" s="77">
        <f t="shared" ref="J5:J36" si="0">E5*G5</f>
        <v>-61.9071000000316</v>
      </c>
    </row>
    <row r="6" customHeight="1" spans="1:21">
      <c r="A6" s="73">
        <v>3</v>
      </c>
      <c r="B6" s="88" t="s">
        <v>1730</v>
      </c>
      <c r="C6" s="74">
        <v>115.59</v>
      </c>
      <c r="D6" s="74">
        <v>115.58</v>
      </c>
      <c r="E6" s="84">
        <v>-0.0100000000000051</v>
      </c>
      <c r="F6" s="85" t="s">
        <v>1729</v>
      </c>
      <c r="G6" s="86">
        <v>5600</v>
      </c>
      <c r="H6" s="86">
        <v>647304</v>
      </c>
      <c r="I6" s="73"/>
      <c r="J6" s="77">
        <f t="shared" si="0"/>
        <v>-56.0000000000286</v>
      </c>
    </row>
    <row r="7" customHeight="1" spans="1:21">
      <c r="A7" s="73">
        <v>4</v>
      </c>
      <c r="B7" s="88" t="s">
        <v>1737</v>
      </c>
      <c r="C7" s="74">
        <v>115.95</v>
      </c>
      <c r="D7" s="74">
        <v>115.94</v>
      </c>
      <c r="E7" s="84">
        <v>-0.0100000000000051</v>
      </c>
      <c r="F7" s="85" t="s">
        <v>1735</v>
      </c>
      <c r="G7" s="86">
        <v>5373.61</v>
      </c>
      <c r="H7" s="86">
        <v>623070</v>
      </c>
      <c r="I7" s="73"/>
      <c r="J7" s="77">
        <f t="shared" si="0"/>
        <v>-53.7361000000274</v>
      </c>
    </row>
    <row r="8" customHeight="1" spans="1:21">
      <c r="A8" s="73">
        <v>5</v>
      </c>
      <c r="B8" s="88" t="s">
        <v>1748</v>
      </c>
      <c r="C8" s="74">
        <v>115.59</v>
      </c>
      <c r="D8" s="74">
        <v>115.58</v>
      </c>
      <c r="E8" s="84">
        <v>-0.0100000000000051</v>
      </c>
      <c r="F8" s="85" t="s">
        <v>1746</v>
      </c>
      <c r="G8" s="86">
        <v>5382.96</v>
      </c>
      <c r="H8" s="86">
        <v>622216</v>
      </c>
      <c r="I8" s="73"/>
      <c r="J8" s="77">
        <f t="shared" si="0"/>
        <v>-53.8296000000275</v>
      </c>
    </row>
    <row r="9" customHeight="1" spans="1:21">
      <c r="A9" s="73">
        <v>6</v>
      </c>
      <c r="B9" s="88" t="s">
        <v>1757</v>
      </c>
      <c r="C9" s="74">
        <v>115.95</v>
      </c>
      <c r="D9" s="74">
        <v>115.94</v>
      </c>
      <c r="E9" s="84">
        <v>-0.0100000000000051</v>
      </c>
      <c r="F9" s="85" t="s">
        <v>1755</v>
      </c>
      <c r="G9" s="86">
        <v>5167.38</v>
      </c>
      <c r="H9" s="86">
        <v>599158</v>
      </c>
      <c r="I9" s="73"/>
      <c r="J9" s="77">
        <f t="shared" si="0"/>
        <v>-51.6738000000264</v>
      </c>
    </row>
    <row r="10" customHeight="1" spans="1:21">
      <c r="A10" s="73">
        <v>7</v>
      </c>
      <c r="B10" s="83" t="s">
        <v>1767</v>
      </c>
      <c r="C10" s="74">
        <v>115.59</v>
      </c>
      <c r="D10" s="74">
        <v>115.58</v>
      </c>
      <c r="E10" s="84">
        <v>-0.0100000000000051</v>
      </c>
      <c r="F10" s="85" t="s">
        <v>6709</v>
      </c>
      <c r="G10" s="86">
        <v>5176.38</v>
      </c>
      <c r="H10" s="86">
        <v>598338</v>
      </c>
      <c r="I10" s="73"/>
      <c r="J10" s="77">
        <f t="shared" si="0"/>
        <v>-51.7638000000264</v>
      </c>
    </row>
    <row r="11" customHeight="1" spans="1:21">
      <c r="A11" s="73">
        <v>8</v>
      </c>
      <c r="B11" s="88" t="s">
        <v>1775</v>
      </c>
      <c r="C11" s="74">
        <v>115.95</v>
      </c>
      <c r="D11" s="74">
        <v>115.94</v>
      </c>
      <c r="E11" s="84">
        <v>-0.0100000000000051</v>
      </c>
      <c r="F11" s="85" t="s">
        <v>1774</v>
      </c>
      <c r="G11" s="86">
        <v>5338.51</v>
      </c>
      <c r="H11" s="86">
        <v>619000</v>
      </c>
      <c r="I11" s="73"/>
      <c r="J11" s="77">
        <f t="shared" si="0"/>
        <v>-53.3851000000272</v>
      </c>
    </row>
    <row r="12" customHeight="1" spans="1:21">
      <c r="A12" s="73">
        <v>9</v>
      </c>
      <c r="B12" s="83" t="s">
        <v>1780</v>
      </c>
      <c r="C12" s="74">
        <v>115.59</v>
      </c>
      <c r="D12" s="74">
        <v>115.58</v>
      </c>
      <c r="E12" s="84">
        <v>-0.0100000000000051</v>
      </c>
      <c r="F12" s="85" t="s">
        <v>1779</v>
      </c>
      <c r="G12" s="86">
        <v>5226.385</v>
      </c>
      <c r="H12" s="86">
        <v>604118</v>
      </c>
      <c r="I12" s="73"/>
      <c r="J12" s="77">
        <f t="shared" si="0"/>
        <v>-52.2638500000267</v>
      </c>
    </row>
    <row r="13" customHeight="1" spans="1:21">
      <c r="A13" s="73">
        <v>10</v>
      </c>
      <c r="B13" s="88" t="s">
        <v>1788</v>
      </c>
      <c r="C13" s="74">
        <v>115.95</v>
      </c>
      <c r="D13" s="74">
        <v>115.94</v>
      </c>
      <c r="E13" s="84">
        <v>-0.0100000000000051</v>
      </c>
      <c r="F13" s="85" t="s">
        <v>1787</v>
      </c>
      <c r="G13" s="86">
        <v>5424.75</v>
      </c>
      <c r="H13" s="86">
        <v>629000</v>
      </c>
      <c r="I13" s="73"/>
      <c r="J13" s="77">
        <f t="shared" si="0"/>
        <v>-54.2475000000277</v>
      </c>
    </row>
    <row r="14" customHeight="1" spans="1:21">
      <c r="A14" s="73">
        <v>11</v>
      </c>
      <c r="B14" s="83" t="s">
        <v>1796</v>
      </c>
      <c r="C14" s="74">
        <v>115.59</v>
      </c>
      <c r="D14" s="74">
        <v>115.58</v>
      </c>
      <c r="E14" s="84">
        <v>-0.0100000000000051</v>
      </c>
      <c r="F14" s="85" t="s">
        <v>1794</v>
      </c>
      <c r="G14" s="86">
        <v>5271.38</v>
      </c>
      <c r="H14" s="86">
        <v>609319</v>
      </c>
      <c r="I14" s="73"/>
      <c r="J14" s="77">
        <f t="shared" si="0"/>
        <v>-52.7138000000269</v>
      </c>
    </row>
    <row r="15" customHeight="1" spans="1:21">
      <c r="A15" s="73">
        <v>12</v>
      </c>
      <c r="B15" s="88" t="s">
        <v>1804</v>
      </c>
      <c r="C15" s="74">
        <v>115.95</v>
      </c>
      <c r="D15" s="74">
        <v>115.94</v>
      </c>
      <c r="E15" s="84">
        <v>-0.0100000000000051</v>
      </c>
      <c r="F15" s="85" t="s">
        <v>1802</v>
      </c>
      <c r="G15" s="89">
        <v>5285.38</v>
      </c>
      <c r="H15" s="86">
        <v>612840</v>
      </c>
      <c r="I15" s="73"/>
      <c r="J15" s="77">
        <f t="shared" si="0"/>
        <v>-52.853800000027</v>
      </c>
    </row>
    <row r="16" customHeight="1" spans="1:21">
      <c r="A16" s="73">
        <v>13</v>
      </c>
      <c r="B16" s="83" t="s">
        <v>1814</v>
      </c>
      <c r="C16" s="74">
        <v>115.59</v>
      </c>
      <c r="D16" s="74">
        <v>115.58</v>
      </c>
      <c r="E16" s="84">
        <v>-0.0100000000000051</v>
      </c>
      <c r="F16" s="85" t="s">
        <v>1812</v>
      </c>
      <c r="G16" s="86">
        <v>5316.385</v>
      </c>
      <c r="H16" s="86">
        <v>614521</v>
      </c>
      <c r="I16" s="73"/>
      <c r="J16" s="77">
        <f t="shared" si="0"/>
        <v>-53.1638500000271</v>
      </c>
    </row>
    <row r="17" customHeight="1" spans="1:10">
      <c r="A17" s="73">
        <v>14</v>
      </c>
      <c r="B17" s="88" t="s">
        <v>1821</v>
      </c>
      <c r="C17" s="74">
        <v>115.95</v>
      </c>
      <c r="D17" s="74">
        <v>115.94</v>
      </c>
      <c r="E17" s="84">
        <v>-0.0100000000000051</v>
      </c>
      <c r="F17" s="85" t="s">
        <v>1820</v>
      </c>
      <c r="G17" s="86">
        <v>5412.4</v>
      </c>
      <c r="H17" s="86">
        <v>627568</v>
      </c>
      <c r="I17" s="73"/>
      <c r="J17" s="77">
        <f t="shared" si="0"/>
        <v>-54.1240000000276</v>
      </c>
    </row>
    <row r="18" customHeight="1" spans="1:10">
      <c r="A18" s="73">
        <v>15</v>
      </c>
      <c r="B18" s="83" t="s">
        <v>1827</v>
      </c>
      <c r="C18" s="74">
        <v>115.59</v>
      </c>
      <c r="D18" s="74">
        <v>115.58</v>
      </c>
      <c r="E18" s="84">
        <v>-0.0100000000000051</v>
      </c>
      <c r="F18" s="85" t="s">
        <v>1825</v>
      </c>
      <c r="G18" s="86">
        <v>5341.38</v>
      </c>
      <c r="H18" s="86">
        <v>617410</v>
      </c>
      <c r="I18" s="73"/>
      <c r="J18" s="77">
        <f t="shared" si="0"/>
        <v>-53.4138000000272</v>
      </c>
    </row>
    <row r="19" customHeight="1" spans="1:10">
      <c r="A19" s="73">
        <v>16</v>
      </c>
      <c r="B19" s="88" t="s">
        <v>1835</v>
      </c>
      <c r="C19" s="74">
        <v>115.95</v>
      </c>
      <c r="D19" s="74">
        <v>115.94</v>
      </c>
      <c r="E19" s="84">
        <v>-0.0100000000000051</v>
      </c>
      <c r="F19" s="85" t="s">
        <v>6710</v>
      </c>
      <c r="G19" s="86">
        <v>5377.385</v>
      </c>
      <c r="H19" s="86">
        <v>623508</v>
      </c>
      <c r="I19" s="73"/>
      <c r="J19" s="77">
        <f t="shared" si="0"/>
        <v>-53.7738500000274</v>
      </c>
    </row>
    <row r="20" customHeight="1" spans="1:10">
      <c r="A20" s="73">
        <v>17</v>
      </c>
      <c r="B20" s="83" t="s">
        <v>1842</v>
      </c>
      <c r="C20" s="74">
        <v>115.59</v>
      </c>
      <c r="D20" s="74">
        <v>115.58</v>
      </c>
      <c r="E20" s="84">
        <v>-0.0100000000000051</v>
      </c>
      <c r="F20" s="85" t="s">
        <v>1684</v>
      </c>
      <c r="G20" s="86">
        <v>5534.04</v>
      </c>
      <c r="H20" s="86">
        <v>639680</v>
      </c>
      <c r="I20" s="73"/>
      <c r="J20" s="77">
        <f t="shared" si="0"/>
        <v>-55.3404000000282</v>
      </c>
    </row>
    <row r="21" customHeight="1" spans="1:10">
      <c r="A21" s="73">
        <v>18</v>
      </c>
      <c r="B21" s="88" t="s">
        <v>1847</v>
      </c>
      <c r="C21" s="74">
        <v>115.95</v>
      </c>
      <c r="D21" s="74">
        <v>115.94</v>
      </c>
      <c r="E21" s="84">
        <v>-0.0100000000000051</v>
      </c>
      <c r="F21" s="85" t="s">
        <v>1846</v>
      </c>
      <c r="G21" s="86">
        <v>5528.81594017622</v>
      </c>
      <c r="H21" s="86">
        <v>641066</v>
      </c>
      <c r="I21" s="73"/>
      <c r="J21" s="77">
        <f t="shared" si="0"/>
        <v>-55.2881594017904</v>
      </c>
    </row>
    <row r="22" customHeight="1" spans="1:10">
      <c r="A22" s="73">
        <v>19</v>
      </c>
      <c r="B22" s="88" t="s">
        <v>1852</v>
      </c>
      <c r="C22" s="74">
        <v>115.59</v>
      </c>
      <c r="D22" s="74">
        <v>115.58</v>
      </c>
      <c r="E22" s="84">
        <v>-0.0100000000000051</v>
      </c>
      <c r="F22" s="90" t="s">
        <v>6711</v>
      </c>
      <c r="G22" s="86">
        <v>5406.385</v>
      </c>
      <c r="H22" s="86">
        <v>624924</v>
      </c>
      <c r="I22" s="73"/>
      <c r="J22" s="77">
        <f t="shared" si="0"/>
        <v>-54.0638500000276</v>
      </c>
    </row>
    <row r="23" customHeight="1" spans="1:10">
      <c r="A23" s="73">
        <v>20</v>
      </c>
      <c r="B23" s="88" t="s">
        <v>1861</v>
      </c>
      <c r="C23" s="74">
        <v>115.95</v>
      </c>
      <c r="D23" s="74">
        <v>115.94</v>
      </c>
      <c r="E23" s="84">
        <v>-0.0100000000000051</v>
      </c>
      <c r="F23" s="85" t="s">
        <v>6712</v>
      </c>
      <c r="G23" s="86">
        <v>6560.42</v>
      </c>
      <c r="H23" s="86">
        <v>760681</v>
      </c>
      <c r="I23" s="73"/>
      <c r="J23" s="77">
        <f t="shared" si="0"/>
        <v>-65.6042000000335</v>
      </c>
    </row>
    <row r="24" customHeight="1" spans="1:10">
      <c r="A24" s="73">
        <v>21</v>
      </c>
      <c r="B24" s="83" t="s">
        <v>1869</v>
      </c>
      <c r="C24" s="74">
        <v>115.59</v>
      </c>
      <c r="D24" s="74">
        <v>115.58</v>
      </c>
      <c r="E24" s="84">
        <v>-0.0100000000000051</v>
      </c>
      <c r="F24" s="85" t="s">
        <v>1867</v>
      </c>
      <c r="G24" s="86">
        <v>6630</v>
      </c>
      <c r="H24" s="86">
        <v>766362</v>
      </c>
      <c r="I24" s="73"/>
      <c r="J24" s="77">
        <f t="shared" si="0"/>
        <v>-66.3000000000338</v>
      </c>
    </row>
    <row r="25" customHeight="1" spans="1:10">
      <c r="A25" s="73">
        <v>22</v>
      </c>
      <c r="B25" s="83" t="s">
        <v>1884</v>
      </c>
      <c r="C25" s="74">
        <v>116.68</v>
      </c>
      <c r="D25" s="74">
        <v>116.67</v>
      </c>
      <c r="E25" s="84">
        <v>-0.0100000000000051</v>
      </c>
      <c r="F25" s="85" t="s">
        <v>6713</v>
      </c>
      <c r="G25" s="86">
        <v>8057</v>
      </c>
      <c r="H25" s="86">
        <v>940091</v>
      </c>
      <c r="I25" s="73"/>
      <c r="J25" s="77">
        <f t="shared" si="0"/>
        <v>-80.5700000000411</v>
      </c>
    </row>
    <row r="26" customHeight="1" spans="1:10">
      <c r="A26" s="73">
        <v>23</v>
      </c>
      <c r="B26" s="88" t="s">
        <v>1891</v>
      </c>
      <c r="C26" s="74">
        <v>115.59</v>
      </c>
      <c r="D26" s="74">
        <v>115.58</v>
      </c>
      <c r="E26" s="84">
        <v>-0.0100000000000051</v>
      </c>
      <c r="F26" s="85" t="s">
        <v>1890</v>
      </c>
      <c r="G26" s="86">
        <v>5680</v>
      </c>
      <c r="H26" s="86">
        <v>656551</v>
      </c>
      <c r="I26" s="73"/>
      <c r="J26" s="77">
        <f t="shared" si="0"/>
        <v>-56.800000000029</v>
      </c>
    </row>
    <row r="27" customHeight="1" spans="1:10">
      <c r="A27" s="73">
        <v>24</v>
      </c>
      <c r="B27" s="83" t="s">
        <v>1898</v>
      </c>
      <c r="C27" s="74">
        <v>115.59</v>
      </c>
      <c r="D27" s="74">
        <v>115.58</v>
      </c>
      <c r="E27" s="84">
        <v>-0.0100000000000051</v>
      </c>
      <c r="F27" s="85" t="s">
        <v>1896</v>
      </c>
      <c r="G27" s="86">
        <v>5623.32</v>
      </c>
      <c r="H27" s="86">
        <v>650000</v>
      </c>
      <c r="I27" s="73"/>
      <c r="J27" s="77">
        <f t="shared" si="0"/>
        <v>-56.2332000000287</v>
      </c>
    </row>
    <row r="28" customHeight="1" spans="1:10">
      <c r="A28" s="73">
        <v>25</v>
      </c>
      <c r="B28" s="88" t="s">
        <v>1903</v>
      </c>
      <c r="C28" s="74">
        <v>115.59</v>
      </c>
      <c r="D28" s="74">
        <v>115.58</v>
      </c>
      <c r="E28" s="84">
        <v>-0.0100000000000051</v>
      </c>
      <c r="F28" s="85" t="s">
        <v>1690</v>
      </c>
      <c r="G28" s="86">
        <v>5363.79</v>
      </c>
      <c r="H28" s="86">
        <v>620000</v>
      </c>
      <c r="I28" s="73"/>
      <c r="J28" s="77">
        <f t="shared" si="0"/>
        <v>-53.6379000000274</v>
      </c>
    </row>
    <row r="29" customHeight="1" spans="1:10">
      <c r="A29" s="73">
        <v>26</v>
      </c>
      <c r="B29" s="83" t="s">
        <v>1909</v>
      </c>
      <c r="C29" s="74">
        <v>115.59</v>
      </c>
      <c r="D29" s="74">
        <v>115.58</v>
      </c>
      <c r="E29" s="84">
        <v>-0.0100000000000051</v>
      </c>
      <c r="F29" s="85" t="s">
        <v>6714</v>
      </c>
      <c r="G29" s="86">
        <v>5284.66</v>
      </c>
      <c r="H29" s="86">
        <v>610854</v>
      </c>
      <c r="I29" s="73"/>
      <c r="J29" s="77">
        <f t="shared" si="0"/>
        <v>-52.846600000027</v>
      </c>
    </row>
    <row r="30" customHeight="1" spans="1:10">
      <c r="A30" s="73">
        <v>27</v>
      </c>
      <c r="B30" s="88" t="s">
        <v>1916</v>
      </c>
      <c r="C30" s="74">
        <v>115.59</v>
      </c>
      <c r="D30" s="74">
        <v>115.58</v>
      </c>
      <c r="E30" s="84">
        <v>-0.0100000000000051</v>
      </c>
      <c r="F30" s="85" t="s">
        <v>1914</v>
      </c>
      <c r="G30" s="86">
        <v>5182.385</v>
      </c>
      <c r="H30" s="86">
        <v>599032</v>
      </c>
      <c r="I30" s="73"/>
      <c r="J30" s="77">
        <f t="shared" si="0"/>
        <v>-51.8238500000264</v>
      </c>
    </row>
    <row r="31" customHeight="1" spans="1:10">
      <c r="A31" s="73">
        <v>28</v>
      </c>
      <c r="B31" s="83" t="s">
        <v>1924</v>
      </c>
      <c r="C31" s="74">
        <v>115.59</v>
      </c>
      <c r="D31" s="74">
        <v>115.58</v>
      </c>
      <c r="E31" s="84">
        <v>-0.0100000000000051</v>
      </c>
      <c r="F31" s="85" t="s">
        <v>1694</v>
      </c>
      <c r="G31" s="86">
        <v>5380</v>
      </c>
      <c r="H31" s="86">
        <v>621874</v>
      </c>
      <c r="I31" s="73"/>
      <c r="J31" s="77">
        <f t="shared" si="0"/>
        <v>-53.8000000000274</v>
      </c>
    </row>
    <row r="32" customHeight="1" spans="1:10">
      <c r="A32" s="73">
        <v>29</v>
      </c>
      <c r="B32" s="88" t="s">
        <v>1932</v>
      </c>
      <c r="C32" s="74">
        <v>115.59</v>
      </c>
      <c r="D32" s="74">
        <v>115.58</v>
      </c>
      <c r="E32" s="84">
        <v>-0.0100000000000051</v>
      </c>
      <c r="F32" s="85" t="s">
        <v>1697</v>
      </c>
      <c r="G32" s="86">
        <v>5232.38</v>
      </c>
      <c r="H32" s="86">
        <v>604811</v>
      </c>
      <c r="I32" s="73"/>
      <c r="J32" s="77">
        <f t="shared" si="0"/>
        <v>-52.3238000000267</v>
      </c>
    </row>
    <row r="33" customHeight="1" spans="1:10">
      <c r="A33" s="73">
        <v>30</v>
      </c>
      <c r="B33" s="83" t="s">
        <v>1939</v>
      </c>
      <c r="C33" s="74">
        <v>115.59</v>
      </c>
      <c r="D33" s="74">
        <v>115.58</v>
      </c>
      <c r="E33" s="84">
        <v>-0.0100000000000051</v>
      </c>
      <c r="F33" s="85" t="s">
        <v>6715</v>
      </c>
      <c r="G33" s="86">
        <v>5238.385</v>
      </c>
      <c r="H33" s="86">
        <v>605505</v>
      </c>
      <c r="I33" s="73"/>
      <c r="J33" s="77">
        <f t="shared" si="0"/>
        <v>-52.3838500000267</v>
      </c>
    </row>
    <row r="34" customHeight="1" spans="1:10">
      <c r="A34" s="73">
        <v>31</v>
      </c>
      <c r="B34" s="88" t="s">
        <v>1947</v>
      </c>
      <c r="C34" s="74">
        <v>115.59</v>
      </c>
      <c r="D34" s="74">
        <v>115.58</v>
      </c>
      <c r="E34" s="84">
        <v>-0.0100000000000051</v>
      </c>
      <c r="F34" s="85" t="s">
        <v>1702</v>
      </c>
      <c r="G34" s="86">
        <v>5277.385</v>
      </c>
      <c r="H34" s="86">
        <v>610013</v>
      </c>
      <c r="I34" s="73"/>
      <c r="J34" s="77">
        <f t="shared" si="0"/>
        <v>-52.7738500000269</v>
      </c>
    </row>
    <row r="35" customHeight="1" spans="1:10">
      <c r="A35" s="73">
        <v>32</v>
      </c>
      <c r="B35" s="83" t="s">
        <v>1954</v>
      </c>
      <c r="C35" s="74">
        <v>115.59</v>
      </c>
      <c r="D35" s="74">
        <v>115.58</v>
      </c>
      <c r="E35" s="84">
        <v>-0.0100000000000051</v>
      </c>
      <c r="F35" s="85" t="s">
        <v>1704</v>
      </c>
      <c r="G35" s="86">
        <v>5283.385</v>
      </c>
      <c r="H35" s="86">
        <v>610706</v>
      </c>
      <c r="I35" s="73"/>
      <c r="J35" s="77">
        <f t="shared" si="0"/>
        <v>-52.8338500000269</v>
      </c>
    </row>
    <row r="36" customHeight="1" spans="1:10">
      <c r="A36" s="73">
        <v>33</v>
      </c>
      <c r="B36" s="88" t="s">
        <v>1962</v>
      </c>
      <c r="C36" s="74">
        <v>115.59</v>
      </c>
      <c r="D36" s="74">
        <v>115.58</v>
      </c>
      <c r="E36" s="84">
        <v>-0.0100000000000051</v>
      </c>
      <c r="F36" s="85" t="s">
        <v>1960</v>
      </c>
      <c r="G36" s="86">
        <v>5452.23</v>
      </c>
      <c r="H36" s="86">
        <v>630223</v>
      </c>
      <c r="I36" s="73"/>
      <c r="J36" s="77">
        <f t="shared" si="0"/>
        <v>-54.5223000000278</v>
      </c>
    </row>
    <row r="37" customHeight="1" spans="1:10">
      <c r="A37" s="73">
        <v>34</v>
      </c>
      <c r="B37" s="88" t="s">
        <v>1969</v>
      </c>
      <c r="C37" s="74">
        <v>115.59</v>
      </c>
      <c r="D37" s="74">
        <v>115.58</v>
      </c>
      <c r="E37" s="84">
        <v>-0.0100000000000051</v>
      </c>
      <c r="F37" s="85" t="s">
        <v>1967</v>
      </c>
      <c r="G37" s="86">
        <v>5328.385</v>
      </c>
      <c r="H37" s="86">
        <v>615908</v>
      </c>
      <c r="I37" s="73"/>
      <c r="J37" s="77">
        <f t="shared" ref="J37:J56" si="1">E37*G37</f>
        <v>-53.2838500000272</v>
      </c>
    </row>
    <row r="38" customHeight="1" spans="1:10">
      <c r="A38" s="73">
        <v>35</v>
      </c>
      <c r="B38" s="83" t="s">
        <v>1977</v>
      </c>
      <c r="C38" s="74">
        <v>115.59</v>
      </c>
      <c r="D38" s="74">
        <v>115.58</v>
      </c>
      <c r="E38" s="84">
        <v>-0.0100000000000051</v>
      </c>
      <c r="F38" s="85" t="s">
        <v>1975</v>
      </c>
      <c r="G38" s="86">
        <v>5347.38</v>
      </c>
      <c r="H38" s="86">
        <v>618104</v>
      </c>
      <c r="I38" s="73"/>
      <c r="J38" s="77">
        <f t="shared" si="1"/>
        <v>-53.4738000000273</v>
      </c>
    </row>
    <row r="39" customHeight="1" spans="1:10">
      <c r="A39" s="73">
        <v>36</v>
      </c>
      <c r="B39" s="88" t="s">
        <v>1986</v>
      </c>
      <c r="C39" s="74">
        <v>115.59</v>
      </c>
      <c r="D39" s="74">
        <v>115.58</v>
      </c>
      <c r="E39" s="84">
        <v>-0.0100000000000051</v>
      </c>
      <c r="F39" s="85" t="s">
        <v>1984</v>
      </c>
      <c r="G39" s="86">
        <v>5353.38</v>
      </c>
      <c r="H39" s="86">
        <v>618797</v>
      </c>
      <c r="I39" s="73"/>
      <c r="J39" s="77">
        <f t="shared" si="1"/>
        <v>-53.5338000000273</v>
      </c>
    </row>
    <row r="40" customHeight="1" spans="1:10">
      <c r="A40" s="73">
        <v>37</v>
      </c>
      <c r="B40" s="83" t="s">
        <v>1995</v>
      </c>
      <c r="C40" s="74">
        <v>115.59</v>
      </c>
      <c r="D40" s="74">
        <v>115.58</v>
      </c>
      <c r="E40" s="84">
        <v>-0.0100000000000051</v>
      </c>
      <c r="F40" s="85" t="s">
        <v>6716</v>
      </c>
      <c r="G40" s="86">
        <v>5392.38</v>
      </c>
      <c r="H40" s="86">
        <v>623305</v>
      </c>
      <c r="I40" s="73"/>
      <c r="J40" s="77">
        <f t="shared" si="1"/>
        <v>-53.9238000000275</v>
      </c>
    </row>
    <row r="41" customHeight="1" spans="1:10">
      <c r="A41" s="73">
        <v>38</v>
      </c>
      <c r="B41" s="88" t="s">
        <v>2005</v>
      </c>
      <c r="C41" s="74">
        <v>115.59</v>
      </c>
      <c r="D41" s="74">
        <v>115.58</v>
      </c>
      <c r="E41" s="84">
        <v>-0.0100000000000051</v>
      </c>
      <c r="F41" s="85" t="s">
        <v>2003</v>
      </c>
      <c r="G41" s="86">
        <v>5398.385</v>
      </c>
      <c r="H41" s="86">
        <v>623999</v>
      </c>
      <c r="I41" s="73"/>
      <c r="J41" s="77">
        <f t="shared" si="1"/>
        <v>-53.9838500000275</v>
      </c>
    </row>
    <row r="42" customHeight="1" spans="1:10">
      <c r="A42" s="73">
        <v>39</v>
      </c>
      <c r="B42" s="83" t="s">
        <v>2014</v>
      </c>
      <c r="C42" s="74">
        <v>115.59</v>
      </c>
      <c r="D42" s="74">
        <v>115.58</v>
      </c>
      <c r="E42" s="84">
        <v>-0.0100000000000051</v>
      </c>
      <c r="F42" s="85" t="s">
        <v>2012</v>
      </c>
      <c r="G42" s="86">
        <v>5549.785</v>
      </c>
      <c r="H42" s="86">
        <v>641500</v>
      </c>
      <c r="I42" s="73"/>
      <c r="J42" s="77">
        <f t="shared" si="1"/>
        <v>-55.4978500000283</v>
      </c>
    </row>
    <row r="43" customHeight="1" spans="1:10">
      <c r="A43" s="73">
        <v>40</v>
      </c>
      <c r="B43" s="88" t="s">
        <v>2022</v>
      </c>
      <c r="C43" s="74">
        <v>115.59</v>
      </c>
      <c r="D43" s="74">
        <v>115.58</v>
      </c>
      <c r="E43" s="84">
        <v>-0.0100000000000051</v>
      </c>
      <c r="F43" s="85" t="s">
        <v>1699</v>
      </c>
      <c r="G43" s="86">
        <v>5500</v>
      </c>
      <c r="H43" s="86">
        <v>635745</v>
      </c>
      <c r="I43" s="73"/>
      <c r="J43" s="77">
        <f t="shared" si="1"/>
        <v>-55.0000000000281</v>
      </c>
    </row>
    <row r="44" customHeight="1" spans="1:10">
      <c r="A44" s="73">
        <v>41</v>
      </c>
      <c r="B44" s="83" t="s">
        <v>2031</v>
      </c>
      <c r="C44" s="74">
        <v>115.59</v>
      </c>
      <c r="D44" s="74">
        <v>115.58</v>
      </c>
      <c r="E44" s="84">
        <v>-0.0100000000000051</v>
      </c>
      <c r="F44" s="85" t="s">
        <v>6717</v>
      </c>
      <c r="G44" s="86">
        <v>6572.42</v>
      </c>
      <c r="H44" s="86">
        <v>759706</v>
      </c>
      <c r="I44" s="73"/>
      <c r="J44" s="77">
        <f t="shared" si="1"/>
        <v>-65.7242000000335</v>
      </c>
    </row>
    <row r="45" customHeight="1" spans="1:10">
      <c r="A45" s="73">
        <v>42</v>
      </c>
      <c r="B45" s="88" t="s">
        <v>2039</v>
      </c>
      <c r="C45" s="74">
        <v>115.59</v>
      </c>
      <c r="D45" s="74">
        <v>115.58</v>
      </c>
      <c r="E45" s="84">
        <v>-0.0100000000000051</v>
      </c>
      <c r="F45" s="85" t="s">
        <v>2228</v>
      </c>
      <c r="G45" s="86">
        <v>6630.42</v>
      </c>
      <c r="H45" s="86">
        <v>766410</v>
      </c>
      <c r="I45" s="73"/>
      <c r="J45" s="77">
        <f t="shared" si="1"/>
        <v>-66.3042000000338</v>
      </c>
    </row>
    <row r="46" customHeight="1" spans="1:10">
      <c r="A46" s="73">
        <v>43</v>
      </c>
      <c r="B46" s="88" t="s">
        <v>2067</v>
      </c>
      <c r="C46" s="84">
        <v>151.49</v>
      </c>
      <c r="D46" s="84">
        <v>151.48</v>
      </c>
      <c r="E46" s="84">
        <v>-0.0100000000000193</v>
      </c>
      <c r="F46" s="85" t="s">
        <v>2065</v>
      </c>
      <c r="G46" s="86">
        <v>5253.73</v>
      </c>
      <c r="H46" s="86">
        <v>795888</v>
      </c>
      <c r="I46" s="73"/>
      <c r="J46" s="77">
        <f t="shared" si="1"/>
        <v>-52.5373000001014</v>
      </c>
    </row>
    <row r="47" customHeight="1" spans="1:10">
      <c r="A47" s="73">
        <v>44</v>
      </c>
      <c r="B47" s="88" t="s">
        <v>2083</v>
      </c>
      <c r="C47" s="84">
        <v>151.49</v>
      </c>
      <c r="D47" s="84">
        <v>151.48</v>
      </c>
      <c r="E47" s="84">
        <v>-0.0100000000000193</v>
      </c>
      <c r="F47" s="85" t="s">
        <v>2085</v>
      </c>
      <c r="G47" s="86">
        <v>5313.88</v>
      </c>
      <c r="H47" s="86">
        <v>805000</v>
      </c>
      <c r="I47" s="73"/>
      <c r="J47" s="77">
        <f t="shared" si="1"/>
        <v>-53.1388000001026</v>
      </c>
    </row>
    <row r="48" customHeight="1" spans="1:10">
      <c r="A48" s="73">
        <v>45</v>
      </c>
      <c r="B48" s="88" t="s">
        <v>2101</v>
      </c>
      <c r="C48" s="84">
        <v>151.49</v>
      </c>
      <c r="D48" s="84">
        <v>151.48</v>
      </c>
      <c r="E48" s="84">
        <v>-0.0100000000000193</v>
      </c>
      <c r="F48" s="85" t="s">
        <v>2100</v>
      </c>
      <c r="G48" s="86">
        <v>5300</v>
      </c>
      <c r="H48" s="86">
        <v>802897</v>
      </c>
      <c r="I48" s="73"/>
      <c r="J48" s="77">
        <f t="shared" si="1"/>
        <v>-53.0000000001023</v>
      </c>
    </row>
    <row r="49" customHeight="1" spans="1:10">
      <c r="A49" s="73">
        <v>46</v>
      </c>
      <c r="B49" s="88" t="s">
        <v>2118</v>
      </c>
      <c r="C49" s="84">
        <v>151.49</v>
      </c>
      <c r="D49" s="84">
        <v>151.48</v>
      </c>
      <c r="E49" s="84">
        <v>-0.0100000000000193</v>
      </c>
      <c r="F49" s="85" t="s">
        <v>2116</v>
      </c>
      <c r="G49" s="86">
        <v>5360</v>
      </c>
      <c r="H49" s="86">
        <v>811986</v>
      </c>
      <c r="I49" s="73"/>
      <c r="J49" s="77">
        <f t="shared" si="1"/>
        <v>-53.6000000001034</v>
      </c>
    </row>
    <row r="50" customHeight="1" spans="1:10">
      <c r="A50" s="73">
        <v>47</v>
      </c>
      <c r="B50" s="88" t="s">
        <v>2134</v>
      </c>
      <c r="C50" s="74">
        <v>151.49</v>
      </c>
      <c r="D50" s="84">
        <v>151.48</v>
      </c>
      <c r="E50" s="84">
        <v>-0.0100000000000193</v>
      </c>
      <c r="F50" s="85" t="s">
        <v>2133</v>
      </c>
      <c r="G50" s="86">
        <v>5175.37</v>
      </c>
      <c r="H50" s="86">
        <v>784017</v>
      </c>
      <c r="I50" s="73"/>
      <c r="J50" s="77">
        <f t="shared" si="1"/>
        <v>-51.7537000000999</v>
      </c>
    </row>
    <row r="51" customHeight="1" spans="1:10">
      <c r="A51" s="73">
        <v>48</v>
      </c>
      <c r="B51" s="88" t="s">
        <v>2149</v>
      </c>
      <c r="C51" s="74">
        <v>151.49</v>
      </c>
      <c r="D51" s="84">
        <v>151.48</v>
      </c>
      <c r="E51" s="84">
        <v>-0.0100000000000193</v>
      </c>
      <c r="F51" s="85" t="s">
        <v>6718</v>
      </c>
      <c r="G51" s="86">
        <v>5412.09</v>
      </c>
      <c r="H51" s="86">
        <v>819878</v>
      </c>
      <c r="I51" s="73"/>
      <c r="J51" s="77">
        <f t="shared" si="1"/>
        <v>-54.1209000001045</v>
      </c>
    </row>
    <row r="52" customHeight="1" spans="1:10">
      <c r="A52" s="73">
        <v>49</v>
      </c>
      <c r="B52" s="88" t="s">
        <v>2163</v>
      </c>
      <c r="C52" s="74">
        <v>151.49</v>
      </c>
      <c r="D52" s="84">
        <v>151.48</v>
      </c>
      <c r="E52" s="84">
        <v>-0.0100000000000193</v>
      </c>
      <c r="F52" s="85" t="s">
        <v>2161</v>
      </c>
      <c r="G52" s="86">
        <v>5460</v>
      </c>
      <c r="H52" s="86">
        <v>827135</v>
      </c>
      <c r="I52" s="73"/>
      <c r="J52" s="77">
        <f t="shared" si="1"/>
        <v>-54.6000000001054</v>
      </c>
    </row>
    <row r="53" customHeight="1" spans="1:10">
      <c r="A53" s="73">
        <v>50</v>
      </c>
      <c r="B53" s="88" t="s">
        <v>2177</v>
      </c>
      <c r="C53" s="74">
        <v>151.49</v>
      </c>
      <c r="D53" s="84">
        <v>151.48</v>
      </c>
      <c r="E53" s="84">
        <v>-0.0100000000000193</v>
      </c>
      <c r="F53" s="85" t="s">
        <v>2176</v>
      </c>
      <c r="G53" s="86">
        <v>5550</v>
      </c>
      <c r="H53" s="86">
        <v>840770</v>
      </c>
      <c r="I53" s="73"/>
      <c r="J53" s="77">
        <f t="shared" si="1"/>
        <v>-55.5000000001071</v>
      </c>
    </row>
    <row r="54" customHeight="1" spans="1:10">
      <c r="A54" s="73">
        <v>51</v>
      </c>
      <c r="B54" s="88" t="s">
        <v>2191</v>
      </c>
      <c r="C54" s="74">
        <v>151.49</v>
      </c>
      <c r="D54" s="84">
        <v>151.48</v>
      </c>
      <c r="E54" s="84">
        <v>-0.0100000000000193</v>
      </c>
      <c r="F54" s="85" t="s">
        <v>2189</v>
      </c>
      <c r="G54" s="86">
        <v>5617.27</v>
      </c>
      <c r="H54" s="86">
        <v>850960</v>
      </c>
      <c r="I54" s="73"/>
      <c r="J54" s="77">
        <f t="shared" si="1"/>
        <v>-56.1727000001084</v>
      </c>
    </row>
    <row r="55" customHeight="1" spans="1:10">
      <c r="A55" s="73">
        <v>52</v>
      </c>
      <c r="B55" s="83" t="s">
        <v>2207</v>
      </c>
      <c r="C55" s="74">
        <v>151.49</v>
      </c>
      <c r="D55" s="84">
        <v>151.48</v>
      </c>
      <c r="E55" s="84">
        <v>-0.0100000000000193</v>
      </c>
      <c r="F55" s="85" t="s">
        <v>1692</v>
      </c>
      <c r="G55" s="86">
        <v>6230</v>
      </c>
      <c r="H55" s="86">
        <v>943783</v>
      </c>
      <c r="I55" s="73"/>
      <c r="J55" s="77">
        <f t="shared" si="1"/>
        <v>-62.3000000001202</v>
      </c>
    </row>
    <row r="56" customHeight="1" spans="1:10">
      <c r="A56" s="73"/>
      <c r="B56" s="87"/>
      <c r="C56" s="87"/>
      <c r="D56" s="87"/>
      <c r="E56" s="87"/>
      <c r="F56" s="90"/>
      <c r="G56" s="91"/>
      <c r="H56" s="91"/>
      <c r="I56" s="73"/>
      <c r="J56" s="77"/>
    </row>
    <row r="57" customHeight="1" spans="1:10">
      <c r="A57" s="92" t="s">
        <v>70</v>
      </c>
      <c r="B57" s="92"/>
      <c r="C57" s="92"/>
      <c r="D57" s="93"/>
      <c r="E57" s="94">
        <f>SUM(E4:E56)</f>
        <v>-0.520000000000408</v>
      </c>
      <c r="F57" s="95"/>
      <c r="G57" s="93"/>
      <c r="H57" s="93"/>
      <c r="I57" s="96"/>
      <c r="J57" s="97">
        <f>SUM(J4:J56)</f>
        <v>-2913.94450940402</v>
      </c>
    </row>
    <row r="58" customHeight="1" spans="1:10">
      <c r="B58" s="98"/>
      <c r="C58" s="98"/>
      <c r="D58" s="98"/>
      <c r="E58" s="98"/>
      <c r="F58" s="99"/>
      <c r="G58" s="100"/>
      <c r="H58" s="100"/>
    </row>
    <row r="59" customHeight="1" spans="1:10">
      <c r="B59" s="98"/>
      <c r="C59" s="98"/>
      <c r="D59" s="98"/>
      <c r="E59" s="98"/>
      <c r="F59" s="99"/>
      <c r="G59" s="100"/>
      <c r="H59" s="100"/>
    </row>
    <row r="60" customHeight="1" spans="1:10">
      <c r="B60" s="98"/>
      <c r="C60" s="98"/>
      <c r="D60" s="98"/>
      <c r="E60" s="98"/>
      <c r="F60" s="99"/>
      <c r="G60" s="100"/>
      <c r="H60" s="100"/>
    </row>
    <row r="61" customHeight="1" spans="1:10">
      <c r="B61" s="98"/>
      <c r="C61" s="98"/>
      <c r="D61" s="98"/>
      <c r="E61" s="98"/>
      <c r="F61" s="99"/>
      <c r="G61" s="100"/>
      <c r="H61" s="100"/>
    </row>
    <row r="62" customHeight="1" spans="1:10">
      <c r="B62" s="98"/>
      <c r="C62" s="98"/>
      <c r="D62" s="98"/>
      <c r="E62" s="98"/>
      <c r="F62" s="99"/>
      <c r="G62" s="100"/>
      <c r="H62" s="100"/>
    </row>
    <row r="63" customHeight="1" spans="1:10">
      <c r="B63" s="98"/>
      <c r="C63" s="98"/>
      <c r="D63" s="98"/>
      <c r="E63" s="98"/>
      <c r="F63" s="99"/>
      <c r="G63" s="100"/>
      <c r="H63" s="100"/>
    </row>
    <row r="64" customHeight="1" spans="1:10">
      <c r="B64" s="98"/>
      <c r="C64" s="98"/>
      <c r="D64" s="98"/>
      <c r="E64" s="98"/>
      <c r="F64" s="99"/>
      <c r="G64" s="100"/>
      <c r="H64" s="100"/>
    </row>
    <row r="65" customHeight="1" spans="2:8">
      <c r="B65" s="98"/>
      <c r="C65" s="98"/>
      <c r="D65" s="98"/>
      <c r="E65" s="98"/>
      <c r="F65" s="99"/>
      <c r="G65" s="100"/>
      <c r="H65" s="100"/>
    </row>
    <row r="66" customHeight="1" spans="2:8">
      <c r="B66" s="98"/>
      <c r="C66" s="98"/>
      <c r="D66" s="98"/>
      <c r="E66" s="98"/>
      <c r="F66" s="99"/>
      <c r="G66" s="100"/>
      <c r="H66" s="100"/>
    </row>
    <row r="67" customHeight="1" spans="2:8">
      <c r="B67" s="98"/>
      <c r="C67" s="98"/>
      <c r="D67" s="98"/>
      <c r="E67" s="98"/>
      <c r="F67" s="99"/>
      <c r="G67" s="100"/>
      <c r="H67" s="100"/>
    </row>
    <row r="68" customHeight="1" spans="2:8">
      <c r="B68" s="98"/>
      <c r="C68" s="98"/>
      <c r="D68" s="98"/>
      <c r="E68" s="98"/>
      <c r="F68" s="99"/>
      <c r="G68" s="100"/>
      <c r="H68" s="100"/>
    </row>
    <row r="69" customHeight="1" spans="2:8">
      <c r="B69" s="98"/>
      <c r="C69" s="98"/>
      <c r="D69" s="98"/>
      <c r="E69" s="98"/>
      <c r="F69" s="99"/>
      <c r="G69" s="100"/>
      <c r="H69" s="100"/>
    </row>
    <row r="70" customHeight="1" spans="2:8">
      <c r="B70" s="98"/>
      <c r="C70" s="98"/>
      <c r="D70" s="98"/>
      <c r="E70" s="98"/>
      <c r="F70" s="99"/>
      <c r="G70" s="100"/>
      <c r="H70" s="100"/>
    </row>
    <row r="71" customHeight="1" spans="2:8">
      <c r="B71" s="98"/>
      <c r="C71" s="98"/>
      <c r="D71" s="98"/>
      <c r="E71" s="98"/>
      <c r="F71" s="99"/>
      <c r="G71" s="100"/>
      <c r="H71" s="100"/>
    </row>
    <row r="72" customHeight="1" spans="2:8">
      <c r="B72" s="98"/>
      <c r="C72" s="98"/>
      <c r="D72" s="98"/>
      <c r="E72" s="98"/>
      <c r="F72" s="99"/>
      <c r="G72" s="100"/>
      <c r="H72" s="100"/>
    </row>
    <row r="73" customHeight="1" spans="2:8">
      <c r="B73" s="98"/>
      <c r="C73" s="98"/>
      <c r="D73" s="98"/>
      <c r="E73" s="98"/>
      <c r="F73" s="99"/>
      <c r="G73" s="100"/>
      <c r="H73" s="100"/>
    </row>
    <row r="74" customHeight="1" spans="2:8">
      <c r="B74" s="98"/>
      <c r="C74" s="98"/>
      <c r="D74" s="98"/>
      <c r="E74" s="98"/>
      <c r="F74" s="99"/>
      <c r="G74" s="100"/>
      <c r="H74" s="100"/>
    </row>
    <row r="75" customHeight="1" spans="2:8">
      <c r="B75" s="98"/>
      <c r="C75" s="98"/>
      <c r="D75" s="98"/>
      <c r="E75" s="98"/>
      <c r="F75" s="99"/>
      <c r="G75" s="100"/>
      <c r="H75" s="100"/>
    </row>
    <row r="76" customHeight="1" spans="2:8">
      <c r="B76" s="98"/>
      <c r="C76" s="98"/>
      <c r="D76" s="98"/>
      <c r="E76" s="98"/>
      <c r="F76" s="99"/>
      <c r="G76" s="100"/>
      <c r="H76" s="100"/>
    </row>
    <row r="77" customHeight="1" spans="2:8">
      <c r="B77" s="98"/>
      <c r="C77" s="98"/>
      <c r="D77" s="98"/>
      <c r="E77" s="98"/>
      <c r="F77" s="99"/>
      <c r="G77" s="100"/>
      <c r="H77" s="100"/>
    </row>
    <row r="78" customHeight="1" spans="2:8">
      <c r="B78" s="98"/>
      <c r="C78" s="98"/>
      <c r="D78" s="98"/>
      <c r="E78" s="98"/>
      <c r="F78" s="99"/>
      <c r="G78" s="100"/>
      <c r="H78" s="100"/>
    </row>
    <row r="79" customHeight="1" spans="2:8">
      <c r="B79" s="98"/>
      <c r="C79" s="98"/>
      <c r="D79" s="98"/>
      <c r="E79" s="98"/>
      <c r="F79" s="99"/>
      <c r="G79" s="100"/>
      <c r="H79" s="100"/>
    </row>
    <row r="80" customHeight="1" spans="2:8">
      <c r="B80" s="98"/>
      <c r="C80" s="98"/>
      <c r="D80" s="98"/>
      <c r="E80" s="98"/>
      <c r="F80" s="99"/>
      <c r="G80" s="100"/>
      <c r="H80" s="100"/>
    </row>
    <row r="81" customHeight="1" spans="2:8">
      <c r="B81" s="98"/>
      <c r="C81" s="98"/>
      <c r="D81" s="98"/>
      <c r="E81" s="98"/>
      <c r="F81" s="99"/>
      <c r="G81" s="100"/>
      <c r="H81" s="100"/>
    </row>
    <row r="82" customHeight="1" spans="2:8">
      <c r="B82" s="98"/>
      <c r="C82" s="98"/>
      <c r="D82" s="98"/>
      <c r="E82" s="98"/>
      <c r="F82" s="99"/>
      <c r="G82" s="100"/>
      <c r="H82" s="100"/>
    </row>
    <row r="83" customHeight="1" spans="2:8">
      <c r="B83" s="98"/>
      <c r="C83" s="98"/>
      <c r="D83" s="98"/>
      <c r="E83" s="98"/>
      <c r="F83" s="99"/>
      <c r="G83" s="100"/>
      <c r="H83" s="100"/>
    </row>
    <row r="84" customHeight="1" spans="2:8">
      <c r="B84" s="98"/>
      <c r="C84" s="98"/>
      <c r="D84" s="98"/>
      <c r="E84" s="98"/>
      <c r="F84" s="99"/>
      <c r="G84" s="100"/>
      <c r="H84" s="100"/>
    </row>
    <row r="85" customHeight="1" spans="2:8">
      <c r="B85" s="98"/>
      <c r="C85" s="98"/>
      <c r="D85" s="98"/>
      <c r="E85" s="98"/>
      <c r="F85" s="99"/>
      <c r="G85" s="100"/>
      <c r="H85" s="100"/>
    </row>
    <row r="86" customHeight="1" spans="2:8">
      <c r="B86" s="98"/>
      <c r="C86" s="98"/>
      <c r="D86" s="98"/>
      <c r="E86" s="98"/>
      <c r="F86" s="99"/>
      <c r="G86" s="100"/>
      <c r="H86" s="100"/>
    </row>
    <row r="87" customHeight="1" spans="2:8">
      <c r="B87" s="98"/>
      <c r="C87" s="98"/>
      <c r="D87" s="98"/>
      <c r="E87" s="98"/>
      <c r="F87" s="99"/>
      <c r="G87" s="100"/>
      <c r="H87" s="100"/>
    </row>
    <row r="88" customHeight="1" spans="2:8">
      <c r="B88" s="98"/>
      <c r="C88" s="98"/>
      <c r="D88" s="98"/>
      <c r="E88" s="98"/>
      <c r="F88" s="99"/>
      <c r="G88" s="100"/>
      <c r="H88" s="100"/>
    </row>
    <row r="89" customHeight="1" spans="2:8">
      <c r="B89" s="98"/>
      <c r="C89" s="98"/>
      <c r="D89" s="98"/>
      <c r="E89" s="98"/>
      <c r="F89" s="99"/>
      <c r="G89" s="100"/>
      <c r="H89" s="100"/>
    </row>
    <row r="90" customHeight="1" spans="2:8">
      <c r="B90" s="98"/>
      <c r="C90" s="98"/>
      <c r="D90" s="98"/>
      <c r="E90" s="98"/>
      <c r="F90" s="99"/>
      <c r="G90" s="100"/>
      <c r="H90" s="100"/>
    </row>
    <row r="91" customHeight="1" spans="2:8">
      <c r="B91" s="98"/>
      <c r="C91" s="98"/>
      <c r="D91" s="98"/>
      <c r="E91" s="98"/>
      <c r="F91" s="99"/>
      <c r="G91" s="100"/>
      <c r="H91" s="100"/>
    </row>
    <row r="92" customHeight="1" spans="2:8">
      <c r="B92" s="98"/>
      <c r="C92" s="98"/>
      <c r="D92" s="98"/>
      <c r="E92" s="98"/>
      <c r="F92" s="99"/>
      <c r="G92" s="100"/>
      <c r="H92" s="100"/>
    </row>
    <row r="93" customHeight="1" spans="2:8">
      <c r="B93" s="98"/>
      <c r="C93" s="98"/>
      <c r="D93" s="98"/>
      <c r="E93" s="98"/>
      <c r="F93" s="99"/>
      <c r="G93" s="100"/>
      <c r="H93" s="100"/>
    </row>
    <row r="94" customHeight="1" spans="2:8">
      <c r="B94" s="98"/>
      <c r="C94" s="98"/>
      <c r="D94" s="98"/>
      <c r="E94" s="98"/>
      <c r="F94" s="99"/>
      <c r="G94" s="100"/>
      <c r="H94" s="100"/>
    </row>
    <row r="95" customHeight="1" spans="2:8">
      <c r="B95" s="98"/>
      <c r="C95" s="98"/>
      <c r="D95" s="98"/>
      <c r="E95" s="98"/>
      <c r="F95" s="99"/>
      <c r="G95" s="100"/>
      <c r="H95" s="100"/>
    </row>
    <row r="96" customHeight="1" spans="2:8">
      <c r="B96" s="98"/>
      <c r="C96" s="98"/>
      <c r="D96" s="98"/>
      <c r="E96" s="98"/>
      <c r="F96" s="99"/>
      <c r="G96" s="100"/>
      <c r="H96" s="100"/>
    </row>
    <row r="97" customHeight="1" spans="2:8">
      <c r="B97" s="98"/>
      <c r="C97" s="98"/>
      <c r="D97" s="98"/>
      <c r="E97" s="98"/>
      <c r="F97" s="99"/>
      <c r="G97" s="100"/>
      <c r="H97" s="100"/>
    </row>
    <row r="98" customHeight="1" spans="2:8">
      <c r="B98" s="98"/>
      <c r="C98" s="98"/>
      <c r="D98" s="98"/>
      <c r="E98" s="98"/>
      <c r="F98" s="99"/>
      <c r="G98" s="100"/>
      <c r="H98" s="100"/>
    </row>
    <row r="99" customHeight="1" spans="2:8">
      <c r="B99" s="98"/>
      <c r="C99" s="98"/>
      <c r="D99" s="98"/>
      <c r="E99" s="98"/>
      <c r="F99" s="99"/>
      <c r="G99" s="100"/>
      <c r="H99" s="100"/>
    </row>
    <row r="100" customHeight="1" spans="2:8">
      <c r="B100" s="98"/>
      <c r="C100" s="98"/>
      <c r="D100" s="98"/>
      <c r="E100" s="98"/>
      <c r="F100" s="99"/>
      <c r="G100" s="100"/>
      <c r="H100" s="100"/>
    </row>
    <row r="101" customHeight="1" spans="2:8">
      <c r="B101" s="98"/>
      <c r="C101" s="98"/>
      <c r="D101" s="98"/>
      <c r="E101" s="98"/>
      <c r="F101" s="99"/>
      <c r="G101" s="100"/>
      <c r="H101" s="100"/>
    </row>
    <row r="102" customHeight="1" spans="2:8">
      <c r="B102" s="98"/>
      <c r="C102" s="98"/>
      <c r="D102" s="98"/>
      <c r="E102" s="98"/>
      <c r="F102" s="99"/>
      <c r="G102" s="100"/>
      <c r="H102" s="100"/>
    </row>
    <row r="103" customHeight="1" spans="2:8">
      <c r="B103" s="98"/>
      <c r="C103" s="98"/>
      <c r="D103" s="98"/>
      <c r="E103" s="98"/>
      <c r="F103" s="99"/>
      <c r="G103" s="100"/>
      <c r="H103" s="100"/>
    </row>
    <row r="104" customHeight="1" spans="2:8">
      <c r="B104" s="98"/>
      <c r="C104" s="98"/>
      <c r="D104" s="98"/>
      <c r="E104" s="98"/>
      <c r="F104" s="99"/>
      <c r="G104" s="100"/>
      <c r="H104" s="100"/>
    </row>
    <row r="105" customHeight="1" spans="2:8">
      <c r="B105" s="98"/>
      <c r="C105" s="98"/>
      <c r="D105" s="98"/>
      <c r="E105" s="98"/>
      <c r="F105" s="99"/>
      <c r="G105" s="100"/>
      <c r="H105" s="100"/>
    </row>
    <row r="106" customHeight="1" spans="2:8">
      <c r="B106" s="98"/>
      <c r="C106" s="98"/>
      <c r="D106" s="98"/>
      <c r="E106" s="98"/>
      <c r="F106" s="99"/>
      <c r="G106" s="100"/>
      <c r="H106" s="100"/>
    </row>
    <row r="107" customHeight="1" spans="2:8">
      <c r="B107" s="98"/>
      <c r="C107" s="98"/>
      <c r="D107" s="98"/>
      <c r="E107" s="98"/>
      <c r="F107" s="99"/>
      <c r="G107" s="100"/>
      <c r="H107" s="100"/>
    </row>
    <row r="108" customHeight="1" spans="2:8">
      <c r="B108" s="98"/>
      <c r="C108" s="98"/>
      <c r="D108" s="98"/>
      <c r="E108" s="98"/>
      <c r="F108" s="99"/>
      <c r="G108" s="100"/>
      <c r="H108" s="100"/>
    </row>
    <row r="109" customHeight="1" spans="2:8">
      <c r="B109" s="98"/>
      <c r="C109" s="98"/>
      <c r="D109" s="98"/>
      <c r="E109" s="98"/>
      <c r="F109" s="99"/>
      <c r="G109" s="100"/>
      <c r="H109" s="100"/>
    </row>
    <row r="110" customHeight="1" spans="2:8">
      <c r="B110" s="98"/>
      <c r="C110" s="98"/>
      <c r="D110" s="98"/>
      <c r="E110" s="98"/>
      <c r="F110" s="99"/>
      <c r="G110" s="100"/>
      <c r="H110" s="100"/>
    </row>
    <row r="111" customHeight="1" spans="2:8">
      <c r="B111" s="98"/>
      <c r="C111" s="98"/>
      <c r="D111" s="98"/>
      <c r="E111" s="98"/>
      <c r="F111" s="99"/>
      <c r="G111" s="100"/>
      <c r="H111" s="100"/>
    </row>
    <row r="112" customHeight="1" spans="2:8">
      <c r="B112" s="98"/>
      <c r="C112" s="98"/>
      <c r="D112" s="98"/>
      <c r="E112" s="98"/>
      <c r="F112" s="99"/>
      <c r="G112" s="100"/>
      <c r="H112" s="100"/>
    </row>
    <row r="113" customHeight="1" spans="2:8">
      <c r="B113" s="98"/>
      <c r="C113" s="98"/>
      <c r="D113" s="98"/>
      <c r="E113" s="98"/>
      <c r="F113" s="99"/>
      <c r="G113" s="100"/>
      <c r="H113" s="100"/>
    </row>
    <row r="114" customHeight="1" spans="2:8">
      <c r="B114" s="98"/>
      <c r="C114" s="98"/>
      <c r="D114" s="98"/>
      <c r="E114" s="98"/>
      <c r="F114" s="99"/>
      <c r="G114" s="100"/>
      <c r="H114" s="100"/>
    </row>
    <row r="115" customHeight="1" spans="2:8">
      <c r="B115" s="98"/>
      <c r="C115" s="98"/>
      <c r="D115" s="98"/>
      <c r="E115" s="98"/>
      <c r="F115" s="99"/>
      <c r="G115" s="100"/>
      <c r="H115" s="100"/>
    </row>
    <row r="116" customHeight="1" spans="2:8">
      <c r="B116" s="98"/>
      <c r="C116" s="98"/>
      <c r="D116" s="98"/>
      <c r="E116" s="98"/>
      <c r="F116" s="99"/>
      <c r="G116" s="100"/>
      <c r="H116" s="100"/>
    </row>
    <row r="117" customHeight="1" spans="2:8">
      <c r="B117" s="98"/>
      <c r="C117" s="98"/>
      <c r="D117" s="98"/>
      <c r="E117" s="98"/>
      <c r="F117" s="99"/>
      <c r="G117" s="100"/>
      <c r="H117" s="100"/>
    </row>
    <row r="118" customHeight="1" spans="2:8">
      <c r="B118" s="98"/>
      <c r="C118" s="98"/>
      <c r="D118" s="98"/>
      <c r="E118" s="98"/>
      <c r="F118" s="99"/>
      <c r="G118" s="100"/>
      <c r="H118" s="100"/>
    </row>
    <row r="119" customHeight="1" spans="2:8">
      <c r="B119" s="98"/>
      <c r="C119" s="98"/>
      <c r="D119" s="98"/>
      <c r="E119" s="98"/>
      <c r="F119" s="99"/>
      <c r="G119" s="100"/>
      <c r="H119" s="100"/>
    </row>
    <row r="120" customHeight="1" spans="2:8">
      <c r="B120" s="98"/>
      <c r="C120" s="98"/>
      <c r="D120" s="98"/>
      <c r="E120" s="98"/>
      <c r="F120" s="99"/>
      <c r="G120" s="100"/>
      <c r="H120" s="100"/>
    </row>
    <row r="121" customHeight="1" spans="2:8">
      <c r="B121" s="98"/>
      <c r="C121" s="98"/>
      <c r="D121" s="98"/>
      <c r="E121" s="98"/>
      <c r="F121" s="99"/>
      <c r="G121" s="100"/>
      <c r="H121" s="100"/>
    </row>
    <row r="122" customHeight="1" spans="2:8">
      <c r="B122" s="98"/>
      <c r="C122" s="98"/>
      <c r="D122" s="98"/>
      <c r="E122" s="98"/>
      <c r="F122" s="99"/>
      <c r="G122" s="100"/>
      <c r="H122" s="100"/>
    </row>
    <row r="123" customHeight="1" spans="2:8">
      <c r="B123" s="98"/>
      <c r="C123" s="98"/>
      <c r="D123" s="98"/>
      <c r="E123" s="98"/>
      <c r="F123" s="99"/>
      <c r="G123" s="100"/>
      <c r="H123" s="100"/>
    </row>
    <row r="124" customHeight="1" spans="2:8">
      <c r="B124" s="98"/>
      <c r="C124" s="98"/>
      <c r="D124" s="98"/>
      <c r="E124" s="98"/>
      <c r="F124" s="99"/>
      <c r="G124" s="100"/>
      <c r="H124" s="100"/>
    </row>
    <row r="125" customHeight="1" spans="2:8">
      <c r="B125" s="98"/>
      <c r="C125" s="98"/>
      <c r="D125" s="98"/>
      <c r="E125" s="98"/>
      <c r="F125" s="99"/>
      <c r="G125" s="100"/>
      <c r="H125" s="100"/>
    </row>
    <row r="126" customHeight="1" spans="2:8">
      <c r="B126" s="98"/>
      <c r="C126" s="98"/>
      <c r="D126" s="98"/>
      <c r="E126" s="98"/>
      <c r="F126" s="99"/>
      <c r="G126" s="100"/>
      <c r="H126" s="100"/>
    </row>
    <row r="127" customHeight="1" spans="2:8">
      <c r="B127" s="98"/>
      <c r="C127" s="98"/>
      <c r="D127" s="98"/>
      <c r="E127" s="98"/>
      <c r="F127" s="99"/>
      <c r="G127" s="100"/>
      <c r="H127" s="100"/>
    </row>
    <row r="128" customHeight="1" spans="2:8">
      <c r="B128" s="98"/>
      <c r="C128" s="98"/>
      <c r="D128" s="98"/>
      <c r="E128" s="98"/>
      <c r="F128" s="99"/>
      <c r="G128" s="100"/>
      <c r="H128" s="100"/>
    </row>
    <row r="129" customHeight="1" spans="2:8">
      <c r="B129" s="98"/>
      <c r="C129" s="98"/>
      <c r="D129" s="98"/>
      <c r="E129" s="98"/>
      <c r="F129" s="99"/>
      <c r="G129" s="100"/>
      <c r="H129" s="100"/>
    </row>
    <row r="130" customHeight="1" spans="2:8">
      <c r="B130" s="98"/>
      <c r="C130" s="98"/>
      <c r="D130" s="98"/>
      <c r="E130" s="98"/>
      <c r="F130" s="99"/>
      <c r="G130" s="100"/>
      <c r="H130" s="100"/>
    </row>
    <row r="131" customHeight="1" spans="2:8">
      <c r="B131" s="98"/>
      <c r="C131" s="98"/>
      <c r="D131" s="98"/>
      <c r="E131" s="98"/>
      <c r="F131" s="99"/>
      <c r="G131" s="100"/>
      <c r="H131" s="100"/>
    </row>
    <row r="132" customHeight="1" spans="2:8">
      <c r="B132" s="98"/>
      <c r="C132" s="98"/>
      <c r="D132" s="98"/>
      <c r="E132" s="98"/>
      <c r="F132" s="99"/>
      <c r="G132" s="100"/>
      <c r="H132" s="100"/>
    </row>
    <row r="133" customHeight="1" spans="2:8">
      <c r="B133" s="98"/>
      <c r="C133" s="98"/>
      <c r="D133" s="98"/>
      <c r="E133" s="98"/>
      <c r="F133" s="99"/>
      <c r="G133" s="100"/>
      <c r="H133" s="100"/>
    </row>
    <row r="134" customHeight="1" spans="2:8">
      <c r="B134" s="98"/>
      <c r="C134" s="98"/>
      <c r="D134" s="98"/>
      <c r="E134" s="98"/>
      <c r="F134" s="99"/>
      <c r="G134" s="100"/>
      <c r="H134" s="100"/>
    </row>
    <row r="135" customHeight="1" spans="2:8">
      <c r="B135" s="98"/>
      <c r="C135" s="98"/>
      <c r="D135" s="98"/>
      <c r="E135" s="98"/>
      <c r="F135" s="99"/>
      <c r="G135" s="100"/>
      <c r="H135" s="100"/>
    </row>
    <row r="136" customHeight="1" spans="2:8">
      <c r="B136" s="98"/>
      <c r="C136" s="98"/>
      <c r="D136" s="98"/>
      <c r="E136" s="98"/>
      <c r="F136" s="99"/>
      <c r="G136" s="100"/>
      <c r="H136" s="100"/>
    </row>
    <row r="137" customHeight="1" spans="2:8">
      <c r="B137" s="98"/>
      <c r="C137" s="98"/>
      <c r="D137" s="98"/>
      <c r="E137" s="98"/>
      <c r="F137" s="99"/>
      <c r="G137" s="100"/>
      <c r="H137" s="100"/>
    </row>
    <row r="138" customHeight="1" spans="2:8">
      <c r="B138" s="98"/>
      <c r="C138" s="98"/>
      <c r="D138" s="98"/>
      <c r="E138" s="98"/>
      <c r="F138" s="99"/>
      <c r="G138" s="100"/>
      <c r="H138" s="100"/>
    </row>
    <row r="139" customHeight="1" spans="2:8">
      <c r="B139" s="98"/>
      <c r="C139" s="98"/>
      <c r="D139" s="98"/>
      <c r="E139" s="98"/>
      <c r="F139" s="99"/>
      <c r="G139" s="100"/>
      <c r="H139" s="100"/>
    </row>
    <row r="140" customHeight="1" spans="2:8">
      <c r="B140" s="98"/>
      <c r="C140" s="98"/>
      <c r="D140" s="98"/>
      <c r="E140" s="98"/>
      <c r="F140" s="99"/>
      <c r="G140" s="100"/>
      <c r="H140" s="100"/>
    </row>
    <row r="141" customHeight="1" spans="2:8">
      <c r="B141" s="98"/>
      <c r="C141" s="98"/>
      <c r="D141" s="98"/>
      <c r="E141" s="98"/>
      <c r="F141" s="99"/>
      <c r="G141" s="100"/>
      <c r="H141" s="100"/>
    </row>
    <row r="142" customHeight="1" spans="2:8">
      <c r="B142" s="98"/>
      <c r="C142" s="98"/>
      <c r="D142" s="98"/>
      <c r="E142" s="98"/>
      <c r="F142" s="99"/>
      <c r="G142" s="100"/>
      <c r="H142" s="100"/>
    </row>
    <row r="143" customHeight="1" spans="2:8">
      <c r="B143" s="98"/>
      <c r="C143" s="98"/>
      <c r="D143" s="98"/>
      <c r="E143" s="98"/>
      <c r="F143" s="99"/>
      <c r="G143" s="100"/>
      <c r="H143" s="100"/>
    </row>
    <row r="144" customHeight="1" spans="2:8">
      <c r="B144" s="98"/>
      <c r="C144" s="98"/>
      <c r="D144" s="98"/>
      <c r="E144" s="98"/>
      <c r="F144" s="99"/>
      <c r="G144" s="100"/>
      <c r="H144" s="100"/>
    </row>
    <row r="145" customHeight="1" spans="2:8">
      <c r="B145" s="98"/>
      <c r="C145" s="98"/>
      <c r="D145" s="98"/>
      <c r="E145" s="98"/>
      <c r="F145" s="99"/>
      <c r="G145" s="100"/>
      <c r="H145" s="100"/>
    </row>
    <row r="146" customHeight="1" spans="2:8">
      <c r="B146" s="98"/>
      <c r="C146" s="98"/>
      <c r="D146" s="98"/>
      <c r="E146" s="98"/>
      <c r="F146" s="99"/>
      <c r="G146" s="100"/>
      <c r="H146" s="100"/>
    </row>
    <row r="147" customHeight="1" spans="2:8">
      <c r="B147" s="98"/>
      <c r="C147" s="98"/>
      <c r="D147" s="98"/>
      <c r="E147" s="98"/>
      <c r="F147" s="99"/>
      <c r="G147" s="100"/>
      <c r="H147" s="100"/>
    </row>
    <row r="148" customHeight="1" spans="2:8">
      <c r="B148" s="98"/>
      <c r="C148" s="98"/>
      <c r="D148" s="98"/>
      <c r="E148" s="98"/>
      <c r="F148" s="99"/>
      <c r="G148" s="100"/>
      <c r="H148" s="100"/>
    </row>
    <row r="149" customHeight="1" spans="2:8">
      <c r="B149" s="98"/>
      <c r="C149" s="98"/>
      <c r="D149" s="98"/>
      <c r="E149" s="98"/>
      <c r="F149" s="99"/>
      <c r="G149" s="100"/>
      <c r="H149" s="100"/>
    </row>
    <row r="150" customHeight="1" spans="2:8">
      <c r="B150" s="98"/>
      <c r="C150" s="98"/>
      <c r="D150" s="98"/>
      <c r="E150" s="98"/>
      <c r="F150" s="99"/>
      <c r="G150" s="100"/>
      <c r="H150" s="100"/>
    </row>
    <row r="151" customHeight="1" spans="2:8">
      <c r="B151" s="98"/>
      <c r="C151" s="98"/>
      <c r="D151" s="98"/>
      <c r="E151" s="98"/>
      <c r="F151" s="99"/>
      <c r="G151" s="100"/>
      <c r="H151" s="100"/>
    </row>
    <row r="152" customHeight="1" spans="2:8">
      <c r="B152" s="98"/>
      <c r="C152" s="98"/>
      <c r="D152" s="98"/>
      <c r="E152" s="98"/>
      <c r="F152" s="99"/>
      <c r="G152" s="100"/>
      <c r="H152" s="100"/>
    </row>
    <row r="153" customHeight="1" spans="2:8">
      <c r="B153" s="98"/>
      <c r="C153" s="98"/>
      <c r="D153" s="98"/>
      <c r="E153" s="98"/>
      <c r="F153" s="99"/>
      <c r="G153" s="100"/>
      <c r="H153" s="100"/>
    </row>
    <row r="154" customHeight="1" spans="2:8">
      <c r="B154" s="98"/>
      <c r="C154" s="98"/>
      <c r="D154" s="98"/>
      <c r="E154" s="98"/>
      <c r="F154" s="99"/>
      <c r="G154" s="100"/>
      <c r="H154" s="100"/>
    </row>
    <row r="155" customHeight="1" spans="2:8">
      <c r="B155" s="98"/>
      <c r="C155" s="98"/>
      <c r="D155" s="98"/>
      <c r="E155" s="98"/>
      <c r="F155" s="99"/>
      <c r="G155" s="100"/>
      <c r="H155" s="100"/>
    </row>
    <row r="156" customHeight="1" spans="2:8">
      <c r="B156" s="98"/>
      <c r="C156" s="98"/>
      <c r="D156" s="98"/>
      <c r="E156" s="98"/>
      <c r="F156" s="99"/>
      <c r="G156" s="100"/>
      <c r="H156" s="100"/>
    </row>
    <row r="157" customHeight="1" spans="2:8">
      <c r="B157" s="98"/>
      <c r="C157" s="98"/>
      <c r="D157" s="98"/>
      <c r="E157" s="98"/>
      <c r="F157" s="99"/>
      <c r="G157" s="100"/>
      <c r="H157" s="100"/>
    </row>
    <row r="158" customHeight="1" spans="2:8">
      <c r="B158" s="98"/>
      <c r="C158" s="98"/>
      <c r="D158" s="98"/>
      <c r="E158" s="98"/>
      <c r="F158" s="99"/>
      <c r="G158" s="100"/>
      <c r="H158" s="100"/>
    </row>
    <row r="159" customHeight="1" spans="2:8">
      <c r="B159" s="98"/>
      <c r="C159" s="98"/>
      <c r="D159" s="98"/>
      <c r="E159" s="98"/>
      <c r="F159" s="99"/>
      <c r="G159" s="100"/>
      <c r="H159" s="100"/>
    </row>
    <row r="160" customHeight="1" spans="2:8">
      <c r="B160" s="98"/>
      <c r="C160" s="98"/>
      <c r="D160" s="98"/>
      <c r="E160" s="98"/>
      <c r="F160" s="99"/>
      <c r="G160" s="100"/>
      <c r="H160" s="100"/>
    </row>
    <row r="161" customHeight="1" spans="2:8">
      <c r="B161" s="98"/>
      <c r="C161" s="98"/>
      <c r="D161" s="98"/>
      <c r="E161" s="98"/>
      <c r="F161" s="99"/>
      <c r="G161" s="100"/>
      <c r="H161" s="100"/>
    </row>
    <row r="162" customHeight="1" spans="2:8">
      <c r="B162" s="98"/>
      <c r="C162" s="98"/>
      <c r="D162" s="98"/>
      <c r="E162" s="98"/>
      <c r="F162" s="99"/>
      <c r="G162" s="100"/>
      <c r="H162" s="100"/>
    </row>
    <row r="163" customHeight="1" spans="2:8">
      <c r="B163" s="98"/>
      <c r="C163" s="98"/>
      <c r="D163" s="98"/>
      <c r="E163" s="98"/>
      <c r="F163" s="99"/>
      <c r="G163" s="100"/>
      <c r="H163" s="100"/>
    </row>
    <row r="164" customHeight="1" spans="2:8">
      <c r="B164" s="98"/>
      <c r="C164" s="98"/>
      <c r="D164" s="98"/>
      <c r="E164" s="98"/>
      <c r="F164" s="99"/>
      <c r="G164" s="100"/>
      <c r="H164" s="100"/>
    </row>
    <row r="165" customHeight="1" spans="2:8">
      <c r="B165" s="98"/>
      <c r="C165" s="98"/>
      <c r="D165" s="98"/>
      <c r="E165" s="98"/>
      <c r="F165" s="99"/>
      <c r="G165" s="100"/>
      <c r="H165" s="100"/>
    </row>
    <row r="166" customHeight="1" spans="2:8">
      <c r="B166" s="98"/>
      <c r="C166" s="98"/>
      <c r="D166" s="98"/>
      <c r="E166" s="98"/>
      <c r="F166" s="99"/>
      <c r="G166" s="100"/>
      <c r="H166" s="100"/>
    </row>
    <row r="167" customHeight="1" spans="2:8">
      <c r="B167" s="98"/>
      <c r="C167" s="98"/>
      <c r="D167" s="98"/>
      <c r="E167" s="98"/>
      <c r="F167" s="99"/>
      <c r="G167" s="100"/>
      <c r="H167" s="100"/>
    </row>
    <row r="168" customHeight="1" spans="2:8">
      <c r="B168" s="98"/>
      <c r="C168" s="98"/>
      <c r="D168" s="98"/>
      <c r="E168" s="98"/>
      <c r="F168" s="99"/>
      <c r="G168" s="100"/>
      <c r="H168" s="100"/>
    </row>
    <row r="169" customHeight="1" spans="2:8">
      <c r="B169" s="98"/>
      <c r="C169" s="98"/>
      <c r="D169" s="98"/>
      <c r="E169" s="98"/>
      <c r="F169" s="99"/>
      <c r="G169" s="100"/>
      <c r="H169" s="100"/>
    </row>
    <row r="170" customHeight="1" spans="2:8">
      <c r="B170" s="98"/>
      <c r="C170" s="98"/>
      <c r="D170" s="98"/>
      <c r="E170" s="98"/>
      <c r="F170" s="99"/>
      <c r="G170" s="100"/>
      <c r="H170" s="100"/>
    </row>
    <row r="171" customHeight="1" spans="2:8">
      <c r="B171" s="98"/>
      <c r="C171" s="98"/>
      <c r="D171" s="98"/>
      <c r="E171" s="98"/>
      <c r="F171" s="99"/>
      <c r="G171" s="100"/>
      <c r="H171" s="100"/>
    </row>
    <row r="172" customHeight="1" spans="2:8">
      <c r="B172" s="98"/>
      <c r="C172" s="98"/>
      <c r="D172" s="98"/>
      <c r="E172" s="98"/>
      <c r="F172" s="99"/>
      <c r="G172" s="100"/>
      <c r="H172" s="100"/>
    </row>
    <row r="173" customHeight="1" spans="2:8">
      <c r="B173" s="98"/>
      <c r="C173" s="98"/>
      <c r="D173" s="98"/>
      <c r="E173" s="98"/>
      <c r="F173" s="99"/>
      <c r="G173" s="100"/>
      <c r="H173" s="100"/>
    </row>
    <row r="174" customHeight="1" spans="2:8">
      <c r="B174" s="98"/>
      <c r="C174" s="98"/>
      <c r="D174" s="98"/>
      <c r="E174" s="98"/>
      <c r="F174" s="99"/>
      <c r="G174" s="100"/>
      <c r="H174" s="100"/>
    </row>
    <row r="175" customHeight="1" spans="2:8">
      <c r="B175" s="98"/>
      <c r="C175" s="98"/>
      <c r="D175" s="98"/>
      <c r="E175" s="98"/>
      <c r="F175" s="99"/>
      <c r="G175" s="100"/>
      <c r="H175" s="100"/>
    </row>
    <row r="176" customHeight="1" spans="2:8">
      <c r="B176" s="98"/>
      <c r="C176" s="98"/>
      <c r="D176" s="98"/>
      <c r="E176" s="98"/>
      <c r="F176" s="99"/>
      <c r="G176" s="100"/>
      <c r="H176" s="100"/>
    </row>
    <row r="177" customHeight="1" spans="2:8">
      <c r="B177" s="98"/>
      <c r="C177" s="98"/>
      <c r="D177" s="98"/>
      <c r="E177" s="98"/>
      <c r="F177" s="99"/>
      <c r="G177" s="100"/>
      <c r="H177" s="100"/>
    </row>
    <row r="178" customHeight="1" spans="2:8">
      <c r="B178" s="98"/>
      <c r="C178" s="98"/>
      <c r="D178" s="98"/>
      <c r="E178" s="98"/>
      <c r="F178" s="99"/>
      <c r="G178" s="100"/>
      <c r="H178" s="100"/>
    </row>
    <row r="179" customHeight="1" spans="2:8">
      <c r="B179" s="98"/>
      <c r="C179" s="98"/>
      <c r="D179" s="98"/>
      <c r="E179" s="98"/>
      <c r="F179" s="99"/>
      <c r="G179" s="100"/>
      <c r="H179" s="100"/>
    </row>
    <row r="180" customHeight="1" spans="2:8">
      <c r="B180" s="98"/>
      <c r="C180" s="98"/>
      <c r="D180" s="98"/>
      <c r="E180" s="98"/>
      <c r="F180" s="99"/>
      <c r="G180" s="100"/>
      <c r="H180" s="100"/>
    </row>
    <row r="181" customHeight="1" spans="2:8">
      <c r="B181" s="98"/>
      <c r="C181" s="98"/>
      <c r="D181" s="98"/>
      <c r="E181" s="98"/>
      <c r="F181" s="99"/>
      <c r="G181" s="100"/>
      <c r="H181" s="100"/>
    </row>
    <row r="182" customHeight="1" spans="2:8">
      <c r="B182" s="98"/>
      <c r="C182" s="98"/>
      <c r="D182" s="98"/>
      <c r="E182" s="98"/>
      <c r="F182" s="99"/>
      <c r="G182" s="100"/>
      <c r="H182" s="100"/>
    </row>
    <row r="183" customHeight="1" spans="2:8">
      <c r="B183" s="98"/>
      <c r="C183" s="98"/>
      <c r="D183" s="98"/>
      <c r="E183" s="98"/>
      <c r="F183" s="99"/>
      <c r="G183" s="100"/>
      <c r="H183" s="100"/>
    </row>
    <row r="184" customHeight="1" spans="2:8">
      <c r="B184" s="98"/>
      <c r="C184" s="98"/>
      <c r="D184" s="98"/>
      <c r="E184" s="98"/>
      <c r="F184" s="99"/>
      <c r="G184" s="100"/>
      <c r="H184" s="100"/>
    </row>
    <row r="185" customHeight="1" spans="2:8">
      <c r="B185" s="98"/>
      <c r="C185" s="98"/>
      <c r="D185" s="98"/>
      <c r="E185" s="98"/>
      <c r="F185" s="99"/>
      <c r="G185" s="100"/>
      <c r="H185" s="100"/>
    </row>
    <row r="186" customHeight="1" spans="2:8">
      <c r="B186" s="98"/>
      <c r="C186" s="98"/>
      <c r="D186" s="98"/>
      <c r="E186" s="98"/>
      <c r="F186" s="99"/>
      <c r="G186" s="100"/>
      <c r="H186" s="100"/>
    </row>
    <row r="187" customHeight="1" spans="2:8">
      <c r="B187" s="98"/>
      <c r="C187" s="98"/>
      <c r="D187" s="98"/>
      <c r="E187" s="98"/>
      <c r="F187" s="99"/>
      <c r="G187" s="100"/>
      <c r="H187" s="100"/>
    </row>
    <row r="188" customHeight="1" spans="2:8">
      <c r="B188" s="98"/>
      <c r="C188" s="98"/>
      <c r="D188" s="98"/>
      <c r="E188" s="98"/>
      <c r="F188" s="99"/>
      <c r="G188" s="100"/>
      <c r="H188" s="100"/>
    </row>
    <row r="189" customHeight="1" spans="2:8">
      <c r="B189" s="98"/>
      <c r="C189" s="98"/>
      <c r="D189" s="98"/>
      <c r="E189" s="98"/>
      <c r="F189" s="99"/>
      <c r="G189" s="100"/>
      <c r="H189" s="100"/>
    </row>
    <row r="190" customHeight="1" spans="2:8">
      <c r="B190" s="98"/>
      <c r="C190" s="98"/>
      <c r="D190" s="98"/>
      <c r="E190" s="98"/>
      <c r="F190" s="99"/>
      <c r="G190" s="100"/>
      <c r="H190" s="100"/>
    </row>
    <row r="191" customHeight="1" spans="2:8">
      <c r="B191" s="98"/>
      <c r="C191" s="98"/>
      <c r="D191" s="98"/>
      <c r="E191" s="98"/>
      <c r="F191" s="99"/>
      <c r="G191" s="100"/>
      <c r="H191" s="100"/>
    </row>
    <row r="192" customHeight="1" spans="2:8">
      <c r="B192" s="98"/>
      <c r="C192" s="98"/>
      <c r="D192" s="98"/>
      <c r="E192" s="98"/>
      <c r="F192" s="99"/>
      <c r="G192" s="100"/>
      <c r="H192" s="100"/>
    </row>
    <row r="193" customHeight="1" spans="2:8">
      <c r="B193" s="98"/>
      <c r="C193" s="98"/>
      <c r="D193" s="98"/>
      <c r="E193" s="98"/>
      <c r="F193" s="99"/>
      <c r="G193" s="100"/>
      <c r="H193" s="100"/>
    </row>
    <row r="194" customHeight="1" spans="2:8">
      <c r="B194" s="98"/>
      <c r="C194" s="98"/>
      <c r="D194" s="98"/>
      <c r="E194" s="98"/>
      <c r="F194" s="99"/>
      <c r="G194" s="100"/>
      <c r="H194" s="100"/>
    </row>
    <row r="195" customHeight="1" spans="2:8">
      <c r="B195" s="98"/>
      <c r="C195" s="98"/>
      <c r="D195" s="98"/>
      <c r="E195" s="98"/>
      <c r="F195" s="99"/>
      <c r="G195" s="100"/>
      <c r="H195" s="100"/>
    </row>
    <row r="196" customHeight="1" spans="2:8">
      <c r="B196" s="98"/>
      <c r="C196" s="98"/>
      <c r="D196" s="98"/>
      <c r="E196" s="98"/>
      <c r="F196" s="99"/>
      <c r="G196" s="100"/>
      <c r="H196" s="100"/>
    </row>
    <row r="197" customHeight="1" spans="2:8">
      <c r="B197" s="98"/>
      <c r="C197" s="98"/>
      <c r="D197" s="98"/>
      <c r="E197" s="98"/>
      <c r="F197" s="99"/>
      <c r="G197" s="100"/>
      <c r="H197" s="100"/>
    </row>
    <row r="198" customHeight="1" spans="2:8">
      <c r="B198" s="98"/>
      <c r="C198" s="98"/>
      <c r="D198" s="98"/>
      <c r="E198" s="98"/>
      <c r="F198" s="99"/>
      <c r="G198" s="100"/>
      <c r="H198" s="100"/>
    </row>
    <row r="199" customHeight="1" spans="2:8">
      <c r="B199" s="98"/>
      <c r="C199" s="98"/>
      <c r="D199" s="98"/>
      <c r="E199" s="98"/>
      <c r="F199" s="99"/>
      <c r="G199" s="100"/>
      <c r="H199" s="100"/>
    </row>
    <row r="200" customHeight="1" spans="2:8">
      <c r="B200" s="98"/>
      <c r="C200" s="98"/>
      <c r="D200" s="98"/>
      <c r="E200" s="98"/>
      <c r="F200" s="99"/>
      <c r="G200" s="100"/>
      <c r="H200" s="100"/>
    </row>
    <row r="201" customHeight="1" spans="2:8">
      <c r="B201" s="98"/>
      <c r="C201" s="98"/>
      <c r="D201" s="98"/>
      <c r="E201" s="98"/>
      <c r="F201" s="99"/>
      <c r="G201" s="100"/>
      <c r="H201" s="100"/>
    </row>
    <row r="202" customHeight="1" spans="2:8">
      <c r="B202" s="98"/>
      <c r="C202" s="98"/>
      <c r="D202" s="98"/>
      <c r="E202" s="98"/>
      <c r="F202" s="99"/>
      <c r="G202" s="100"/>
      <c r="H202" s="100"/>
    </row>
    <row r="203" customHeight="1" spans="2:8">
      <c r="B203" s="98"/>
      <c r="C203" s="98"/>
      <c r="D203" s="98"/>
      <c r="E203" s="98"/>
      <c r="F203" s="99"/>
      <c r="G203" s="100"/>
      <c r="H203" s="100"/>
    </row>
    <row r="204" customHeight="1" spans="2:8">
      <c r="B204" s="98"/>
      <c r="C204" s="98"/>
      <c r="D204" s="98"/>
      <c r="E204" s="98"/>
      <c r="F204" s="99"/>
      <c r="G204" s="100"/>
      <c r="H204" s="100"/>
    </row>
    <row r="205" customHeight="1" spans="2:8">
      <c r="B205" s="98"/>
      <c r="C205" s="98"/>
      <c r="D205" s="98"/>
      <c r="E205" s="98"/>
      <c r="F205" s="99"/>
      <c r="G205" s="100"/>
      <c r="H205" s="100"/>
    </row>
    <row r="206" customHeight="1" spans="2:8">
      <c r="B206" s="98"/>
      <c r="C206" s="98"/>
      <c r="D206" s="98"/>
      <c r="E206" s="98"/>
      <c r="F206" s="99"/>
      <c r="G206" s="100"/>
      <c r="H206" s="100"/>
    </row>
    <row r="207" customHeight="1" spans="2:8">
      <c r="B207" s="98"/>
      <c r="C207" s="98"/>
      <c r="D207" s="98"/>
      <c r="E207" s="98"/>
      <c r="F207" s="99"/>
      <c r="G207" s="100"/>
      <c r="H207" s="100"/>
    </row>
    <row r="208" customHeight="1" spans="2:8">
      <c r="B208" s="98"/>
      <c r="C208" s="98"/>
      <c r="D208" s="98"/>
      <c r="E208" s="98"/>
      <c r="F208" s="99"/>
      <c r="G208" s="100"/>
      <c r="H208" s="100"/>
    </row>
    <row r="209" customHeight="1" spans="2:8">
      <c r="B209" s="98"/>
      <c r="C209" s="98"/>
      <c r="D209" s="98"/>
      <c r="E209" s="98"/>
      <c r="F209" s="99"/>
      <c r="G209" s="100"/>
      <c r="H209" s="100"/>
    </row>
    <row r="210" customHeight="1" spans="2:8">
      <c r="B210" s="98"/>
      <c r="C210" s="98"/>
      <c r="D210" s="98"/>
      <c r="E210" s="98"/>
      <c r="F210" s="99"/>
      <c r="G210" s="100"/>
      <c r="H210" s="100"/>
    </row>
    <row r="211" customHeight="1" spans="2:8">
      <c r="B211" s="98"/>
      <c r="C211" s="98"/>
      <c r="D211" s="98"/>
      <c r="E211" s="98"/>
      <c r="F211" s="99"/>
      <c r="G211" s="100"/>
      <c r="H211" s="100"/>
    </row>
    <row r="212" customHeight="1" spans="2:8">
      <c r="B212" s="98"/>
      <c r="C212" s="98"/>
      <c r="D212" s="98"/>
      <c r="E212" s="98"/>
      <c r="F212" s="99"/>
      <c r="G212" s="100"/>
      <c r="H212" s="100"/>
    </row>
    <row r="213" customHeight="1" spans="2:8">
      <c r="B213" s="98"/>
      <c r="C213" s="98"/>
      <c r="D213" s="98"/>
      <c r="E213" s="98"/>
      <c r="F213" s="99"/>
      <c r="G213" s="100"/>
      <c r="H213" s="100"/>
    </row>
    <row r="214" customHeight="1" spans="2:8">
      <c r="B214" s="98"/>
      <c r="C214" s="98"/>
      <c r="D214" s="98"/>
      <c r="E214" s="98"/>
      <c r="F214" s="99"/>
      <c r="G214" s="100"/>
      <c r="H214" s="100"/>
    </row>
    <row r="215" customHeight="1" spans="2:8">
      <c r="B215" s="98"/>
      <c r="C215" s="98"/>
      <c r="D215" s="98"/>
      <c r="E215" s="98"/>
      <c r="F215" s="99"/>
      <c r="G215" s="100"/>
      <c r="H215" s="100"/>
    </row>
    <row r="216" customHeight="1" spans="2:8">
      <c r="B216" s="98"/>
      <c r="C216" s="98"/>
      <c r="D216" s="98"/>
      <c r="E216" s="98"/>
      <c r="F216" s="99"/>
      <c r="G216" s="100"/>
      <c r="H216" s="100"/>
    </row>
    <row r="217" customHeight="1" spans="2:8">
      <c r="B217" s="98"/>
      <c r="C217" s="98"/>
      <c r="D217" s="98"/>
      <c r="E217" s="98"/>
      <c r="F217" s="99"/>
      <c r="G217" s="100"/>
      <c r="H217" s="100"/>
    </row>
    <row r="218" customHeight="1" spans="2:8">
      <c r="B218" s="98"/>
      <c r="C218" s="98"/>
      <c r="D218" s="98"/>
      <c r="E218" s="98"/>
      <c r="F218" s="99"/>
      <c r="G218" s="100"/>
      <c r="H218" s="100"/>
    </row>
    <row r="219" customHeight="1" spans="2:8">
      <c r="B219" s="98"/>
      <c r="C219" s="98"/>
      <c r="D219" s="98"/>
      <c r="E219" s="98"/>
      <c r="F219" s="99"/>
      <c r="G219" s="100"/>
      <c r="H219" s="100"/>
    </row>
    <row r="220" customHeight="1" spans="2:8">
      <c r="B220" s="98"/>
      <c r="C220" s="98"/>
      <c r="D220" s="98"/>
      <c r="E220" s="98"/>
      <c r="F220" s="99"/>
      <c r="G220" s="100"/>
      <c r="H220" s="100"/>
    </row>
    <row r="221" customHeight="1" spans="2:8">
      <c r="B221" s="98"/>
      <c r="C221" s="98"/>
      <c r="D221" s="98"/>
      <c r="E221" s="98"/>
      <c r="F221" s="99"/>
      <c r="G221" s="100"/>
      <c r="H221" s="100"/>
    </row>
    <row r="222" customHeight="1" spans="2:8">
      <c r="B222" s="98"/>
      <c r="C222" s="98"/>
      <c r="D222" s="98"/>
      <c r="E222" s="98"/>
      <c r="F222" s="99"/>
      <c r="G222" s="100"/>
      <c r="H222" s="100"/>
    </row>
    <row r="223" customHeight="1" spans="2:8">
      <c r="B223" s="98"/>
      <c r="C223" s="98"/>
      <c r="D223" s="98"/>
      <c r="E223" s="98"/>
      <c r="F223" s="99"/>
      <c r="G223" s="100"/>
      <c r="H223" s="100"/>
    </row>
    <row r="224" customHeight="1" spans="2:8">
      <c r="B224" s="98"/>
      <c r="C224" s="98"/>
      <c r="D224" s="98"/>
      <c r="E224" s="98"/>
      <c r="F224" s="99"/>
      <c r="G224" s="100"/>
      <c r="H224" s="100"/>
    </row>
    <row r="225" customHeight="1" spans="2:8">
      <c r="B225" s="98"/>
      <c r="C225" s="98"/>
      <c r="D225" s="98"/>
      <c r="E225" s="98"/>
      <c r="F225" s="99"/>
      <c r="G225" s="100"/>
      <c r="H225" s="100"/>
    </row>
    <row r="226" customHeight="1" spans="2:8">
      <c r="B226" s="98"/>
      <c r="C226" s="98"/>
      <c r="D226" s="98"/>
      <c r="E226" s="98"/>
      <c r="F226" s="99"/>
      <c r="G226" s="100"/>
      <c r="H226" s="100"/>
    </row>
    <row r="227" customHeight="1" spans="2:8">
      <c r="B227" s="98"/>
      <c r="C227" s="98"/>
      <c r="D227" s="98"/>
      <c r="E227" s="98"/>
      <c r="F227" s="99"/>
      <c r="G227" s="100"/>
      <c r="H227" s="100"/>
    </row>
    <row r="228" customHeight="1" spans="2:8">
      <c r="B228" s="98"/>
      <c r="C228" s="98"/>
      <c r="D228" s="98"/>
      <c r="E228" s="98"/>
      <c r="F228" s="99"/>
      <c r="G228" s="100"/>
      <c r="H228" s="100"/>
    </row>
    <row r="229" customHeight="1" spans="2:8">
      <c r="B229" s="98"/>
      <c r="C229" s="98"/>
      <c r="D229" s="98"/>
      <c r="E229" s="98"/>
      <c r="F229" s="99"/>
      <c r="G229" s="100"/>
      <c r="H229" s="100"/>
    </row>
    <row r="230" customHeight="1" spans="2:8">
      <c r="B230" s="98"/>
      <c r="C230" s="98"/>
      <c r="D230" s="98"/>
      <c r="E230" s="98"/>
      <c r="F230" s="99"/>
      <c r="G230" s="100"/>
      <c r="H230" s="100"/>
    </row>
    <row r="231" customHeight="1" spans="2:8">
      <c r="B231" s="98"/>
      <c r="C231" s="98"/>
      <c r="D231" s="98"/>
      <c r="E231" s="98"/>
      <c r="F231" s="99"/>
      <c r="G231" s="100"/>
      <c r="H231" s="100"/>
    </row>
    <row r="232" customHeight="1" spans="2:8">
      <c r="B232" s="98"/>
      <c r="C232" s="98"/>
      <c r="D232" s="98"/>
      <c r="E232" s="98"/>
      <c r="F232" s="99"/>
      <c r="G232" s="100"/>
      <c r="H232" s="100"/>
    </row>
    <row r="233" customHeight="1" spans="2:8">
      <c r="B233" s="98"/>
      <c r="C233" s="98"/>
      <c r="D233" s="98"/>
      <c r="E233" s="98"/>
      <c r="F233" s="99"/>
      <c r="G233" s="100"/>
      <c r="H233" s="100"/>
    </row>
    <row r="234" customHeight="1" spans="2:8">
      <c r="B234" s="98"/>
      <c r="C234" s="98"/>
      <c r="D234" s="98"/>
      <c r="E234" s="98"/>
      <c r="F234" s="99"/>
      <c r="G234" s="100"/>
      <c r="H234" s="100"/>
    </row>
    <row r="235" customHeight="1" spans="2:8">
      <c r="B235" s="98"/>
      <c r="C235" s="98"/>
      <c r="D235" s="98"/>
      <c r="E235" s="98"/>
      <c r="F235" s="99"/>
      <c r="G235" s="100"/>
      <c r="H235" s="100"/>
    </row>
    <row r="236" customHeight="1" spans="2:8">
      <c r="B236" s="98"/>
      <c r="C236" s="98"/>
      <c r="D236" s="98"/>
      <c r="E236" s="98"/>
      <c r="F236" s="99"/>
      <c r="G236" s="100"/>
      <c r="H236" s="100"/>
    </row>
    <row r="237" customHeight="1" spans="2:8">
      <c r="B237" s="98"/>
      <c r="C237" s="98"/>
      <c r="D237" s="98"/>
      <c r="E237" s="98"/>
      <c r="F237" s="99"/>
      <c r="G237" s="100"/>
      <c r="H237" s="100"/>
    </row>
    <row r="238" customHeight="1" spans="2:8">
      <c r="B238" s="98"/>
      <c r="C238" s="98"/>
      <c r="D238" s="98"/>
      <c r="E238" s="98"/>
      <c r="F238" s="99"/>
      <c r="G238" s="100"/>
      <c r="H238" s="100"/>
    </row>
    <row r="239" customHeight="1" spans="2:8">
      <c r="B239" s="98"/>
      <c r="C239" s="98"/>
      <c r="D239" s="98"/>
      <c r="E239" s="98"/>
      <c r="F239" s="99"/>
      <c r="G239" s="100"/>
      <c r="H239" s="100"/>
    </row>
    <row r="240" customHeight="1" spans="2:8">
      <c r="B240" s="98"/>
      <c r="C240" s="98"/>
      <c r="D240" s="98"/>
      <c r="E240" s="98"/>
      <c r="F240" s="99"/>
      <c r="G240" s="100"/>
      <c r="H240" s="100"/>
    </row>
    <row r="241" customHeight="1" spans="2:8">
      <c r="B241" s="98"/>
      <c r="C241" s="98"/>
      <c r="D241" s="98"/>
      <c r="E241" s="98"/>
      <c r="F241" s="99"/>
      <c r="G241" s="100"/>
      <c r="H241" s="100"/>
    </row>
    <row r="242" customHeight="1" spans="2:8">
      <c r="B242" s="98"/>
      <c r="C242" s="98"/>
      <c r="D242" s="98"/>
      <c r="E242" s="98"/>
      <c r="F242" s="99"/>
      <c r="G242" s="100"/>
      <c r="H242" s="100"/>
    </row>
    <row r="243" customHeight="1" spans="2:8">
      <c r="B243" s="98"/>
      <c r="C243" s="98"/>
      <c r="D243" s="98"/>
      <c r="E243" s="98"/>
      <c r="F243" s="99"/>
      <c r="G243" s="100"/>
      <c r="H243" s="100"/>
    </row>
    <row r="244" customHeight="1" spans="2:8">
      <c r="B244" s="98"/>
      <c r="C244" s="98"/>
      <c r="D244" s="98"/>
      <c r="E244" s="98"/>
      <c r="F244" s="99"/>
      <c r="G244" s="100"/>
      <c r="H244" s="100"/>
    </row>
    <row r="245" customHeight="1" spans="2:8">
      <c r="B245" s="98"/>
      <c r="C245" s="98"/>
      <c r="D245" s="98"/>
      <c r="E245" s="98"/>
      <c r="F245" s="99"/>
      <c r="G245" s="100"/>
      <c r="H245" s="100"/>
    </row>
    <row r="246" customHeight="1" spans="2:8">
      <c r="B246" s="98"/>
      <c r="C246" s="98"/>
      <c r="D246" s="98"/>
      <c r="E246" s="98"/>
      <c r="F246" s="99"/>
      <c r="G246" s="100"/>
      <c r="H246" s="100"/>
    </row>
    <row r="247" customHeight="1" spans="2:8">
      <c r="B247" s="98"/>
      <c r="C247" s="98"/>
      <c r="D247" s="98"/>
      <c r="E247" s="98"/>
      <c r="F247" s="99"/>
      <c r="G247" s="100"/>
      <c r="H247" s="100"/>
    </row>
    <row r="248" customHeight="1" spans="2:8">
      <c r="B248" s="98"/>
      <c r="C248" s="98"/>
      <c r="D248" s="98"/>
      <c r="E248" s="98"/>
      <c r="F248" s="99"/>
      <c r="G248" s="100"/>
      <c r="H248" s="100"/>
    </row>
    <row r="249" customHeight="1" spans="2:8">
      <c r="B249" s="98"/>
      <c r="C249" s="98"/>
      <c r="D249" s="98"/>
      <c r="E249" s="98"/>
      <c r="F249" s="99"/>
      <c r="G249" s="100"/>
      <c r="H249" s="100"/>
    </row>
    <row r="250" customHeight="1" spans="2:8">
      <c r="B250" s="98"/>
      <c r="C250" s="98"/>
      <c r="D250" s="98"/>
      <c r="E250" s="98"/>
      <c r="F250" s="99"/>
      <c r="G250" s="100"/>
      <c r="H250" s="100"/>
    </row>
    <row r="251" customHeight="1" spans="2:8">
      <c r="B251" s="98"/>
      <c r="C251" s="98"/>
      <c r="D251" s="98"/>
      <c r="E251" s="98"/>
      <c r="F251" s="99"/>
      <c r="G251" s="100"/>
      <c r="H251" s="100"/>
    </row>
    <row r="252" customHeight="1" spans="2:8">
      <c r="B252" s="98"/>
      <c r="C252" s="98"/>
      <c r="D252" s="98"/>
      <c r="E252" s="98"/>
      <c r="F252" s="99"/>
      <c r="G252" s="100"/>
      <c r="H252" s="100"/>
    </row>
    <row r="253" customHeight="1" spans="2:8">
      <c r="B253" s="98"/>
      <c r="C253" s="98"/>
      <c r="D253" s="98"/>
      <c r="E253" s="98"/>
      <c r="F253" s="99"/>
      <c r="G253" s="100"/>
      <c r="H253" s="100"/>
    </row>
    <row r="254" customHeight="1" spans="2:8">
      <c r="B254" s="98"/>
      <c r="C254" s="98"/>
      <c r="D254" s="98"/>
      <c r="E254" s="98"/>
      <c r="F254" s="99"/>
      <c r="G254" s="100"/>
      <c r="H254" s="100"/>
    </row>
    <row r="255" customHeight="1" spans="2:8">
      <c r="B255" s="98"/>
      <c r="C255" s="98"/>
      <c r="D255" s="98"/>
      <c r="E255" s="98"/>
      <c r="F255" s="99"/>
      <c r="G255" s="100"/>
      <c r="H255" s="100"/>
    </row>
    <row r="256" customHeight="1" spans="2:8">
      <c r="B256" s="98"/>
      <c r="C256" s="98"/>
      <c r="D256" s="98"/>
      <c r="E256" s="98"/>
      <c r="F256" s="99"/>
      <c r="G256" s="100"/>
      <c r="H256" s="100"/>
    </row>
    <row r="257" customHeight="1" spans="2:8">
      <c r="B257" s="98"/>
      <c r="C257" s="98"/>
      <c r="D257" s="98"/>
      <c r="E257" s="98"/>
      <c r="F257" s="99"/>
      <c r="G257" s="100"/>
      <c r="H257" s="100"/>
    </row>
    <row r="258" customHeight="1" spans="2:8">
      <c r="B258" s="98"/>
      <c r="C258" s="98"/>
      <c r="D258" s="98"/>
      <c r="E258" s="98"/>
      <c r="F258" s="99"/>
      <c r="G258" s="100"/>
      <c r="H258" s="100"/>
    </row>
    <row r="259" customHeight="1" spans="2:8">
      <c r="B259" s="98"/>
      <c r="C259" s="98"/>
      <c r="D259" s="98"/>
      <c r="E259" s="98"/>
      <c r="F259" s="99"/>
      <c r="G259" s="100"/>
      <c r="H259" s="100"/>
    </row>
    <row r="260" customHeight="1" spans="2:8">
      <c r="B260" s="98"/>
      <c r="C260" s="98"/>
      <c r="D260" s="98"/>
      <c r="E260" s="98"/>
      <c r="F260" s="99"/>
      <c r="G260" s="100"/>
      <c r="H260" s="100"/>
    </row>
    <row r="261" customHeight="1" spans="2:8">
      <c r="B261" s="98"/>
      <c r="C261" s="98"/>
      <c r="D261" s="98"/>
      <c r="E261" s="98"/>
      <c r="F261" s="99"/>
      <c r="G261" s="100"/>
      <c r="H261" s="100"/>
    </row>
    <row r="262" customHeight="1" spans="2:8">
      <c r="B262" s="98"/>
      <c r="C262" s="98"/>
      <c r="D262" s="98"/>
      <c r="E262" s="98"/>
      <c r="F262" s="99"/>
      <c r="G262" s="100"/>
      <c r="H262" s="100"/>
    </row>
    <row r="263" customHeight="1" spans="2:8">
      <c r="B263" s="98"/>
      <c r="C263" s="98"/>
      <c r="D263" s="98"/>
      <c r="E263" s="98"/>
      <c r="F263" s="99"/>
      <c r="G263" s="100"/>
      <c r="H263" s="100"/>
    </row>
    <row r="264" customHeight="1" spans="2:8">
      <c r="B264" s="98"/>
      <c r="C264" s="98"/>
      <c r="D264" s="98"/>
      <c r="E264" s="98"/>
      <c r="F264" s="99"/>
      <c r="G264" s="100"/>
      <c r="H264" s="100"/>
    </row>
    <row r="265" customHeight="1" spans="2:8">
      <c r="B265" s="98"/>
      <c r="C265" s="98"/>
      <c r="D265" s="98"/>
      <c r="E265" s="98"/>
      <c r="F265" s="99"/>
      <c r="G265" s="100"/>
      <c r="H265" s="100"/>
    </row>
    <row r="266" customHeight="1" spans="2:8">
      <c r="B266" s="98"/>
      <c r="C266" s="98"/>
      <c r="D266" s="98"/>
      <c r="E266" s="98"/>
      <c r="F266" s="99"/>
      <c r="G266" s="100"/>
      <c r="H266" s="100"/>
    </row>
    <row r="267" customHeight="1" spans="2:8">
      <c r="B267" s="98"/>
      <c r="C267" s="98"/>
      <c r="D267" s="98"/>
      <c r="E267" s="98"/>
      <c r="F267" s="99"/>
      <c r="G267" s="100"/>
      <c r="H267" s="100"/>
    </row>
    <row r="268" customHeight="1" spans="2:8">
      <c r="B268" s="98"/>
      <c r="C268" s="98"/>
      <c r="D268" s="98"/>
      <c r="E268" s="98"/>
      <c r="F268" s="99"/>
      <c r="G268" s="100"/>
      <c r="H268" s="100"/>
    </row>
    <row r="269" customHeight="1" spans="2:8">
      <c r="B269" s="98"/>
      <c r="C269" s="98"/>
      <c r="D269" s="98"/>
      <c r="E269" s="98"/>
      <c r="F269" s="99"/>
      <c r="G269" s="100"/>
      <c r="H269" s="100"/>
    </row>
    <row r="270" customHeight="1" spans="2:8">
      <c r="B270" s="98"/>
      <c r="C270" s="98"/>
      <c r="D270" s="98"/>
      <c r="E270" s="98"/>
      <c r="F270" s="99"/>
      <c r="G270" s="100"/>
      <c r="H270" s="100"/>
    </row>
    <row r="271" customHeight="1" spans="2:8">
      <c r="B271" s="98"/>
      <c r="C271" s="98"/>
      <c r="D271" s="98"/>
      <c r="E271" s="98"/>
      <c r="F271" s="99"/>
      <c r="G271" s="100"/>
      <c r="H271" s="100"/>
    </row>
    <row r="272" customHeight="1" spans="2:8">
      <c r="B272" s="98"/>
      <c r="C272" s="98"/>
      <c r="D272" s="98"/>
      <c r="E272" s="98"/>
      <c r="F272" s="99"/>
      <c r="G272" s="100"/>
      <c r="H272" s="100"/>
    </row>
    <row r="273" customHeight="1" spans="2:8">
      <c r="B273" s="98"/>
      <c r="C273" s="98"/>
      <c r="D273" s="98"/>
      <c r="E273" s="98"/>
      <c r="F273" s="99"/>
      <c r="G273" s="100"/>
      <c r="H273" s="100"/>
    </row>
    <row r="274" customHeight="1" spans="2:8">
      <c r="B274" s="98"/>
      <c r="C274" s="98"/>
      <c r="D274" s="98"/>
      <c r="E274" s="98"/>
      <c r="F274" s="99"/>
      <c r="G274" s="100"/>
      <c r="H274" s="100"/>
    </row>
    <row r="275" customHeight="1" spans="2:8">
      <c r="B275" s="98"/>
      <c r="C275" s="98"/>
      <c r="D275" s="98"/>
      <c r="E275" s="98"/>
      <c r="F275" s="99"/>
      <c r="G275" s="100"/>
      <c r="H275" s="100"/>
    </row>
    <row r="276" customHeight="1" spans="2:8">
      <c r="B276" s="98"/>
      <c r="C276" s="98"/>
      <c r="D276" s="98"/>
      <c r="E276" s="98"/>
      <c r="F276" s="99"/>
      <c r="G276" s="100"/>
      <c r="H276" s="100"/>
    </row>
    <row r="277" customHeight="1" spans="2:8">
      <c r="B277" s="98"/>
      <c r="C277" s="98"/>
      <c r="D277" s="98"/>
      <c r="E277" s="98"/>
      <c r="F277" s="99"/>
      <c r="G277" s="100"/>
      <c r="H277" s="100"/>
    </row>
    <row r="278" customHeight="1" spans="2:8">
      <c r="B278" s="98"/>
      <c r="C278" s="98"/>
      <c r="D278" s="98"/>
      <c r="E278" s="98"/>
      <c r="F278" s="99"/>
      <c r="G278" s="100"/>
      <c r="H278" s="100"/>
    </row>
    <row r="279" customHeight="1" spans="2:8">
      <c r="B279" s="98"/>
      <c r="C279" s="98"/>
      <c r="D279" s="98"/>
      <c r="E279" s="98"/>
      <c r="F279" s="99"/>
      <c r="G279" s="100"/>
      <c r="H279" s="100"/>
    </row>
    <row r="280" customHeight="1" spans="2:8">
      <c r="B280" s="98"/>
      <c r="C280" s="98"/>
      <c r="D280" s="98"/>
      <c r="E280" s="98"/>
      <c r="F280" s="99"/>
      <c r="G280" s="100"/>
      <c r="H280" s="100"/>
    </row>
    <row r="281" customHeight="1" spans="2:8">
      <c r="B281" s="98"/>
      <c r="C281" s="98"/>
      <c r="D281" s="98"/>
      <c r="E281" s="98"/>
      <c r="F281" s="99"/>
      <c r="G281" s="100"/>
      <c r="H281" s="100"/>
    </row>
    <row r="282" customHeight="1" spans="2:8">
      <c r="B282" s="98"/>
      <c r="C282" s="98"/>
      <c r="D282" s="98"/>
      <c r="E282" s="98"/>
      <c r="F282" s="99"/>
      <c r="G282" s="100"/>
      <c r="H282" s="100"/>
    </row>
    <row r="283" customHeight="1" spans="2:8">
      <c r="B283" s="98"/>
      <c r="C283" s="98"/>
      <c r="D283" s="98"/>
      <c r="E283" s="98"/>
      <c r="F283" s="99"/>
      <c r="G283" s="100"/>
      <c r="H283" s="100"/>
    </row>
    <row r="284" customHeight="1" spans="2:8">
      <c r="B284" s="98"/>
      <c r="C284" s="98"/>
      <c r="D284" s="98"/>
      <c r="E284" s="98"/>
      <c r="F284" s="99"/>
      <c r="G284" s="100"/>
      <c r="H284" s="100"/>
    </row>
    <row r="285" customHeight="1" spans="2:8">
      <c r="B285" s="98"/>
      <c r="C285" s="98"/>
      <c r="D285" s="98"/>
      <c r="E285" s="98"/>
      <c r="F285" s="99"/>
      <c r="G285" s="100"/>
      <c r="H285" s="100"/>
    </row>
    <row r="286" customHeight="1" spans="2:8">
      <c r="B286" s="98"/>
      <c r="C286" s="98"/>
      <c r="D286" s="98"/>
      <c r="E286" s="98"/>
      <c r="F286" s="99"/>
      <c r="G286" s="100"/>
      <c r="H286" s="100"/>
    </row>
    <row r="287" customHeight="1" spans="2:8">
      <c r="B287" s="98"/>
      <c r="C287" s="98"/>
      <c r="D287" s="98"/>
      <c r="E287" s="98"/>
      <c r="F287" s="99"/>
      <c r="G287" s="100"/>
      <c r="H287" s="100"/>
    </row>
    <row r="288" customHeight="1" spans="2:8">
      <c r="B288" s="98"/>
      <c r="C288" s="98"/>
      <c r="D288" s="98"/>
      <c r="E288" s="98"/>
      <c r="F288" s="99"/>
      <c r="G288" s="100"/>
      <c r="H288" s="100"/>
    </row>
    <row r="289" customHeight="1" spans="2:8">
      <c r="B289" s="98"/>
      <c r="C289" s="98"/>
      <c r="D289" s="98"/>
      <c r="E289" s="98"/>
      <c r="F289" s="99"/>
      <c r="G289" s="100"/>
      <c r="H289" s="100"/>
    </row>
    <row r="290" customHeight="1" spans="2:8">
      <c r="B290" s="98"/>
      <c r="C290" s="98"/>
      <c r="D290" s="98"/>
      <c r="E290" s="98"/>
      <c r="F290" s="99"/>
      <c r="G290" s="100"/>
      <c r="H290" s="100"/>
    </row>
    <row r="291" customHeight="1" spans="2:8">
      <c r="B291" s="98"/>
      <c r="C291" s="98"/>
      <c r="D291" s="98"/>
      <c r="E291" s="98"/>
      <c r="F291" s="99"/>
      <c r="G291" s="100"/>
      <c r="H291" s="100"/>
    </row>
    <row r="292" customHeight="1" spans="2:8">
      <c r="B292" s="98"/>
      <c r="C292" s="98"/>
      <c r="D292" s="98"/>
      <c r="E292" s="98"/>
      <c r="F292" s="99"/>
      <c r="G292" s="100"/>
      <c r="H292" s="100"/>
    </row>
    <row r="293" customHeight="1" spans="2:8">
      <c r="B293" s="98"/>
      <c r="C293" s="98"/>
      <c r="D293" s="98"/>
      <c r="E293" s="98"/>
      <c r="F293" s="99"/>
      <c r="G293" s="100"/>
      <c r="H293" s="100"/>
    </row>
    <row r="294" customHeight="1" spans="2:8">
      <c r="B294" s="98"/>
      <c r="C294" s="98"/>
      <c r="D294" s="98"/>
      <c r="E294" s="98"/>
      <c r="F294" s="99"/>
      <c r="G294" s="100"/>
      <c r="H294" s="100"/>
    </row>
    <row r="295" customHeight="1" spans="2:8">
      <c r="B295" s="98"/>
      <c r="C295" s="98"/>
      <c r="D295" s="98"/>
      <c r="E295" s="98"/>
      <c r="F295" s="99"/>
      <c r="G295" s="100"/>
      <c r="H295" s="100"/>
    </row>
    <row r="296" customHeight="1" spans="2:8">
      <c r="B296" s="98"/>
      <c r="C296" s="98"/>
      <c r="D296" s="98"/>
      <c r="E296" s="98"/>
      <c r="F296" s="99"/>
      <c r="G296" s="100"/>
      <c r="H296" s="100"/>
    </row>
    <row r="297" customHeight="1" spans="2:8">
      <c r="B297" s="98"/>
      <c r="C297" s="98"/>
      <c r="D297" s="98"/>
      <c r="E297" s="98"/>
      <c r="F297" s="99"/>
      <c r="G297" s="100"/>
      <c r="H297" s="100"/>
    </row>
    <row r="298" customHeight="1" spans="2:8">
      <c r="B298" s="98"/>
      <c r="C298" s="98"/>
      <c r="D298" s="98"/>
      <c r="E298" s="98"/>
      <c r="F298" s="99"/>
      <c r="G298" s="100"/>
      <c r="H298" s="100"/>
    </row>
    <row r="299" customHeight="1" spans="2:8">
      <c r="B299" s="98"/>
      <c r="C299" s="98"/>
      <c r="D299" s="98"/>
      <c r="E299" s="98"/>
      <c r="F299" s="99"/>
      <c r="G299" s="100"/>
      <c r="H299" s="100"/>
    </row>
    <row r="300" customHeight="1" spans="2:8">
      <c r="B300" s="98"/>
      <c r="C300" s="98"/>
      <c r="D300" s="98"/>
      <c r="E300" s="98"/>
      <c r="F300" s="99"/>
      <c r="G300" s="100"/>
      <c r="H300" s="100"/>
    </row>
    <row r="301" customHeight="1" spans="2:8">
      <c r="B301" s="98"/>
      <c r="C301" s="98"/>
      <c r="D301" s="98"/>
      <c r="E301" s="98"/>
      <c r="F301" s="99"/>
      <c r="G301" s="100"/>
      <c r="H301" s="100"/>
    </row>
    <row r="302" customHeight="1" spans="2:8">
      <c r="B302" s="98"/>
      <c r="C302" s="98"/>
      <c r="D302" s="98"/>
      <c r="E302" s="98"/>
      <c r="F302" s="99"/>
      <c r="G302" s="100"/>
      <c r="H302" s="100"/>
    </row>
    <row r="303" customHeight="1" spans="2:8">
      <c r="B303" s="98"/>
      <c r="C303" s="98"/>
      <c r="D303" s="98"/>
      <c r="E303" s="98"/>
      <c r="F303" s="99"/>
      <c r="G303" s="100"/>
      <c r="H303" s="100"/>
    </row>
    <row r="304" customHeight="1" spans="2:8">
      <c r="B304" s="98"/>
      <c r="C304" s="98"/>
      <c r="D304" s="98"/>
      <c r="E304" s="98"/>
      <c r="F304" s="99"/>
      <c r="G304" s="100"/>
      <c r="H304" s="100"/>
    </row>
    <row r="305" customHeight="1" spans="2:8">
      <c r="B305" s="98"/>
      <c r="C305" s="98"/>
      <c r="D305" s="98"/>
      <c r="E305" s="98"/>
      <c r="F305" s="99"/>
      <c r="G305" s="100"/>
      <c r="H305" s="100"/>
    </row>
    <row r="306" customHeight="1" spans="2:8">
      <c r="B306" s="98"/>
      <c r="C306" s="98"/>
      <c r="D306" s="98"/>
      <c r="E306" s="98"/>
      <c r="F306" s="99"/>
      <c r="G306" s="100"/>
      <c r="H306" s="100"/>
    </row>
    <row r="307" customHeight="1" spans="2:8">
      <c r="B307" s="98"/>
      <c r="C307" s="98"/>
      <c r="D307" s="98"/>
      <c r="E307" s="98"/>
      <c r="F307" s="99"/>
      <c r="G307" s="100"/>
      <c r="H307" s="100"/>
    </row>
    <row r="308" customHeight="1" spans="2:8">
      <c r="B308" s="98"/>
      <c r="C308" s="98"/>
      <c r="D308" s="98"/>
      <c r="E308" s="98"/>
      <c r="F308" s="99"/>
      <c r="G308" s="100"/>
      <c r="H308" s="100"/>
    </row>
    <row r="309" customHeight="1" spans="2:8">
      <c r="B309" s="98"/>
      <c r="C309" s="98"/>
      <c r="D309" s="98"/>
      <c r="E309" s="98"/>
      <c r="F309" s="99"/>
      <c r="G309" s="100"/>
      <c r="H309" s="100"/>
    </row>
    <row r="310" customHeight="1" spans="2:8">
      <c r="B310" s="98"/>
      <c r="C310" s="98"/>
      <c r="D310" s="98"/>
      <c r="E310" s="98"/>
      <c r="F310" s="99"/>
      <c r="G310" s="100"/>
      <c r="H310" s="100"/>
    </row>
    <row r="311" customHeight="1" spans="2:8">
      <c r="B311" s="98"/>
      <c r="C311" s="98"/>
      <c r="D311" s="98"/>
      <c r="E311" s="98"/>
      <c r="F311" s="99"/>
      <c r="G311" s="100"/>
      <c r="H311" s="100"/>
    </row>
    <row r="312" customHeight="1" spans="2:8">
      <c r="B312" s="98"/>
      <c r="C312" s="98"/>
      <c r="D312" s="98"/>
      <c r="E312" s="98"/>
      <c r="F312" s="99"/>
      <c r="G312" s="100"/>
      <c r="H312" s="100"/>
    </row>
    <row r="313" customHeight="1" spans="2:8">
      <c r="B313" s="98"/>
      <c r="C313" s="98"/>
      <c r="D313" s="98"/>
      <c r="E313" s="98"/>
      <c r="F313" s="99"/>
      <c r="G313" s="100"/>
      <c r="H313" s="100"/>
    </row>
    <row r="314" customHeight="1" spans="2:8">
      <c r="B314" s="98"/>
      <c r="C314" s="98"/>
      <c r="D314" s="98"/>
      <c r="E314" s="98"/>
      <c r="F314" s="99"/>
      <c r="G314" s="100"/>
      <c r="H314" s="100"/>
    </row>
    <row r="315" customHeight="1" spans="2:8">
      <c r="B315" s="98"/>
      <c r="C315" s="98"/>
      <c r="D315" s="98"/>
      <c r="E315" s="98"/>
      <c r="F315" s="99"/>
      <c r="G315" s="100"/>
      <c r="H315" s="100"/>
    </row>
    <row r="316" customHeight="1" spans="2:8">
      <c r="B316" s="98"/>
      <c r="C316" s="98"/>
      <c r="D316" s="98"/>
      <c r="E316" s="98"/>
      <c r="F316" s="99"/>
      <c r="G316" s="100"/>
      <c r="H316" s="100"/>
    </row>
    <row r="317" customHeight="1" spans="2:8">
      <c r="B317" s="98"/>
      <c r="C317" s="98"/>
      <c r="D317" s="98"/>
      <c r="E317" s="98"/>
      <c r="F317" s="99"/>
      <c r="G317" s="100"/>
      <c r="H317" s="100"/>
    </row>
    <row r="318" customHeight="1" spans="2:8">
      <c r="B318" s="98"/>
      <c r="C318" s="98"/>
      <c r="D318" s="98"/>
      <c r="E318" s="98"/>
      <c r="F318" s="99"/>
      <c r="G318" s="100"/>
      <c r="H318" s="100"/>
    </row>
    <row r="319" customHeight="1" spans="2:8">
      <c r="B319" s="98"/>
      <c r="C319" s="98"/>
      <c r="D319" s="98"/>
      <c r="E319" s="98"/>
      <c r="F319" s="99"/>
      <c r="G319" s="100"/>
      <c r="H319" s="100"/>
    </row>
    <row r="320" customHeight="1" spans="2:8">
      <c r="B320" s="98"/>
      <c r="C320" s="98"/>
      <c r="D320" s="98"/>
      <c r="E320" s="98"/>
      <c r="F320" s="99"/>
      <c r="G320" s="100"/>
      <c r="H320" s="100"/>
    </row>
    <row r="321" customHeight="1" spans="2:8">
      <c r="B321" s="98"/>
      <c r="C321" s="98"/>
      <c r="D321" s="98"/>
      <c r="E321" s="98"/>
      <c r="F321" s="99"/>
      <c r="G321" s="100"/>
      <c r="H321" s="100"/>
    </row>
    <row r="322" customHeight="1" spans="2:8">
      <c r="B322" s="98"/>
      <c r="C322" s="98"/>
      <c r="D322" s="98"/>
      <c r="E322" s="98"/>
      <c r="F322" s="99"/>
      <c r="G322" s="100"/>
      <c r="H322" s="100"/>
    </row>
    <row r="323" customHeight="1" spans="2:8">
      <c r="B323" s="98"/>
      <c r="C323" s="98"/>
      <c r="D323" s="98"/>
      <c r="E323" s="98"/>
      <c r="F323" s="99"/>
      <c r="G323" s="100"/>
      <c r="H323" s="100"/>
    </row>
    <row r="324" customHeight="1" spans="2:8">
      <c r="B324" s="98"/>
      <c r="C324" s="98"/>
      <c r="D324" s="98"/>
      <c r="E324" s="98"/>
      <c r="F324" s="99"/>
      <c r="G324" s="100"/>
      <c r="H324" s="100"/>
    </row>
    <row r="325" customHeight="1" spans="2:8">
      <c r="B325" s="98"/>
      <c r="C325" s="98"/>
      <c r="D325" s="98"/>
      <c r="E325" s="98"/>
      <c r="F325" s="99"/>
      <c r="G325" s="100"/>
      <c r="H325" s="100"/>
    </row>
    <row r="326" customHeight="1" spans="2:8">
      <c r="B326" s="98"/>
      <c r="C326" s="98"/>
      <c r="D326" s="98"/>
      <c r="E326" s="98"/>
      <c r="F326" s="99"/>
      <c r="G326" s="100"/>
      <c r="H326" s="100"/>
    </row>
    <row r="327" customHeight="1" spans="2:8">
      <c r="B327" s="98"/>
      <c r="C327" s="98"/>
      <c r="D327" s="98"/>
      <c r="E327" s="98"/>
      <c r="F327" s="99"/>
      <c r="G327" s="100"/>
      <c r="H327" s="100"/>
    </row>
    <row r="328" customHeight="1" spans="2:8">
      <c r="B328" s="98"/>
      <c r="C328" s="98"/>
      <c r="D328" s="98"/>
      <c r="E328" s="98"/>
      <c r="F328" s="99"/>
      <c r="G328" s="100"/>
      <c r="H328" s="100"/>
    </row>
    <row r="329" customHeight="1" spans="2:8">
      <c r="B329" s="98"/>
      <c r="C329" s="98"/>
      <c r="D329" s="98"/>
      <c r="E329" s="98"/>
      <c r="F329" s="99"/>
      <c r="G329" s="100"/>
      <c r="H329" s="100"/>
    </row>
    <row r="330" customHeight="1" spans="2:8">
      <c r="B330" s="98"/>
      <c r="C330" s="98"/>
      <c r="D330" s="98"/>
      <c r="E330" s="98"/>
      <c r="F330" s="99"/>
      <c r="G330" s="100"/>
      <c r="H330" s="100"/>
    </row>
    <row r="331" customHeight="1" spans="2:8">
      <c r="B331" s="98"/>
      <c r="C331" s="98"/>
      <c r="D331" s="98"/>
      <c r="E331" s="98"/>
      <c r="F331" s="99"/>
      <c r="G331" s="100"/>
      <c r="H331" s="100"/>
    </row>
    <row r="332" customHeight="1" spans="2:8">
      <c r="B332" s="98"/>
      <c r="C332" s="98"/>
      <c r="D332" s="98"/>
      <c r="E332" s="98"/>
      <c r="F332" s="99"/>
      <c r="G332" s="100"/>
      <c r="H332" s="100"/>
    </row>
    <row r="333" customHeight="1" spans="2:8">
      <c r="B333" s="98"/>
      <c r="C333" s="98"/>
      <c r="D333" s="98"/>
      <c r="E333" s="98"/>
      <c r="F333" s="99"/>
      <c r="G333" s="100"/>
      <c r="H333" s="100"/>
    </row>
    <row r="334" customHeight="1" spans="2:8">
      <c r="B334" s="98"/>
      <c r="C334" s="98"/>
      <c r="D334" s="98"/>
      <c r="E334" s="98"/>
      <c r="F334" s="99"/>
      <c r="G334" s="100"/>
      <c r="H334" s="100"/>
    </row>
    <row r="335" customHeight="1" spans="2:8">
      <c r="B335" s="98"/>
      <c r="C335" s="98"/>
      <c r="D335" s="98"/>
      <c r="E335" s="98"/>
      <c r="F335" s="99"/>
      <c r="G335" s="100"/>
      <c r="H335" s="100"/>
    </row>
    <row r="336" customHeight="1" spans="2:8">
      <c r="B336" s="98"/>
      <c r="C336" s="98"/>
      <c r="D336" s="98"/>
      <c r="E336" s="98"/>
      <c r="F336" s="99"/>
      <c r="G336" s="100"/>
      <c r="H336" s="100"/>
    </row>
    <row r="337" customHeight="1" spans="2:8">
      <c r="B337" s="98"/>
      <c r="C337" s="98"/>
      <c r="D337" s="98"/>
      <c r="E337" s="98"/>
      <c r="F337" s="99"/>
      <c r="G337" s="100"/>
      <c r="H337" s="100"/>
    </row>
    <row r="338" customHeight="1" spans="2:8">
      <c r="B338" s="98"/>
      <c r="C338" s="98"/>
      <c r="D338" s="98"/>
      <c r="E338" s="98"/>
      <c r="F338" s="99"/>
      <c r="G338" s="100"/>
      <c r="H338" s="100"/>
    </row>
    <row r="339" customHeight="1" spans="2:8">
      <c r="B339" s="98"/>
      <c r="C339" s="98"/>
      <c r="D339" s="98"/>
      <c r="E339" s="98"/>
      <c r="F339" s="99"/>
      <c r="G339" s="100"/>
      <c r="H339" s="100"/>
    </row>
    <row r="340" customHeight="1" spans="2:8">
      <c r="B340" s="98"/>
      <c r="C340" s="98"/>
      <c r="D340" s="98"/>
      <c r="E340" s="98"/>
      <c r="F340" s="99"/>
      <c r="G340" s="100"/>
      <c r="H340" s="100"/>
    </row>
    <row r="341" customHeight="1" spans="2:8">
      <c r="B341" s="98"/>
      <c r="C341" s="98"/>
      <c r="D341" s="98"/>
      <c r="E341" s="98"/>
      <c r="F341" s="99"/>
      <c r="G341" s="100"/>
      <c r="H341" s="100"/>
    </row>
    <row r="342" customHeight="1" spans="2:8">
      <c r="B342" s="98"/>
      <c r="C342" s="98"/>
      <c r="D342" s="98"/>
      <c r="E342" s="98"/>
      <c r="F342" s="99"/>
      <c r="G342" s="100"/>
      <c r="H342" s="100"/>
    </row>
    <row r="343" customHeight="1" spans="2:8">
      <c r="B343" s="98"/>
      <c r="C343" s="98"/>
      <c r="D343" s="98"/>
      <c r="E343" s="98"/>
      <c r="F343" s="99"/>
      <c r="G343" s="100"/>
      <c r="H343" s="100"/>
    </row>
    <row r="344" customHeight="1" spans="2:8">
      <c r="B344" s="98"/>
      <c r="C344" s="98"/>
      <c r="D344" s="98"/>
      <c r="E344" s="98"/>
      <c r="F344" s="99"/>
      <c r="G344" s="100"/>
      <c r="H344" s="100"/>
    </row>
    <row r="345" customHeight="1" spans="2:8">
      <c r="B345" s="98"/>
      <c r="C345" s="98"/>
      <c r="D345" s="98"/>
      <c r="E345" s="98"/>
      <c r="F345" s="99"/>
      <c r="G345" s="100"/>
      <c r="H345" s="100"/>
    </row>
    <row r="346" customHeight="1" spans="2:8">
      <c r="B346" s="98"/>
      <c r="C346" s="98"/>
      <c r="D346" s="98"/>
      <c r="E346" s="98"/>
      <c r="F346" s="99"/>
      <c r="G346" s="100"/>
      <c r="H346" s="100"/>
    </row>
    <row r="347" customHeight="1" spans="2:8">
      <c r="B347" s="98"/>
      <c r="C347" s="98"/>
      <c r="D347" s="98"/>
      <c r="E347" s="98"/>
      <c r="F347" s="99"/>
      <c r="G347" s="100"/>
      <c r="H347" s="100"/>
    </row>
    <row r="348" customHeight="1" spans="2:8">
      <c r="B348" s="98"/>
      <c r="C348" s="98"/>
      <c r="D348" s="98"/>
      <c r="E348" s="98"/>
      <c r="F348" s="99"/>
      <c r="G348" s="100"/>
      <c r="H348" s="100"/>
    </row>
    <row r="349" customHeight="1" spans="2:8">
      <c r="B349" s="98"/>
      <c r="C349" s="98"/>
      <c r="D349" s="98"/>
      <c r="E349" s="98"/>
      <c r="F349" s="99"/>
      <c r="G349" s="100"/>
      <c r="H349" s="100"/>
    </row>
    <row r="350" customHeight="1" spans="2:8">
      <c r="B350" s="98"/>
      <c r="C350" s="98"/>
      <c r="D350" s="98"/>
      <c r="E350" s="98"/>
      <c r="F350" s="99"/>
      <c r="G350" s="100"/>
      <c r="H350" s="100"/>
    </row>
    <row r="351" customHeight="1" spans="2:8">
      <c r="B351" s="98"/>
      <c r="C351" s="98"/>
      <c r="D351" s="98"/>
      <c r="E351" s="98"/>
      <c r="F351" s="99"/>
      <c r="G351" s="100"/>
      <c r="H351" s="100"/>
    </row>
    <row r="352" customHeight="1" spans="2:8">
      <c r="B352" s="98"/>
      <c r="C352" s="98"/>
      <c r="D352" s="98"/>
      <c r="E352" s="98"/>
      <c r="F352" s="99"/>
      <c r="G352" s="100"/>
      <c r="H352" s="100"/>
    </row>
    <row r="353" customHeight="1" spans="2:8">
      <c r="B353" s="98"/>
      <c r="C353" s="98"/>
      <c r="D353" s="98"/>
      <c r="E353" s="98"/>
      <c r="F353" s="99"/>
      <c r="G353" s="100"/>
      <c r="H353" s="100"/>
    </row>
    <row r="354" customHeight="1" spans="2:8">
      <c r="B354" s="98"/>
      <c r="C354" s="98"/>
      <c r="D354" s="98"/>
      <c r="E354" s="98"/>
      <c r="F354" s="99"/>
      <c r="G354" s="100"/>
      <c r="H354" s="100"/>
    </row>
    <row r="355" customHeight="1" spans="2:8">
      <c r="B355" s="98"/>
      <c r="C355" s="98"/>
      <c r="D355" s="98"/>
      <c r="E355" s="98"/>
      <c r="F355" s="99"/>
      <c r="G355" s="100"/>
      <c r="H355" s="100"/>
    </row>
    <row r="356" customHeight="1" spans="2:8">
      <c r="B356" s="98"/>
      <c r="C356" s="98"/>
      <c r="D356" s="98"/>
      <c r="E356" s="98"/>
      <c r="F356" s="99"/>
      <c r="G356" s="100"/>
      <c r="H356" s="100"/>
    </row>
    <row r="357" customHeight="1" spans="2:8">
      <c r="B357" s="98"/>
      <c r="C357" s="98"/>
      <c r="D357" s="98"/>
      <c r="E357" s="98"/>
      <c r="F357" s="99"/>
      <c r="G357" s="100"/>
      <c r="H357" s="100"/>
    </row>
    <row r="358" customHeight="1" spans="2:8">
      <c r="B358" s="98"/>
      <c r="C358" s="98"/>
      <c r="D358" s="98"/>
      <c r="E358" s="98"/>
      <c r="F358" s="99"/>
      <c r="G358" s="100"/>
      <c r="H358" s="100"/>
    </row>
    <row r="359" customHeight="1" spans="2:8">
      <c r="B359" s="98"/>
      <c r="C359" s="98"/>
      <c r="D359" s="98"/>
      <c r="E359" s="98"/>
      <c r="F359" s="99"/>
      <c r="G359" s="100"/>
      <c r="H359" s="100"/>
    </row>
    <row r="360" customHeight="1" spans="2:8">
      <c r="B360" s="98"/>
      <c r="C360" s="98"/>
      <c r="D360" s="98"/>
      <c r="E360" s="98"/>
      <c r="F360" s="99"/>
      <c r="G360" s="100"/>
      <c r="H360" s="100"/>
    </row>
    <row r="361" customHeight="1" spans="2:8">
      <c r="B361" s="98"/>
      <c r="C361" s="98"/>
      <c r="D361" s="98"/>
      <c r="E361" s="98"/>
      <c r="F361" s="99"/>
      <c r="G361" s="100"/>
      <c r="H361" s="100"/>
    </row>
    <row r="362" customHeight="1" spans="2:8">
      <c r="B362" s="98"/>
      <c r="C362" s="98"/>
      <c r="D362" s="98"/>
      <c r="E362" s="98"/>
      <c r="F362" s="99"/>
      <c r="G362" s="100"/>
      <c r="H362" s="100"/>
    </row>
    <row r="363" customHeight="1" spans="2:8">
      <c r="B363" s="98"/>
      <c r="C363" s="98"/>
      <c r="D363" s="98"/>
      <c r="E363" s="98"/>
      <c r="F363" s="99"/>
      <c r="G363" s="100"/>
      <c r="H363" s="100"/>
    </row>
    <row r="364" customHeight="1" spans="2:8">
      <c r="B364" s="98"/>
      <c r="C364" s="98"/>
      <c r="D364" s="98"/>
      <c r="E364" s="98"/>
      <c r="F364" s="99"/>
      <c r="G364" s="100"/>
      <c r="H364" s="100"/>
    </row>
    <row r="365" customHeight="1" spans="2:8">
      <c r="B365" s="98"/>
      <c r="C365" s="98"/>
      <c r="D365" s="98"/>
      <c r="E365" s="98"/>
      <c r="F365" s="99"/>
      <c r="G365" s="100"/>
      <c r="H365" s="100"/>
    </row>
    <row r="366" customHeight="1" spans="2:8">
      <c r="B366" s="98"/>
      <c r="C366" s="98"/>
      <c r="D366" s="98"/>
      <c r="E366" s="98"/>
      <c r="F366" s="99"/>
      <c r="G366" s="100"/>
      <c r="H366" s="100"/>
    </row>
    <row r="367" customHeight="1" spans="2:8">
      <c r="B367" s="98"/>
      <c r="C367" s="98"/>
      <c r="D367" s="98"/>
      <c r="E367" s="98"/>
      <c r="F367" s="99"/>
      <c r="G367" s="100"/>
      <c r="H367" s="100"/>
    </row>
    <row r="368" customHeight="1" spans="2:8">
      <c r="B368" s="98"/>
      <c r="C368" s="98"/>
      <c r="D368" s="98"/>
      <c r="E368" s="98"/>
      <c r="F368" s="99"/>
      <c r="G368" s="100"/>
      <c r="H368" s="100"/>
    </row>
    <row r="369" customHeight="1" spans="2:8">
      <c r="B369" s="98"/>
      <c r="C369" s="98"/>
      <c r="D369" s="98"/>
      <c r="E369" s="98"/>
      <c r="F369" s="99"/>
      <c r="G369" s="100"/>
      <c r="H369" s="100"/>
    </row>
    <row r="370" customHeight="1" spans="2:8">
      <c r="B370" s="98"/>
      <c r="C370" s="98"/>
      <c r="D370" s="98"/>
      <c r="E370" s="98"/>
      <c r="F370" s="99"/>
      <c r="G370" s="100"/>
      <c r="H370" s="100"/>
    </row>
    <row r="371" customHeight="1" spans="2:8">
      <c r="B371" s="98"/>
      <c r="C371" s="98"/>
      <c r="D371" s="98"/>
      <c r="E371" s="98"/>
      <c r="F371" s="99"/>
      <c r="G371" s="100"/>
      <c r="H371" s="100"/>
    </row>
    <row r="372" customHeight="1" spans="2:8">
      <c r="B372" s="98"/>
      <c r="C372" s="98"/>
      <c r="D372" s="98"/>
      <c r="E372" s="98"/>
      <c r="F372" s="99"/>
      <c r="G372" s="100"/>
      <c r="H372" s="100"/>
    </row>
    <row r="373" customHeight="1" spans="2:8">
      <c r="B373" s="98"/>
      <c r="C373" s="98"/>
      <c r="D373" s="98"/>
      <c r="E373" s="98"/>
      <c r="F373" s="99"/>
      <c r="G373" s="100"/>
      <c r="H373" s="100"/>
    </row>
    <row r="374" customHeight="1" spans="2:8">
      <c r="B374" s="98"/>
      <c r="C374" s="98"/>
      <c r="D374" s="98"/>
      <c r="E374" s="98"/>
      <c r="F374" s="99"/>
      <c r="G374" s="100"/>
      <c r="H374" s="100"/>
    </row>
    <row r="375" customHeight="1" spans="2:8">
      <c r="B375" s="98"/>
      <c r="C375" s="98"/>
      <c r="D375" s="98"/>
      <c r="E375" s="98"/>
      <c r="F375" s="99"/>
      <c r="G375" s="100"/>
      <c r="H375" s="100"/>
    </row>
    <row r="376" customHeight="1" spans="2:8">
      <c r="B376" s="98"/>
      <c r="C376" s="98"/>
      <c r="D376" s="98"/>
      <c r="E376" s="98"/>
      <c r="F376" s="99"/>
      <c r="G376" s="100"/>
      <c r="H376" s="100"/>
    </row>
    <row r="377" customHeight="1" spans="2:8">
      <c r="B377" s="98"/>
      <c r="C377" s="98"/>
      <c r="D377" s="98"/>
      <c r="E377" s="98"/>
      <c r="F377" s="99"/>
      <c r="G377" s="100"/>
      <c r="H377" s="100"/>
    </row>
    <row r="378" customHeight="1" spans="2:8">
      <c r="B378" s="98"/>
      <c r="C378" s="98"/>
      <c r="D378" s="98"/>
      <c r="E378" s="98"/>
      <c r="F378" s="99"/>
      <c r="G378" s="100"/>
      <c r="H378" s="100"/>
    </row>
    <row r="379" customHeight="1" spans="2:8">
      <c r="B379" s="98"/>
      <c r="C379" s="98"/>
      <c r="D379" s="98"/>
      <c r="E379" s="98"/>
      <c r="F379" s="99"/>
      <c r="G379" s="100"/>
      <c r="H379" s="100"/>
    </row>
    <row r="380" customHeight="1" spans="2:8">
      <c r="B380" s="98"/>
      <c r="C380" s="98"/>
      <c r="D380" s="98"/>
      <c r="E380" s="98"/>
      <c r="F380" s="99"/>
      <c r="G380" s="100"/>
      <c r="H380" s="100"/>
    </row>
    <row r="381" customHeight="1" spans="2:8">
      <c r="B381" s="98"/>
      <c r="C381" s="98"/>
      <c r="D381" s="98"/>
      <c r="E381" s="98"/>
      <c r="F381" s="99"/>
      <c r="G381" s="100"/>
      <c r="H381" s="100"/>
    </row>
    <row r="382" customHeight="1" spans="2:8">
      <c r="B382" s="98"/>
      <c r="C382" s="98"/>
      <c r="D382" s="98"/>
      <c r="E382" s="98"/>
      <c r="F382" s="99"/>
      <c r="G382" s="100"/>
      <c r="H382" s="100"/>
    </row>
    <row r="383" customHeight="1" spans="2:8">
      <c r="B383" s="98"/>
      <c r="C383" s="98"/>
      <c r="D383" s="98"/>
      <c r="E383" s="98"/>
      <c r="F383" s="99"/>
      <c r="G383" s="100"/>
      <c r="H383" s="100"/>
    </row>
    <row r="384" customHeight="1" spans="2:8">
      <c r="B384" s="98"/>
      <c r="C384" s="98"/>
      <c r="D384" s="98"/>
      <c r="E384" s="98"/>
      <c r="F384" s="99"/>
      <c r="G384" s="100"/>
      <c r="H384" s="100"/>
    </row>
    <row r="385" customHeight="1" spans="2:8">
      <c r="B385" s="98"/>
      <c r="C385" s="98"/>
      <c r="D385" s="98"/>
      <c r="E385" s="98"/>
      <c r="F385" s="99"/>
      <c r="G385" s="100"/>
      <c r="H385" s="100"/>
    </row>
    <row r="386" customHeight="1" spans="2:8">
      <c r="B386" s="98"/>
      <c r="C386" s="98"/>
      <c r="D386" s="98"/>
      <c r="E386" s="98"/>
      <c r="F386" s="99"/>
      <c r="G386" s="100"/>
      <c r="H386" s="100"/>
    </row>
    <row r="387" customHeight="1" spans="2:8">
      <c r="B387" s="98"/>
      <c r="C387" s="98"/>
      <c r="D387" s="98"/>
      <c r="E387" s="98"/>
      <c r="F387" s="99"/>
      <c r="G387" s="100"/>
      <c r="H387" s="100"/>
    </row>
    <row r="388" customHeight="1" spans="2:8">
      <c r="B388" s="98"/>
      <c r="C388" s="98"/>
      <c r="D388" s="98"/>
      <c r="E388" s="98"/>
      <c r="F388" s="99"/>
      <c r="G388" s="100"/>
      <c r="H388" s="100"/>
    </row>
    <row r="389" customHeight="1" spans="2:8">
      <c r="B389" s="98"/>
      <c r="C389" s="98"/>
      <c r="D389" s="98"/>
      <c r="E389" s="98"/>
      <c r="F389" s="99"/>
      <c r="G389" s="100"/>
      <c r="H389" s="100"/>
    </row>
    <row r="390" customHeight="1" spans="2:8">
      <c r="B390" s="98"/>
      <c r="C390" s="98"/>
      <c r="D390" s="98"/>
      <c r="E390" s="98"/>
      <c r="F390" s="99"/>
      <c r="G390" s="100"/>
      <c r="H390" s="100"/>
    </row>
    <row r="391" customHeight="1" spans="2:8">
      <c r="B391" s="98"/>
      <c r="C391" s="98"/>
      <c r="D391" s="98"/>
      <c r="E391" s="98"/>
      <c r="F391" s="99"/>
      <c r="G391" s="100"/>
      <c r="H391" s="100"/>
    </row>
    <row r="392" customHeight="1" spans="2:8">
      <c r="B392" s="98"/>
      <c r="C392" s="98"/>
      <c r="D392" s="98"/>
      <c r="E392" s="98"/>
      <c r="F392" s="99"/>
      <c r="G392" s="100"/>
      <c r="H392" s="100"/>
    </row>
    <row r="393" customHeight="1" spans="2:8">
      <c r="B393" s="98"/>
      <c r="C393" s="98"/>
      <c r="D393" s="98"/>
      <c r="E393" s="98"/>
      <c r="F393" s="99"/>
      <c r="G393" s="100"/>
      <c r="H393" s="100"/>
    </row>
    <row r="394" customHeight="1" spans="2:8">
      <c r="B394" s="98"/>
      <c r="C394" s="98"/>
      <c r="D394" s="98"/>
      <c r="E394" s="98"/>
      <c r="F394" s="99"/>
      <c r="G394" s="100"/>
      <c r="H394" s="100"/>
    </row>
    <row r="395" customHeight="1" spans="2:8">
      <c r="B395" s="98"/>
      <c r="C395" s="98"/>
      <c r="D395" s="98"/>
      <c r="E395" s="98"/>
      <c r="F395" s="99"/>
      <c r="G395" s="100"/>
      <c r="H395" s="100"/>
    </row>
    <row r="396" customHeight="1" spans="2:8">
      <c r="B396" s="98"/>
      <c r="C396" s="98"/>
      <c r="D396" s="98"/>
      <c r="E396" s="98"/>
      <c r="F396" s="99"/>
      <c r="G396" s="100"/>
      <c r="H396" s="100"/>
    </row>
    <row r="397" customHeight="1" spans="2:8">
      <c r="B397" s="98"/>
      <c r="C397" s="98"/>
      <c r="D397" s="98"/>
      <c r="E397" s="98"/>
      <c r="F397" s="99"/>
      <c r="G397" s="100"/>
      <c r="H397" s="100"/>
    </row>
    <row r="398" customHeight="1" spans="2:8">
      <c r="B398" s="98"/>
      <c r="C398" s="98"/>
      <c r="D398" s="98"/>
      <c r="E398" s="98"/>
      <c r="F398" s="99"/>
      <c r="G398" s="100"/>
      <c r="H398" s="100"/>
    </row>
    <row r="399" customHeight="1" spans="2:8">
      <c r="B399" s="98"/>
      <c r="C399" s="98"/>
      <c r="D399" s="98"/>
      <c r="E399" s="98"/>
      <c r="F399" s="99"/>
      <c r="G399" s="100"/>
      <c r="H399" s="100"/>
    </row>
    <row r="400" customHeight="1" spans="2:8">
      <c r="B400" s="98"/>
      <c r="C400" s="98"/>
      <c r="D400" s="98"/>
      <c r="E400" s="98"/>
      <c r="F400" s="99"/>
      <c r="G400" s="100"/>
      <c r="H400" s="100"/>
    </row>
    <row r="401" customHeight="1" spans="2:8">
      <c r="B401" s="98"/>
      <c r="C401" s="98"/>
      <c r="D401" s="98"/>
      <c r="E401" s="98"/>
      <c r="F401" s="99"/>
      <c r="G401" s="100"/>
      <c r="H401" s="100"/>
    </row>
    <row r="402" customHeight="1" spans="2:8">
      <c r="B402" s="98"/>
      <c r="C402" s="98"/>
      <c r="D402" s="98"/>
      <c r="E402" s="98"/>
      <c r="F402" s="99"/>
      <c r="G402" s="100"/>
      <c r="H402" s="100"/>
    </row>
    <row r="403" customHeight="1" spans="2:8">
      <c r="B403" s="98"/>
      <c r="C403" s="98"/>
      <c r="D403" s="98"/>
      <c r="E403" s="98"/>
      <c r="F403" s="99"/>
      <c r="G403" s="100"/>
      <c r="H403" s="100"/>
    </row>
    <row r="404" customHeight="1" spans="2:8">
      <c r="B404" s="98"/>
      <c r="C404" s="98"/>
      <c r="D404" s="98"/>
      <c r="E404" s="98"/>
      <c r="F404" s="99"/>
      <c r="G404" s="100"/>
      <c r="H404" s="100"/>
    </row>
    <row r="405" customHeight="1" spans="2:8">
      <c r="B405" s="98"/>
      <c r="C405" s="98"/>
      <c r="D405" s="98"/>
      <c r="E405" s="98"/>
      <c r="F405" s="99"/>
      <c r="G405" s="100"/>
      <c r="H405" s="100"/>
    </row>
    <row r="406" customHeight="1" spans="2:8">
      <c r="B406" s="98"/>
      <c r="C406" s="98"/>
      <c r="D406" s="98"/>
      <c r="E406" s="98"/>
      <c r="F406" s="99"/>
      <c r="G406" s="100"/>
      <c r="H406" s="100"/>
    </row>
    <row r="407" customHeight="1" spans="2:8">
      <c r="B407" s="98"/>
      <c r="C407" s="98"/>
      <c r="D407" s="98"/>
      <c r="E407" s="98"/>
      <c r="F407" s="99"/>
      <c r="G407" s="100"/>
      <c r="H407" s="100"/>
    </row>
    <row r="408" customHeight="1" spans="2:8">
      <c r="B408" s="98"/>
      <c r="C408" s="98"/>
      <c r="D408" s="98"/>
      <c r="E408" s="98"/>
      <c r="F408" s="99"/>
      <c r="G408" s="100"/>
      <c r="H408" s="100"/>
    </row>
    <row r="409" customHeight="1" spans="2:8">
      <c r="B409" s="98"/>
      <c r="C409" s="98"/>
      <c r="D409" s="98"/>
      <c r="E409" s="98"/>
      <c r="F409" s="99"/>
      <c r="G409" s="100"/>
      <c r="H409" s="100"/>
    </row>
    <row r="410" customHeight="1" spans="2:8">
      <c r="B410" s="98"/>
      <c r="C410" s="98"/>
      <c r="D410" s="98"/>
      <c r="E410" s="98"/>
      <c r="F410" s="99"/>
      <c r="G410" s="100"/>
      <c r="H410" s="100"/>
    </row>
    <row r="411" customHeight="1" spans="2:8">
      <c r="B411" s="98"/>
      <c r="C411" s="98"/>
      <c r="D411" s="98"/>
      <c r="E411" s="98"/>
      <c r="F411" s="99"/>
      <c r="G411" s="100"/>
      <c r="H411" s="100"/>
    </row>
    <row r="412" customHeight="1" spans="2:8">
      <c r="B412" s="98"/>
      <c r="C412" s="98"/>
      <c r="D412" s="98"/>
      <c r="E412" s="98"/>
      <c r="F412" s="99"/>
      <c r="G412" s="100"/>
      <c r="H412" s="100"/>
    </row>
    <row r="413" customHeight="1" spans="2:8">
      <c r="B413" s="98"/>
      <c r="C413" s="98"/>
      <c r="D413" s="98"/>
      <c r="E413" s="98"/>
      <c r="F413" s="99"/>
      <c r="G413" s="100"/>
      <c r="H413" s="100"/>
    </row>
    <row r="414" customHeight="1" spans="2:8">
      <c r="B414" s="98"/>
      <c r="C414" s="98"/>
      <c r="D414" s="98"/>
      <c r="E414" s="98"/>
      <c r="F414" s="99"/>
      <c r="G414" s="100"/>
      <c r="H414" s="100"/>
    </row>
    <row r="415" customHeight="1" spans="2:8">
      <c r="B415" s="98"/>
      <c r="C415" s="98"/>
      <c r="D415" s="98"/>
      <c r="E415" s="98"/>
      <c r="F415" s="99"/>
      <c r="G415" s="100"/>
      <c r="H415" s="100"/>
    </row>
    <row r="416" customHeight="1" spans="2:8">
      <c r="B416" s="98"/>
      <c r="C416" s="98"/>
      <c r="D416" s="98"/>
      <c r="E416" s="98"/>
      <c r="F416" s="99"/>
      <c r="G416" s="100"/>
      <c r="H416" s="100"/>
    </row>
    <row r="417" customHeight="1" spans="2:8">
      <c r="B417" s="98"/>
      <c r="C417" s="98"/>
      <c r="D417" s="98"/>
      <c r="E417" s="98"/>
      <c r="F417" s="99"/>
      <c r="G417" s="100"/>
      <c r="H417" s="100"/>
    </row>
    <row r="418" customHeight="1" spans="2:8">
      <c r="B418" s="98"/>
      <c r="C418" s="98"/>
      <c r="D418" s="98"/>
      <c r="E418" s="98"/>
      <c r="F418" s="99"/>
      <c r="G418" s="100"/>
      <c r="H418" s="100"/>
    </row>
    <row r="419" customHeight="1" spans="2:8">
      <c r="B419" s="98"/>
      <c r="C419" s="98"/>
      <c r="D419" s="98"/>
      <c r="E419" s="98"/>
      <c r="F419" s="99"/>
      <c r="G419" s="100"/>
      <c r="H419" s="100"/>
    </row>
    <row r="420" customHeight="1" spans="2:8">
      <c r="B420" s="98"/>
      <c r="C420" s="98"/>
      <c r="D420" s="98"/>
      <c r="E420" s="98"/>
      <c r="F420" s="99"/>
      <c r="G420" s="100"/>
      <c r="H420" s="100"/>
    </row>
    <row r="421" customHeight="1" spans="2:8">
      <c r="B421" s="98"/>
      <c r="C421" s="98"/>
      <c r="D421" s="98"/>
      <c r="E421" s="98"/>
      <c r="F421" s="99"/>
      <c r="G421" s="100"/>
      <c r="H421" s="100"/>
    </row>
    <row r="422" customHeight="1" spans="2:8">
      <c r="B422" s="98"/>
      <c r="C422" s="98"/>
      <c r="D422" s="98"/>
      <c r="E422" s="98"/>
      <c r="F422" s="99"/>
      <c r="G422" s="100"/>
      <c r="H422" s="100"/>
    </row>
    <row r="423" customHeight="1" spans="2:8">
      <c r="B423" s="98"/>
      <c r="C423" s="98"/>
      <c r="D423" s="98"/>
      <c r="E423" s="98"/>
      <c r="F423" s="99"/>
      <c r="G423" s="100"/>
      <c r="H423" s="100"/>
    </row>
    <row r="424" customHeight="1" spans="2:8">
      <c r="B424" s="98"/>
      <c r="C424" s="98"/>
      <c r="D424" s="98"/>
      <c r="E424" s="98"/>
      <c r="F424" s="99"/>
      <c r="G424" s="100"/>
      <c r="H424" s="100"/>
    </row>
    <row r="425" customHeight="1" spans="2:8">
      <c r="B425" s="98"/>
      <c r="C425" s="98"/>
      <c r="D425" s="98"/>
      <c r="E425" s="98"/>
      <c r="F425" s="99"/>
      <c r="G425" s="100"/>
      <c r="H425" s="100"/>
    </row>
    <row r="426" customHeight="1" spans="2:8">
      <c r="B426" s="98"/>
      <c r="C426" s="98"/>
      <c r="D426" s="98"/>
      <c r="E426" s="98"/>
      <c r="F426" s="99"/>
      <c r="G426" s="100"/>
      <c r="H426" s="100"/>
    </row>
    <row r="427" customHeight="1" spans="2:8">
      <c r="B427" s="98"/>
      <c r="C427" s="98"/>
      <c r="D427" s="98"/>
      <c r="E427" s="98"/>
      <c r="F427" s="99"/>
      <c r="G427" s="100"/>
      <c r="H427" s="100"/>
    </row>
    <row r="428" customHeight="1" spans="2:8">
      <c r="B428" s="98"/>
      <c r="C428" s="98"/>
      <c r="D428" s="98"/>
      <c r="E428" s="98"/>
      <c r="F428" s="99"/>
      <c r="G428" s="100"/>
      <c r="H428" s="100"/>
    </row>
    <row r="429" customHeight="1" spans="2:8">
      <c r="B429" s="98"/>
      <c r="C429" s="98"/>
      <c r="D429" s="98"/>
      <c r="E429" s="98"/>
      <c r="F429" s="99"/>
      <c r="G429" s="100"/>
      <c r="H429" s="100"/>
    </row>
    <row r="430" customHeight="1" spans="2:8">
      <c r="B430" s="98"/>
      <c r="C430" s="98"/>
      <c r="D430" s="98"/>
      <c r="E430" s="98"/>
      <c r="F430" s="99"/>
      <c r="G430" s="100"/>
      <c r="H430" s="100"/>
    </row>
    <row r="431" customHeight="1" spans="2:8">
      <c r="B431" s="98"/>
      <c r="C431" s="98"/>
      <c r="D431" s="98"/>
      <c r="E431" s="98"/>
      <c r="F431" s="99"/>
      <c r="G431" s="100"/>
      <c r="H431" s="100"/>
    </row>
    <row r="432" customHeight="1" spans="2:8">
      <c r="B432" s="98"/>
      <c r="C432" s="98"/>
      <c r="D432" s="98"/>
      <c r="E432" s="98"/>
      <c r="F432" s="99"/>
      <c r="G432" s="100"/>
      <c r="H432" s="100"/>
    </row>
    <row r="433" customHeight="1" spans="2:8">
      <c r="B433" s="98"/>
      <c r="C433" s="98"/>
      <c r="D433" s="98"/>
      <c r="E433" s="98"/>
      <c r="F433" s="99"/>
      <c r="G433" s="100"/>
      <c r="H433" s="100"/>
    </row>
    <row r="434" customHeight="1" spans="2:8">
      <c r="B434" s="98"/>
      <c r="C434" s="98"/>
      <c r="D434" s="98"/>
      <c r="E434" s="98"/>
      <c r="F434" s="99"/>
      <c r="G434" s="100"/>
      <c r="H434" s="100"/>
    </row>
    <row r="435" customHeight="1" spans="2:8">
      <c r="B435" s="98"/>
      <c r="C435" s="98"/>
      <c r="D435" s="98"/>
      <c r="E435" s="98"/>
      <c r="F435" s="99"/>
      <c r="G435" s="100"/>
      <c r="H435" s="100"/>
    </row>
    <row r="436" customHeight="1" spans="2:8">
      <c r="B436" s="98"/>
      <c r="C436" s="98"/>
      <c r="D436" s="98"/>
      <c r="E436" s="98"/>
      <c r="F436" s="99"/>
      <c r="G436" s="100"/>
      <c r="H436" s="100"/>
    </row>
    <row r="437" customHeight="1" spans="2:8">
      <c r="B437" s="98"/>
      <c r="C437" s="98"/>
      <c r="D437" s="98"/>
      <c r="E437" s="98"/>
      <c r="F437" s="99"/>
      <c r="G437" s="100"/>
      <c r="H437" s="100"/>
    </row>
    <row r="438" customHeight="1" spans="2:8">
      <c r="B438" s="98"/>
      <c r="C438" s="98"/>
      <c r="D438" s="98"/>
      <c r="E438" s="98"/>
      <c r="F438" s="99"/>
      <c r="G438" s="100"/>
      <c r="H438" s="100"/>
    </row>
    <row r="439" customHeight="1" spans="2:8">
      <c r="B439" s="98"/>
      <c r="C439" s="98"/>
      <c r="D439" s="98"/>
      <c r="E439" s="98"/>
      <c r="F439" s="99"/>
      <c r="G439" s="100"/>
      <c r="H439" s="100"/>
    </row>
    <row r="440" customHeight="1" spans="2:8">
      <c r="B440" s="98"/>
      <c r="C440" s="98"/>
      <c r="D440" s="98"/>
      <c r="E440" s="98"/>
      <c r="F440" s="99"/>
      <c r="G440" s="100"/>
      <c r="H440" s="100"/>
    </row>
    <row r="441" customHeight="1" spans="2:8">
      <c r="B441" s="98"/>
      <c r="C441" s="98"/>
      <c r="D441" s="98"/>
      <c r="E441" s="98"/>
      <c r="F441" s="99"/>
      <c r="G441" s="100"/>
      <c r="H441" s="100"/>
    </row>
    <row r="442" customHeight="1" spans="2:8">
      <c r="B442" s="98"/>
      <c r="C442" s="98"/>
      <c r="D442" s="98"/>
      <c r="E442" s="98"/>
      <c r="F442" s="99"/>
      <c r="G442" s="100"/>
      <c r="H442" s="100"/>
    </row>
    <row r="443" customHeight="1" spans="2:8">
      <c r="B443" s="98"/>
      <c r="C443" s="98"/>
      <c r="D443" s="98"/>
      <c r="E443" s="98"/>
      <c r="F443" s="99"/>
      <c r="G443" s="100"/>
      <c r="H443" s="100"/>
    </row>
    <row r="444" customHeight="1" spans="2:8">
      <c r="B444" s="98"/>
      <c r="C444" s="98"/>
      <c r="D444" s="98"/>
      <c r="E444" s="98"/>
      <c r="F444" s="99"/>
      <c r="G444" s="100"/>
      <c r="H444" s="100"/>
    </row>
    <row r="445" customHeight="1" spans="2:8">
      <c r="B445" s="98"/>
      <c r="C445" s="98"/>
      <c r="D445" s="98"/>
      <c r="E445" s="98"/>
      <c r="F445" s="99"/>
      <c r="G445" s="100"/>
      <c r="H445" s="100"/>
    </row>
    <row r="446" customHeight="1" spans="2:8">
      <c r="B446" s="98"/>
      <c r="C446" s="98"/>
      <c r="D446" s="98"/>
      <c r="E446" s="98"/>
      <c r="F446" s="99"/>
      <c r="G446" s="100"/>
      <c r="H446" s="100"/>
    </row>
    <row r="447" customHeight="1" spans="2:8">
      <c r="B447" s="98"/>
      <c r="C447" s="98"/>
      <c r="D447" s="98"/>
      <c r="E447" s="98"/>
      <c r="F447" s="99"/>
      <c r="G447" s="100"/>
      <c r="H447" s="100"/>
    </row>
    <row r="448" customHeight="1" spans="2:8">
      <c r="B448" s="98"/>
      <c r="C448" s="98"/>
      <c r="D448" s="98"/>
      <c r="E448" s="98"/>
      <c r="F448" s="99"/>
      <c r="G448" s="100"/>
      <c r="H448" s="100"/>
    </row>
    <row r="449" customHeight="1" spans="2:8">
      <c r="B449" s="98"/>
      <c r="C449" s="98"/>
      <c r="D449" s="98"/>
      <c r="E449" s="98"/>
      <c r="F449" s="99"/>
      <c r="G449" s="100"/>
      <c r="H449" s="100"/>
    </row>
    <row r="450" customHeight="1" spans="2:8">
      <c r="B450" s="98"/>
      <c r="C450" s="98"/>
      <c r="D450" s="98"/>
      <c r="E450" s="98"/>
      <c r="F450" s="99"/>
      <c r="G450" s="100"/>
      <c r="H450" s="100"/>
    </row>
    <row r="451" customHeight="1" spans="2:8">
      <c r="B451" s="98"/>
      <c r="C451" s="98"/>
      <c r="D451" s="98"/>
      <c r="E451" s="98"/>
      <c r="F451" s="99"/>
      <c r="G451" s="100"/>
      <c r="H451" s="100"/>
    </row>
    <row r="452" customHeight="1" spans="2:8">
      <c r="B452" s="98"/>
      <c r="C452" s="98"/>
      <c r="D452" s="98"/>
      <c r="E452" s="98"/>
      <c r="F452" s="99"/>
      <c r="G452" s="100"/>
      <c r="H452" s="100"/>
    </row>
    <row r="453" customHeight="1" spans="2:8">
      <c r="B453" s="98"/>
      <c r="C453" s="98"/>
      <c r="D453" s="98"/>
      <c r="E453" s="98"/>
      <c r="F453" s="99"/>
      <c r="G453" s="100"/>
      <c r="H453" s="100"/>
    </row>
    <row r="454" customHeight="1" spans="2:8">
      <c r="B454" s="98"/>
      <c r="C454" s="98"/>
      <c r="D454" s="98"/>
      <c r="E454" s="98"/>
      <c r="F454" s="99"/>
      <c r="G454" s="100"/>
      <c r="H454" s="100"/>
    </row>
    <row r="455" customHeight="1" spans="2:8">
      <c r="B455" s="98"/>
      <c r="C455" s="98"/>
      <c r="D455" s="98"/>
      <c r="E455" s="98"/>
      <c r="F455" s="99"/>
      <c r="G455" s="100"/>
      <c r="H455" s="100"/>
    </row>
    <row r="456" customHeight="1" spans="2:8">
      <c r="B456" s="98"/>
      <c r="C456" s="98"/>
      <c r="D456" s="98"/>
      <c r="E456" s="98"/>
      <c r="F456" s="99"/>
      <c r="G456" s="100"/>
      <c r="H456" s="100"/>
    </row>
    <row r="457" customHeight="1" spans="2:8">
      <c r="B457" s="98"/>
      <c r="C457" s="98"/>
      <c r="D457" s="98"/>
      <c r="E457" s="98"/>
      <c r="F457" s="99"/>
      <c r="G457" s="100"/>
      <c r="H457" s="100"/>
    </row>
    <row r="458" customHeight="1" spans="2:8">
      <c r="B458" s="98"/>
      <c r="C458" s="98"/>
      <c r="D458" s="98"/>
      <c r="E458" s="98"/>
      <c r="F458" s="99"/>
      <c r="G458" s="100"/>
      <c r="H458" s="100"/>
    </row>
    <row r="459" customHeight="1" spans="2:8">
      <c r="B459" s="98"/>
      <c r="C459" s="98"/>
      <c r="D459" s="98"/>
      <c r="E459" s="98"/>
      <c r="F459" s="99"/>
      <c r="G459" s="100"/>
      <c r="H459" s="100"/>
    </row>
    <row r="460" customHeight="1" spans="2:8">
      <c r="B460" s="98"/>
      <c r="C460" s="98"/>
      <c r="D460" s="98"/>
      <c r="E460" s="98"/>
      <c r="F460" s="99"/>
      <c r="G460" s="100"/>
      <c r="H460" s="100"/>
    </row>
    <row r="461" customHeight="1" spans="2:8">
      <c r="B461" s="98"/>
      <c r="C461" s="98"/>
      <c r="D461" s="98"/>
      <c r="E461" s="98"/>
      <c r="F461" s="99"/>
      <c r="G461" s="100"/>
      <c r="H461" s="100"/>
    </row>
    <row r="462" customHeight="1" spans="2:8">
      <c r="B462" s="98"/>
      <c r="C462" s="98"/>
      <c r="D462" s="98"/>
      <c r="E462" s="98"/>
      <c r="F462" s="99"/>
      <c r="G462" s="100"/>
      <c r="H462" s="100"/>
    </row>
    <row r="463" customHeight="1" spans="2:8">
      <c r="B463" s="98"/>
      <c r="C463" s="98"/>
      <c r="D463" s="98"/>
      <c r="E463" s="98"/>
      <c r="F463" s="99"/>
      <c r="G463" s="100"/>
      <c r="H463" s="100"/>
    </row>
    <row r="464" customHeight="1" spans="2:8">
      <c r="B464" s="98"/>
      <c r="C464" s="98"/>
      <c r="D464" s="98"/>
      <c r="E464" s="98"/>
      <c r="F464" s="99"/>
      <c r="G464" s="100"/>
      <c r="H464" s="100"/>
    </row>
    <row r="465" customHeight="1" spans="2:8">
      <c r="B465" s="98"/>
      <c r="C465" s="98"/>
      <c r="D465" s="98"/>
      <c r="E465" s="98"/>
      <c r="F465" s="99"/>
      <c r="G465" s="100"/>
      <c r="H465" s="100"/>
    </row>
    <row r="466" customHeight="1" spans="2:8">
      <c r="B466" s="98"/>
      <c r="C466" s="98"/>
      <c r="D466" s="98"/>
      <c r="E466" s="98"/>
      <c r="F466" s="99"/>
      <c r="G466" s="100"/>
      <c r="H466" s="100"/>
    </row>
    <row r="467" customHeight="1" spans="2:8">
      <c r="B467" s="98"/>
      <c r="C467" s="98"/>
      <c r="D467" s="98"/>
      <c r="E467" s="98"/>
      <c r="F467" s="99"/>
      <c r="G467" s="100"/>
      <c r="H467" s="100"/>
    </row>
    <row r="468" customHeight="1" spans="2:8">
      <c r="B468" s="98"/>
      <c r="C468" s="98"/>
      <c r="D468" s="98"/>
      <c r="E468" s="98"/>
      <c r="F468" s="99"/>
      <c r="G468" s="100"/>
      <c r="H468" s="100"/>
    </row>
    <row r="469" customHeight="1" spans="2:8">
      <c r="B469" s="98"/>
      <c r="C469" s="98"/>
      <c r="D469" s="98"/>
      <c r="E469" s="98"/>
      <c r="F469" s="99"/>
      <c r="G469" s="100"/>
      <c r="H469" s="100"/>
    </row>
    <row r="470" customHeight="1" spans="2:8">
      <c r="B470" s="98"/>
      <c r="C470" s="98"/>
      <c r="D470" s="98"/>
      <c r="E470" s="98"/>
      <c r="F470" s="99"/>
      <c r="G470" s="100"/>
      <c r="H470" s="100"/>
    </row>
    <row r="471" customHeight="1" spans="2:8">
      <c r="B471" s="98"/>
      <c r="C471" s="98"/>
      <c r="D471" s="98"/>
      <c r="E471" s="98"/>
      <c r="F471" s="99"/>
      <c r="G471" s="100"/>
      <c r="H471" s="100"/>
    </row>
    <row r="472" customHeight="1" spans="2:8">
      <c r="B472" s="98"/>
      <c r="C472" s="98"/>
      <c r="D472" s="98"/>
      <c r="E472" s="98"/>
      <c r="F472" s="99"/>
      <c r="G472" s="100"/>
      <c r="H472" s="100"/>
    </row>
    <row r="473" customHeight="1" spans="2:8">
      <c r="B473" s="98"/>
      <c r="C473" s="98"/>
      <c r="D473" s="98"/>
      <c r="E473" s="98"/>
      <c r="F473" s="99"/>
      <c r="G473" s="100"/>
      <c r="H473" s="100"/>
    </row>
    <row r="474" customHeight="1" spans="2:8">
      <c r="B474" s="98"/>
      <c r="C474" s="98"/>
      <c r="D474" s="98"/>
      <c r="E474" s="98"/>
      <c r="F474" s="99"/>
      <c r="G474" s="100"/>
      <c r="H474" s="100"/>
    </row>
    <row r="475" customHeight="1" spans="2:8">
      <c r="B475" s="98"/>
      <c r="C475" s="98"/>
      <c r="D475" s="98"/>
      <c r="E475" s="98"/>
      <c r="F475" s="99"/>
      <c r="G475" s="100"/>
      <c r="H475" s="100"/>
    </row>
    <row r="476" customHeight="1" spans="2:8">
      <c r="B476" s="98"/>
      <c r="C476" s="98"/>
      <c r="D476" s="98"/>
      <c r="E476" s="98"/>
      <c r="F476" s="99"/>
      <c r="G476" s="100"/>
      <c r="H476" s="100"/>
    </row>
    <row r="477" customHeight="1" spans="2:8">
      <c r="B477" s="98"/>
      <c r="C477" s="98"/>
      <c r="D477" s="98"/>
      <c r="E477" s="98"/>
      <c r="F477" s="99"/>
      <c r="G477" s="100"/>
      <c r="H477" s="100"/>
    </row>
    <row r="478" customHeight="1" spans="2:8">
      <c r="B478" s="98"/>
      <c r="C478" s="98"/>
      <c r="D478" s="98"/>
      <c r="E478" s="98"/>
      <c r="F478" s="99"/>
      <c r="G478" s="100"/>
      <c r="H478" s="100"/>
    </row>
    <row r="479" customHeight="1" spans="2:8">
      <c r="B479" s="98"/>
      <c r="C479" s="98"/>
      <c r="D479" s="98"/>
      <c r="E479" s="98"/>
      <c r="F479" s="99"/>
      <c r="G479" s="100"/>
      <c r="H479" s="100"/>
    </row>
    <row r="480" customHeight="1" spans="2:8">
      <c r="B480" s="98"/>
      <c r="C480" s="98"/>
      <c r="D480" s="98"/>
      <c r="E480" s="98"/>
      <c r="F480" s="99"/>
      <c r="G480" s="100"/>
      <c r="H480" s="100"/>
    </row>
    <row r="481" customHeight="1" spans="2:8">
      <c r="B481" s="98"/>
      <c r="C481" s="98"/>
      <c r="D481" s="98"/>
      <c r="E481" s="98"/>
      <c r="F481" s="99"/>
      <c r="G481" s="100"/>
      <c r="H481" s="100"/>
    </row>
    <row r="482" customHeight="1" spans="2:8">
      <c r="B482" s="98"/>
      <c r="C482" s="98"/>
      <c r="D482" s="98"/>
      <c r="E482" s="98"/>
      <c r="F482" s="99"/>
      <c r="G482" s="100"/>
      <c r="H482" s="100"/>
    </row>
    <row r="483" customHeight="1" spans="2:8">
      <c r="B483" s="98"/>
      <c r="C483" s="98"/>
      <c r="D483" s="98"/>
      <c r="E483" s="98"/>
      <c r="F483" s="99"/>
      <c r="G483" s="100"/>
      <c r="H483" s="100"/>
    </row>
    <row r="484" customHeight="1" spans="2:8">
      <c r="B484" s="98"/>
      <c r="C484" s="98"/>
      <c r="D484" s="98"/>
      <c r="E484" s="98"/>
      <c r="F484" s="99"/>
      <c r="G484" s="100"/>
      <c r="H484" s="100"/>
    </row>
    <row r="485" customHeight="1" spans="2:8">
      <c r="B485" s="98"/>
      <c r="C485" s="98"/>
      <c r="D485" s="98"/>
      <c r="E485" s="98"/>
      <c r="F485" s="99"/>
      <c r="G485" s="100"/>
      <c r="H485" s="100"/>
    </row>
    <row r="486" customHeight="1" spans="2:8">
      <c r="B486" s="98"/>
      <c r="C486" s="98"/>
      <c r="D486" s="98"/>
      <c r="E486" s="98"/>
      <c r="F486" s="99"/>
      <c r="G486" s="100"/>
      <c r="H486" s="100"/>
    </row>
    <row r="487" customHeight="1" spans="2:8">
      <c r="B487" s="98"/>
      <c r="C487" s="98"/>
      <c r="D487" s="98"/>
      <c r="E487" s="98"/>
      <c r="F487" s="99"/>
      <c r="G487" s="100"/>
      <c r="H487" s="100"/>
    </row>
    <row r="488" customHeight="1" spans="2:8">
      <c r="B488" s="98"/>
      <c r="C488" s="98"/>
      <c r="D488" s="98"/>
      <c r="E488" s="98"/>
      <c r="F488" s="99"/>
      <c r="G488" s="100"/>
      <c r="H488" s="100"/>
    </row>
    <row r="489" customHeight="1" spans="2:8">
      <c r="B489" s="98"/>
      <c r="C489" s="98"/>
      <c r="D489" s="98"/>
      <c r="E489" s="98"/>
      <c r="F489" s="99"/>
      <c r="G489" s="100"/>
      <c r="H489" s="100"/>
    </row>
    <row r="490" customHeight="1" spans="2:8">
      <c r="B490" s="98"/>
      <c r="C490" s="98"/>
      <c r="D490" s="98"/>
      <c r="E490" s="98"/>
      <c r="F490" s="99"/>
      <c r="G490" s="100"/>
      <c r="H490" s="100"/>
    </row>
    <row r="491" customHeight="1" spans="2:8">
      <c r="B491" s="98"/>
      <c r="C491" s="98"/>
      <c r="D491" s="98"/>
      <c r="E491" s="98"/>
      <c r="F491" s="99"/>
      <c r="G491" s="100"/>
      <c r="H491" s="100"/>
    </row>
    <row r="492" customHeight="1" spans="2:8">
      <c r="B492" s="98"/>
      <c r="C492" s="98"/>
      <c r="D492" s="98"/>
      <c r="E492" s="98"/>
      <c r="F492" s="99"/>
      <c r="G492" s="100"/>
      <c r="H492" s="100"/>
    </row>
    <row r="493" customHeight="1" spans="2:8">
      <c r="B493" s="98"/>
      <c r="C493" s="98"/>
      <c r="D493" s="98"/>
      <c r="E493" s="98"/>
      <c r="F493" s="99"/>
      <c r="G493" s="100"/>
      <c r="H493" s="100"/>
    </row>
    <row r="494" customHeight="1" spans="2:8">
      <c r="B494" s="98"/>
      <c r="C494" s="98"/>
      <c r="D494" s="98"/>
      <c r="E494" s="98"/>
      <c r="F494" s="99"/>
      <c r="G494" s="100"/>
      <c r="H494" s="100"/>
    </row>
    <row r="495" customHeight="1" spans="2:8">
      <c r="B495" s="98"/>
      <c r="C495" s="98"/>
      <c r="D495" s="98"/>
      <c r="E495" s="98"/>
      <c r="F495" s="99"/>
      <c r="G495" s="100"/>
      <c r="H495" s="100"/>
    </row>
    <row r="496" customHeight="1" spans="2:8">
      <c r="B496" s="98"/>
      <c r="C496" s="98"/>
      <c r="D496" s="98"/>
      <c r="E496" s="98"/>
      <c r="F496" s="99"/>
      <c r="G496" s="100"/>
      <c r="H496" s="100"/>
    </row>
    <row r="497" customHeight="1" spans="2:8">
      <c r="B497" s="98"/>
      <c r="C497" s="98"/>
      <c r="D497" s="98"/>
      <c r="E497" s="98"/>
      <c r="F497" s="99"/>
      <c r="G497" s="100"/>
      <c r="H497" s="100"/>
    </row>
    <row r="498" customHeight="1" spans="2:8">
      <c r="B498" s="98"/>
      <c r="C498" s="98"/>
      <c r="D498" s="98"/>
      <c r="E498" s="98"/>
      <c r="F498" s="99"/>
      <c r="G498" s="100"/>
      <c r="H498" s="100"/>
    </row>
    <row r="499" customHeight="1" spans="2:8">
      <c r="B499" s="98"/>
      <c r="C499" s="98"/>
      <c r="D499" s="98"/>
      <c r="E499" s="98"/>
      <c r="F499" s="99"/>
      <c r="G499" s="100"/>
      <c r="H499" s="100"/>
    </row>
    <row r="500" customHeight="1" spans="2:8">
      <c r="B500" s="98"/>
      <c r="C500" s="98"/>
      <c r="D500" s="98"/>
      <c r="E500" s="98"/>
      <c r="F500" s="99"/>
      <c r="G500" s="100"/>
      <c r="H500" s="100"/>
    </row>
    <row r="501" customHeight="1" spans="2:8">
      <c r="B501" s="98"/>
      <c r="C501" s="98"/>
      <c r="D501" s="98"/>
      <c r="E501" s="98"/>
      <c r="F501" s="99"/>
      <c r="G501" s="100"/>
      <c r="H501" s="100"/>
    </row>
    <row r="502" customHeight="1" spans="2:8">
      <c r="B502" s="98"/>
      <c r="C502" s="98"/>
      <c r="D502" s="98"/>
      <c r="E502" s="98"/>
      <c r="F502" s="99"/>
      <c r="G502" s="100"/>
      <c r="H502" s="100"/>
    </row>
    <row r="503" customHeight="1" spans="2:8">
      <c r="B503" s="98"/>
      <c r="C503" s="98"/>
      <c r="D503" s="98"/>
      <c r="E503" s="98"/>
      <c r="F503" s="99"/>
      <c r="G503" s="100"/>
      <c r="H503" s="100"/>
    </row>
    <row r="504" customHeight="1" spans="2:8">
      <c r="B504" s="98"/>
      <c r="C504" s="98"/>
      <c r="D504" s="98"/>
      <c r="E504" s="98"/>
      <c r="F504" s="99"/>
      <c r="G504" s="100"/>
      <c r="H504" s="100"/>
    </row>
    <row r="505" customHeight="1" spans="2:8">
      <c r="B505" s="98"/>
      <c r="C505" s="98"/>
      <c r="D505" s="98"/>
      <c r="E505" s="98"/>
      <c r="F505" s="99"/>
      <c r="G505" s="100"/>
      <c r="H505" s="100"/>
    </row>
    <row r="506" customHeight="1" spans="2:8">
      <c r="B506" s="98"/>
      <c r="C506" s="98"/>
      <c r="D506" s="98"/>
      <c r="E506" s="98"/>
      <c r="F506" s="99"/>
      <c r="G506" s="100"/>
      <c r="H506" s="100"/>
    </row>
    <row r="507" customHeight="1" spans="2:8">
      <c r="B507" s="98"/>
      <c r="C507" s="98"/>
      <c r="D507" s="98"/>
      <c r="E507" s="98"/>
      <c r="F507" s="99"/>
      <c r="G507" s="100"/>
      <c r="H507" s="100"/>
    </row>
    <row r="508" customHeight="1" spans="2:8">
      <c r="B508" s="98"/>
      <c r="C508" s="98"/>
      <c r="D508" s="98"/>
      <c r="E508" s="98"/>
      <c r="F508" s="99"/>
      <c r="G508" s="100"/>
      <c r="H508" s="100"/>
    </row>
    <row r="509" customHeight="1" spans="2:8">
      <c r="B509" s="98"/>
      <c r="C509" s="98"/>
      <c r="D509" s="98"/>
      <c r="E509" s="98"/>
      <c r="F509" s="99"/>
      <c r="G509" s="100"/>
      <c r="H509" s="100"/>
    </row>
    <row r="510" customHeight="1" spans="2:8">
      <c r="B510" s="98"/>
      <c r="C510" s="98"/>
      <c r="D510" s="98"/>
      <c r="E510" s="98"/>
      <c r="F510" s="99"/>
      <c r="G510" s="100"/>
      <c r="H510" s="100"/>
    </row>
    <row r="511" customHeight="1" spans="2:8">
      <c r="B511" s="98"/>
      <c r="C511" s="98"/>
      <c r="D511" s="98"/>
      <c r="E511" s="98"/>
      <c r="F511" s="99"/>
      <c r="G511" s="100"/>
      <c r="H511" s="100"/>
    </row>
    <row r="512" customHeight="1" spans="2:8">
      <c r="B512" s="98"/>
      <c r="C512" s="98"/>
      <c r="D512" s="98"/>
      <c r="E512" s="98"/>
      <c r="F512" s="99"/>
      <c r="G512" s="100"/>
      <c r="H512" s="100"/>
    </row>
    <row r="513" customHeight="1" spans="2:8">
      <c r="B513" s="98"/>
      <c r="C513" s="98"/>
      <c r="D513" s="98"/>
      <c r="E513" s="98"/>
      <c r="F513" s="99"/>
      <c r="G513" s="100"/>
      <c r="H513" s="100"/>
    </row>
    <row r="514" customHeight="1" spans="2:8">
      <c r="B514" s="98"/>
      <c r="C514" s="98"/>
      <c r="D514" s="98"/>
      <c r="E514" s="98"/>
      <c r="F514" s="99"/>
      <c r="G514" s="100"/>
      <c r="H514" s="100"/>
    </row>
    <row r="515" customHeight="1" spans="2:8">
      <c r="B515" s="98"/>
      <c r="C515" s="98"/>
      <c r="D515" s="98"/>
      <c r="E515" s="98"/>
      <c r="F515" s="99"/>
      <c r="G515" s="100"/>
      <c r="H515" s="100"/>
    </row>
    <row r="516" customHeight="1" spans="2:8">
      <c r="B516" s="98"/>
      <c r="C516" s="98"/>
      <c r="D516" s="98"/>
      <c r="E516" s="98"/>
      <c r="F516" s="99"/>
      <c r="G516" s="100"/>
      <c r="H516" s="100"/>
    </row>
    <row r="517" customHeight="1" spans="2:8">
      <c r="B517" s="98"/>
      <c r="C517" s="98"/>
      <c r="D517" s="98"/>
      <c r="E517" s="98"/>
      <c r="F517" s="99"/>
      <c r="G517" s="100"/>
      <c r="H517" s="100"/>
    </row>
    <row r="518" customHeight="1" spans="2:8">
      <c r="B518" s="98"/>
      <c r="C518" s="98"/>
      <c r="D518" s="98"/>
      <c r="E518" s="98"/>
      <c r="F518" s="99"/>
      <c r="G518" s="100"/>
      <c r="H518" s="100"/>
    </row>
    <row r="519" customHeight="1" spans="2:8">
      <c r="B519" s="98"/>
      <c r="C519" s="98"/>
      <c r="D519" s="98"/>
      <c r="E519" s="98"/>
      <c r="F519" s="99"/>
      <c r="G519" s="100"/>
      <c r="H519" s="100"/>
    </row>
    <row r="520" customHeight="1" spans="2:8">
      <c r="B520" s="98"/>
      <c r="C520" s="98"/>
      <c r="D520" s="98"/>
      <c r="E520" s="98"/>
      <c r="F520" s="99"/>
      <c r="G520" s="100"/>
      <c r="H520" s="100"/>
    </row>
    <row r="521" customHeight="1" spans="2:8">
      <c r="B521" s="98"/>
      <c r="C521" s="98"/>
      <c r="D521" s="98"/>
      <c r="E521" s="98"/>
      <c r="F521" s="99"/>
      <c r="G521" s="100"/>
      <c r="H521" s="100"/>
    </row>
    <row r="522" customHeight="1" spans="2:8">
      <c r="B522" s="98"/>
      <c r="C522" s="98"/>
      <c r="D522" s="98"/>
      <c r="E522" s="98"/>
      <c r="F522" s="99"/>
      <c r="G522" s="100"/>
      <c r="H522" s="100"/>
    </row>
    <row r="523" customHeight="1" spans="2:8">
      <c r="B523" s="98"/>
      <c r="C523" s="98"/>
      <c r="D523" s="98"/>
      <c r="E523" s="98"/>
      <c r="F523" s="99"/>
      <c r="G523" s="100"/>
      <c r="H523" s="100"/>
    </row>
    <row r="524" customHeight="1" spans="2:8">
      <c r="B524" s="98"/>
      <c r="C524" s="98"/>
      <c r="D524" s="98"/>
      <c r="E524" s="98"/>
      <c r="F524" s="99"/>
      <c r="G524" s="100"/>
      <c r="H524" s="100"/>
    </row>
    <row r="525" customHeight="1" spans="2:8">
      <c r="B525" s="98"/>
      <c r="C525" s="98"/>
      <c r="D525" s="98"/>
      <c r="E525" s="98"/>
      <c r="F525" s="99"/>
      <c r="G525" s="100"/>
      <c r="H525" s="100"/>
    </row>
    <row r="526" customHeight="1" spans="2:8">
      <c r="B526" s="98"/>
      <c r="C526" s="98"/>
      <c r="D526" s="98"/>
      <c r="E526" s="98"/>
      <c r="F526" s="99"/>
      <c r="G526" s="100"/>
      <c r="H526" s="100"/>
    </row>
    <row r="527" customHeight="1" spans="2:8">
      <c r="B527" s="98"/>
      <c r="C527" s="98"/>
      <c r="D527" s="98"/>
      <c r="E527" s="98"/>
      <c r="F527" s="99"/>
      <c r="G527" s="100"/>
      <c r="H527" s="100"/>
    </row>
    <row r="528" customHeight="1" spans="2:8">
      <c r="B528" s="98"/>
      <c r="C528" s="98"/>
      <c r="D528" s="98"/>
      <c r="E528" s="98"/>
      <c r="F528" s="99"/>
      <c r="G528" s="100"/>
      <c r="H528" s="100"/>
    </row>
    <row r="529" customHeight="1" spans="2:8">
      <c r="B529" s="98"/>
      <c r="C529" s="98"/>
      <c r="D529" s="98"/>
      <c r="E529" s="98"/>
      <c r="F529" s="99"/>
      <c r="G529" s="100"/>
      <c r="H529" s="100"/>
    </row>
    <row r="530" customHeight="1" spans="2:8">
      <c r="B530" s="98"/>
      <c r="C530" s="98"/>
      <c r="D530" s="98"/>
      <c r="E530" s="98"/>
      <c r="F530" s="99"/>
      <c r="G530" s="100"/>
      <c r="H530" s="100"/>
    </row>
    <row r="531" customHeight="1" spans="2:8">
      <c r="B531" s="98"/>
      <c r="C531" s="98"/>
      <c r="D531" s="98"/>
      <c r="E531" s="98"/>
      <c r="F531" s="99"/>
      <c r="G531" s="100"/>
      <c r="H531" s="100"/>
    </row>
    <row r="532" customHeight="1" spans="2:8">
      <c r="B532" s="98"/>
      <c r="C532" s="98"/>
      <c r="D532" s="98"/>
      <c r="E532" s="98"/>
      <c r="F532" s="99"/>
      <c r="G532" s="100"/>
      <c r="H532" s="100"/>
    </row>
    <row r="533" customHeight="1" spans="2:8">
      <c r="B533" s="98"/>
      <c r="C533" s="98"/>
      <c r="D533" s="98"/>
      <c r="E533" s="98"/>
      <c r="F533" s="99"/>
      <c r="G533" s="100"/>
      <c r="H533" s="100"/>
    </row>
    <row r="534" customHeight="1" spans="2:8">
      <c r="B534" s="98"/>
      <c r="C534" s="98"/>
      <c r="D534" s="98"/>
      <c r="E534" s="98"/>
      <c r="F534" s="99"/>
      <c r="G534" s="100"/>
      <c r="H534" s="100"/>
    </row>
    <row r="535" customHeight="1" spans="2:8">
      <c r="B535" s="98"/>
      <c r="C535" s="98"/>
      <c r="D535" s="98"/>
      <c r="E535" s="98"/>
      <c r="F535" s="99"/>
      <c r="G535" s="100"/>
      <c r="H535" s="100"/>
    </row>
    <row r="536" customHeight="1" spans="2:8">
      <c r="B536" s="98"/>
      <c r="C536" s="98"/>
      <c r="D536" s="98"/>
      <c r="E536" s="98"/>
      <c r="F536" s="99"/>
      <c r="G536" s="100"/>
      <c r="H536" s="100"/>
    </row>
    <row r="537" customHeight="1" spans="2:8">
      <c r="B537" s="98"/>
      <c r="C537" s="98"/>
      <c r="D537" s="98"/>
      <c r="E537" s="98"/>
      <c r="F537" s="99"/>
      <c r="G537" s="100"/>
      <c r="H537" s="100"/>
    </row>
    <row r="538" customHeight="1" spans="2:8">
      <c r="B538" s="98"/>
      <c r="C538" s="98"/>
      <c r="D538" s="98"/>
      <c r="E538" s="98"/>
      <c r="F538" s="99"/>
      <c r="G538" s="100"/>
      <c r="H538" s="100"/>
    </row>
    <row r="539" customHeight="1" spans="2:8">
      <c r="B539" s="98"/>
      <c r="C539" s="98"/>
      <c r="D539" s="98"/>
      <c r="E539" s="98"/>
      <c r="F539" s="99"/>
      <c r="G539" s="100"/>
      <c r="H539" s="100"/>
    </row>
    <row r="540" customHeight="1" spans="2:8">
      <c r="B540" s="98"/>
      <c r="C540" s="98"/>
      <c r="D540" s="98"/>
      <c r="E540" s="98"/>
      <c r="F540" s="99"/>
      <c r="G540" s="100"/>
      <c r="H540" s="100"/>
    </row>
    <row r="541" customHeight="1" spans="2:8">
      <c r="B541" s="98"/>
      <c r="C541" s="98"/>
      <c r="D541" s="98"/>
      <c r="E541" s="98"/>
      <c r="F541" s="99"/>
      <c r="G541" s="100"/>
      <c r="H541" s="100"/>
    </row>
    <row r="542" customHeight="1" spans="2:8">
      <c r="B542" s="98"/>
      <c r="C542" s="98"/>
      <c r="D542" s="98"/>
      <c r="E542" s="98"/>
      <c r="F542" s="99"/>
      <c r="G542" s="100"/>
      <c r="H542" s="100"/>
    </row>
    <row r="543" customHeight="1" spans="2:8">
      <c r="B543" s="98"/>
      <c r="C543" s="98"/>
      <c r="D543" s="98"/>
      <c r="E543" s="98"/>
      <c r="F543" s="99"/>
      <c r="G543" s="100"/>
      <c r="H543" s="100"/>
    </row>
    <row r="544" customHeight="1" spans="2:8">
      <c r="B544" s="98"/>
      <c r="C544" s="98"/>
      <c r="D544" s="98"/>
      <c r="E544" s="98"/>
      <c r="F544" s="99"/>
      <c r="G544" s="100"/>
      <c r="H544" s="100"/>
    </row>
    <row r="545" customHeight="1" spans="2:8">
      <c r="B545" s="98"/>
      <c r="C545" s="98"/>
      <c r="D545" s="98"/>
      <c r="E545" s="98"/>
      <c r="F545" s="99"/>
      <c r="G545" s="100"/>
      <c r="H545" s="100"/>
    </row>
    <row r="546" customHeight="1" spans="2:8">
      <c r="B546" s="98"/>
      <c r="C546" s="98"/>
      <c r="D546" s="98"/>
      <c r="E546" s="98"/>
      <c r="F546" s="99"/>
      <c r="G546" s="100"/>
      <c r="H546" s="100"/>
    </row>
    <row r="547" customHeight="1" spans="2:8">
      <c r="B547" s="98"/>
      <c r="C547" s="98"/>
      <c r="D547" s="98"/>
      <c r="E547" s="98"/>
      <c r="F547" s="99"/>
      <c r="G547" s="100"/>
      <c r="H547" s="100"/>
    </row>
    <row r="548" customHeight="1" spans="2:8">
      <c r="B548" s="98"/>
      <c r="C548" s="98"/>
      <c r="D548" s="98"/>
      <c r="E548" s="98"/>
      <c r="F548" s="99"/>
      <c r="G548" s="100"/>
      <c r="H548" s="100"/>
    </row>
    <row r="549" customHeight="1" spans="2:8">
      <c r="B549" s="98"/>
      <c r="C549" s="98"/>
      <c r="D549" s="98"/>
      <c r="E549" s="98"/>
      <c r="F549" s="99"/>
      <c r="G549" s="100"/>
      <c r="H549" s="100"/>
    </row>
    <row r="550" customHeight="1" spans="2:8">
      <c r="B550" s="98"/>
      <c r="C550" s="98"/>
      <c r="D550" s="98"/>
      <c r="E550" s="98"/>
      <c r="F550" s="99"/>
      <c r="G550" s="100"/>
      <c r="H550" s="100"/>
    </row>
    <row r="551" customHeight="1" spans="2:8">
      <c r="B551" s="98"/>
      <c r="C551" s="98"/>
      <c r="D551" s="98"/>
      <c r="E551" s="98"/>
      <c r="F551" s="99"/>
      <c r="G551" s="100"/>
      <c r="H551" s="100"/>
    </row>
    <row r="552" customHeight="1" spans="2:8">
      <c r="B552" s="98"/>
      <c r="C552" s="98"/>
      <c r="D552" s="98"/>
      <c r="E552" s="98"/>
      <c r="F552" s="99"/>
      <c r="G552" s="100"/>
      <c r="H552" s="100"/>
    </row>
    <row r="553" customHeight="1" spans="2:8">
      <c r="B553" s="98"/>
      <c r="C553" s="98"/>
      <c r="D553" s="98"/>
      <c r="E553" s="98"/>
      <c r="F553" s="99"/>
      <c r="G553" s="100"/>
      <c r="H553" s="100"/>
    </row>
    <row r="554" customHeight="1" spans="2:8">
      <c r="B554" s="98"/>
      <c r="C554" s="98"/>
      <c r="D554" s="98"/>
      <c r="E554" s="98"/>
      <c r="F554" s="99"/>
      <c r="G554" s="100"/>
      <c r="H554" s="100"/>
    </row>
    <row r="555" customHeight="1" spans="2:8">
      <c r="B555" s="98"/>
      <c r="C555" s="98"/>
      <c r="D555" s="98"/>
      <c r="E555" s="98"/>
      <c r="F555" s="99"/>
      <c r="G555" s="100"/>
      <c r="H555" s="100"/>
    </row>
    <row r="556" customHeight="1" spans="2:8">
      <c r="B556" s="98"/>
      <c r="C556" s="98"/>
      <c r="D556" s="98"/>
      <c r="E556" s="98"/>
      <c r="F556" s="99"/>
      <c r="G556" s="100"/>
      <c r="H556" s="100"/>
    </row>
    <row r="557" customHeight="1" spans="2:8">
      <c r="B557" s="98"/>
      <c r="C557" s="98"/>
      <c r="D557" s="98"/>
      <c r="E557" s="98"/>
      <c r="F557" s="99"/>
      <c r="G557" s="100"/>
      <c r="H557" s="100"/>
    </row>
    <row r="558" customHeight="1" spans="2:8">
      <c r="B558" s="98"/>
      <c r="C558" s="98"/>
      <c r="D558" s="98"/>
      <c r="E558" s="98"/>
      <c r="F558" s="99"/>
      <c r="G558" s="100"/>
      <c r="H558" s="100"/>
    </row>
    <row r="559" customHeight="1" spans="2:8">
      <c r="B559" s="98"/>
      <c r="C559" s="98"/>
      <c r="D559" s="98"/>
      <c r="E559" s="98"/>
      <c r="F559" s="99"/>
      <c r="G559" s="100"/>
      <c r="H559" s="100"/>
    </row>
    <row r="560" customHeight="1" spans="2:8">
      <c r="B560" s="98"/>
      <c r="C560" s="98"/>
      <c r="D560" s="98"/>
      <c r="E560" s="98"/>
      <c r="F560" s="99"/>
      <c r="G560" s="100"/>
      <c r="H560" s="100"/>
    </row>
    <row r="561" customHeight="1" spans="2:8">
      <c r="B561" s="98"/>
      <c r="C561" s="98"/>
      <c r="D561" s="98"/>
      <c r="E561" s="98"/>
      <c r="F561" s="99"/>
      <c r="G561" s="100"/>
      <c r="H561" s="100"/>
    </row>
    <row r="562" customHeight="1" spans="2:8">
      <c r="B562" s="98"/>
      <c r="C562" s="98"/>
      <c r="D562" s="98"/>
      <c r="E562" s="98"/>
      <c r="F562" s="99"/>
      <c r="G562" s="100"/>
      <c r="H562" s="100"/>
    </row>
    <row r="563" customHeight="1" spans="2:8">
      <c r="B563" s="98"/>
      <c r="C563" s="98"/>
      <c r="D563" s="98"/>
      <c r="E563" s="98"/>
      <c r="F563" s="99"/>
      <c r="G563" s="100"/>
      <c r="H563" s="100"/>
    </row>
    <row r="564" customHeight="1" spans="2:8">
      <c r="B564" s="98"/>
      <c r="C564" s="98"/>
      <c r="D564" s="98"/>
      <c r="E564" s="98"/>
      <c r="F564" s="99"/>
      <c r="G564" s="100"/>
      <c r="H564" s="100"/>
    </row>
    <row r="565" customHeight="1" spans="2:8">
      <c r="B565" s="98"/>
      <c r="C565" s="98"/>
      <c r="D565" s="98"/>
      <c r="E565" s="98"/>
      <c r="F565" s="99"/>
      <c r="G565" s="100"/>
      <c r="H565" s="100"/>
    </row>
    <row r="566" customHeight="1" spans="2:8">
      <c r="B566" s="98"/>
      <c r="C566" s="98"/>
      <c r="D566" s="98"/>
      <c r="E566" s="98"/>
      <c r="F566" s="99"/>
      <c r="G566" s="100"/>
      <c r="H566" s="100"/>
    </row>
    <row r="567" customHeight="1" spans="2:8">
      <c r="B567" s="98"/>
      <c r="C567" s="98"/>
      <c r="D567" s="98"/>
      <c r="E567" s="98"/>
      <c r="F567" s="99"/>
      <c r="G567" s="100"/>
      <c r="H567" s="100"/>
    </row>
    <row r="568" customHeight="1" spans="2:8">
      <c r="B568" s="98"/>
      <c r="C568" s="98"/>
      <c r="D568" s="98"/>
      <c r="E568" s="98"/>
      <c r="F568" s="99"/>
      <c r="G568" s="100"/>
      <c r="H568" s="100"/>
    </row>
    <row r="569" customHeight="1" spans="2:8">
      <c r="B569" s="98"/>
      <c r="C569" s="98"/>
      <c r="D569" s="98"/>
      <c r="E569" s="98"/>
      <c r="F569" s="99"/>
      <c r="G569" s="100"/>
      <c r="H569" s="100"/>
    </row>
    <row r="570" customHeight="1" spans="2:8">
      <c r="B570" s="98"/>
      <c r="C570" s="98"/>
      <c r="D570" s="98"/>
      <c r="E570" s="98"/>
      <c r="F570" s="99"/>
      <c r="G570" s="100"/>
      <c r="H570" s="100"/>
    </row>
    <row r="571" customHeight="1" spans="2:8">
      <c r="B571" s="98"/>
      <c r="C571" s="98"/>
      <c r="D571" s="98"/>
      <c r="E571" s="98"/>
      <c r="F571" s="99"/>
      <c r="G571" s="100"/>
      <c r="H571" s="100"/>
    </row>
    <row r="572" customHeight="1" spans="2:8">
      <c r="B572" s="98"/>
      <c r="C572" s="98"/>
      <c r="D572" s="98"/>
      <c r="E572" s="98"/>
      <c r="F572" s="99"/>
      <c r="G572" s="100"/>
      <c r="H572" s="100"/>
    </row>
    <row r="573" customHeight="1" spans="2:8">
      <c r="B573" s="98"/>
      <c r="C573" s="98"/>
      <c r="D573" s="98"/>
      <c r="E573" s="98"/>
      <c r="F573" s="99"/>
      <c r="G573" s="100"/>
      <c r="H573" s="100"/>
    </row>
    <row r="574" customHeight="1" spans="2:8">
      <c r="B574" s="98"/>
      <c r="C574" s="98"/>
      <c r="D574" s="98"/>
      <c r="E574" s="98"/>
      <c r="F574" s="99"/>
      <c r="G574" s="100"/>
      <c r="H574" s="100"/>
    </row>
    <row r="575" customHeight="1" spans="2:8">
      <c r="B575" s="98"/>
      <c r="C575" s="98"/>
      <c r="D575" s="98"/>
      <c r="E575" s="98"/>
      <c r="F575" s="99"/>
      <c r="G575" s="100"/>
      <c r="H575" s="100"/>
    </row>
    <row r="576" customHeight="1" spans="2:8">
      <c r="B576" s="98"/>
      <c r="C576" s="98"/>
      <c r="D576" s="98"/>
      <c r="E576" s="98"/>
      <c r="F576" s="99"/>
      <c r="G576" s="100"/>
      <c r="H576" s="100"/>
    </row>
    <row r="577" customHeight="1" spans="2:8">
      <c r="B577" s="98"/>
      <c r="C577" s="98"/>
      <c r="D577" s="98"/>
      <c r="E577" s="98"/>
      <c r="F577" s="99"/>
      <c r="G577" s="100"/>
      <c r="H577" s="100"/>
    </row>
    <row r="578" customHeight="1" spans="2:8">
      <c r="B578" s="98"/>
      <c r="C578" s="98"/>
      <c r="D578" s="98"/>
      <c r="E578" s="98"/>
      <c r="F578" s="99"/>
      <c r="G578" s="100"/>
      <c r="H578" s="100"/>
    </row>
    <row r="579" customHeight="1" spans="2:8">
      <c r="B579" s="98"/>
      <c r="C579" s="98"/>
      <c r="D579" s="98"/>
      <c r="E579" s="98"/>
      <c r="F579" s="99"/>
      <c r="G579" s="100"/>
      <c r="H579" s="100"/>
    </row>
    <row r="580" customHeight="1" spans="2:8">
      <c r="B580" s="98"/>
      <c r="C580" s="98"/>
      <c r="D580" s="98"/>
      <c r="E580" s="98"/>
      <c r="F580" s="99"/>
      <c r="G580" s="100"/>
      <c r="H580" s="100"/>
    </row>
    <row r="581" customHeight="1" spans="2:8">
      <c r="B581" s="98"/>
      <c r="C581" s="98"/>
      <c r="D581" s="98"/>
      <c r="E581" s="98"/>
      <c r="F581" s="99"/>
      <c r="G581" s="100"/>
      <c r="H581" s="100"/>
    </row>
    <row r="582" customHeight="1" spans="2:8">
      <c r="B582" s="98"/>
      <c r="C582" s="98"/>
      <c r="D582" s="98"/>
      <c r="E582" s="98"/>
      <c r="F582" s="99"/>
      <c r="G582" s="100"/>
      <c r="H582" s="100"/>
    </row>
    <row r="583" customHeight="1" spans="2:8">
      <c r="B583" s="98"/>
      <c r="C583" s="98"/>
      <c r="D583" s="98"/>
      <c r="E583" s="98"/>
      <c r="F583" s="99"/>
      <c r="G583" s="100"/>
      <c r="H583" s="100"/>
    </row>
    <row r="584" customHeight="1" spans="2:8">
      <c r="B584" s="98"/>
      <c r="C584" s="98"/>
      <c r="D584" s="98"/>
      <c r="E584" s="98"/>
      <c r="F584" s="99"/>
      <c r="G584" s="100"/>
      <c r="H584" s="100"/>
    </row>
    <row r="585" customHeight="1" spans="2:8">
      <c r="B585" s="98"/>
      <c r="C585" s="98"/>
      <c r="D585" s="98"/>
      <c r="E585" s="98"/>
      <c r="F585" s="99"/>
      <c r="G585" s="100"/>
      <c r="H585" s="100"/>
    </row>
    <row r="586" customHeight="1" spans="2:8">
      <c r="B586" s="98"/>
      <c r="C586" s="98"/>
      <c r="D586" s="98"/>
      <c r="E586" s="98"/>
      <c r="F586" s="99"/>
      <c r="G586" s="100"/>
      <c r="H586" s="100"/>
    </row>
    <row r="587" customHeight="1" spans="2:8">
      <c r="B587" s="98"/>
      <c r="C587" s="98"/>
      <c r="D587" s="98"/>
      <c r="E587" s="98"/>
      <c r="F587" s="99"/>
      <c r="G587" s="100"/>
      <c r="H587" s="100"/>
    </row>
    <row r="588" customHeight="1" spans="2:8">
      <c r="B588" s="98"/>
      <c r="C588" s="98"/>
      <c r="D588" s="98"/>
      <c r="E588" s="98"/>
      <c r="F588" s="99"/>
      <c r="G588" s="100"/>
      <c r="H588" s="100"/>
    </row>
    <row r="589" customHeight="1" spans="2:8">
      <c r="B589" s="98"/>
      <c r="C589" s="98"/>
      <c r="D589" s="98"/>
      <c r="E589" s="98"/>
      <c r="F589" s="99"/>
      <c r="G589" s="100"/>
      <c r="H589" s="100"/>
    </row>
    <row r="590" customHeight="1" spans="2:8">
      <c r="B590" s="98"/>
      <c r="C590" s="98"/>
      <c r="D590" s="98"/>
      <c r="E590" s="98"/>
      <c r="F590" s="99"/>
      <c r="G590" s="100"/>
      <c r="H590" s="100"/>
    </row>
    <row r="591" customHeight="1" spans="2:8">
      <c r="B591" s="98"/>
      <c r="C591" s="98"/>
      <c r="D591" s="98"/>
      <c r="E591" s="98"/>
      <c r="F591" s="99"/>
      <c r="G591" s="100"/>
      <c r="H591" s="100"/>
    </row>
    <row r="592" customHeight="1" spans="2:8">
      <c r="B592" s="98"/>
      <c r="C592" s="98"/>
      <c r="D592" s="98"/>
      <c r="E592" s="98"/>
      <c r="F592" s="99"/>
      <c r="G592" s="100"/>
      <c r="H592" s="100"/>
    </row>
    <row r="593" customHeight="1" spans="2:8">
      <c r="B593" s="98"/>
      <c r="C593" s="98"/>
      <c r="D593" s="98"/>
      <c r="E593" s="98"/>
      <c r="F593" s="99"/>
      <c r="G593" s="100"/>
      <c r="H593" s="100"/>
    </row>
    <row r="594" customHeight="1" spans="2:8">
      <c r="B594" s="98"/>
      <c r="C594" s="98"/>
      <c r="D594" s="98"/>
      <c r="E594" s="98"/>
      <c r="F594" s="99"/>
      <c r="G594" s="100"/>
      <c r="H594" s="100"/>
    </row>
    <row r="595" customHeight="1" spans="2:8">
      <c r="B595" s="98"/>
      <c r="C595" s="98"/>
      <c r="D595" s="98"/>
      <c r="E595" s="98"/>
      <c r="F595" s="99"/>
      <c r="G595" s="100"/>
      <c r="H595" s="100"/>
    </row>
    <row r="596" customHeight="1" spans="2:8">
      <c r="B596" s="98"/>
      <c r="C596" s="98"/>
      <c r="D596" s="98"/>
      <c r="E596" s="98"/>
      <c r="F596" s="99"/>
      <c r="G596" s="100"/>
      <c r="H596" s="100"/>
    </row>
    <row r="597" customHeight="1" spans="2:8">
      <c r="B597" s="98"/>
      <c r="C597" s="98"/>
      <c r="D597" s="98"/>
      <c r="E597" s="98"/>
      <c r="F597" s="99"/>
      <c r="G597" s="100"/>
      <c r="H597" s="100"/>
    </row>
    <row r="598" customHeight="1" spans="2:8">
      <c r="B598" s="98"/>
      <c r="C598" s="98"/>
      <c r="D598" s="98"/>
      <c r="E598" s="98"/>
      <c r="F598" s="99"/>
      <c r="G598" s="100"/>
      <c r="H598" s="100"/>
    </row>
    <row r="599" customHeight="1" spans="2:8">
      <c r="B599" s="98"/>
      <c r="C599" s="98"/>
      <c r="D599" s="98"/>
      <c r="E599" s="98"/>
      <c r="F599" s="99"/>
      <c r="G599" s="100"/>
      <c r="H599" s="100"/>
    </row>
    <row r="600" customHeight="1" spans="2:8">
      <c r="B600" s="98"/>
      <c r="C600" s="98"/>
      <c r="D600" s="98"/>
      <c r="E600" s="98"/>
      <c r="F600" s="99"/>
      <c r="G600" s="100"/>
      <c r="H600" s="100"/>
    </row>
    <row r="601" customHeight="1" spans="2:8">
      <c r="B601" s="98"/>
      <c r="C601" s="98"/>
      <c r="D601" s="98"/>
      <c r="E601" s="98"/>
      <c r="F601" s="99"/>
      <c r="G601" s="100"/>
      <c r="H601" s="100"/>
    </row>
    <row r="602" customHeight="1" spans="2:8">
      <c r="B602" s="98"/>
      <c r="C602" s="98"/>
      <c r="D602" s="98"/>
      <c r="E602" s="98"/>
      <c r="F602" s="99"/>
      <c r="G602" s="100"/>
      <c r="H602" s="100"/>
    </row>
    <row r="603" customHeight="1" spans="2:8">
      <c r="B603" s="98"/>
      <c r="C603" s="98"/>
      <c r="D603" s="98"/>
      <c r="E603" s="98"/>
      <c r="F603" s="99"/>
      <c r="G603" s="100"/>
      <c r="H603" s="100"/>
    </row>
    <row r="604" customHeight="1" spans="2:8">
      <c r="B604" s="98"/>
      <c r="C604" s="98"/>
      <c r="D604" s="98"/>
      <c r="E604" s="98"/>
      <c r="F604" s="99"/>
      <c r="G604" s="100"/>
      <c r="H604" s="100"/>
    </row>
    <row r="605" customHeight="1" spans="2:8">
      <c r="B605" s="98"/>
      <c r="C605" s="98"/>
      <c r="D605" s="98"/>
      <c r="E605" s="98"/>
      <c r="F605" s="99"/>
      <c r="G605" s="100"/>
      <c r="H605" s="100"/>
    </row>
    <row r="606" customHeight="1" spans="2:8">
      <c r="B606" s="98"/>
      <c r="C606" s="98"/>
      <c r="D606" s="98"/>
      <c r="E606" s="98"/>
      <c r="F606" s="99"/>
      <c r="G606" s="100"/>
      <c r="H606" s="100"/>
    </row>
    <row r="607" customHeight="1" spans="2:8">
      <c r="B607" s="98"/>
      <c r="C607" s="98"/>
      <c r="D607" s="98"/>
      <c r="E607" s="98"/>
      <c r="F607" s="99"/>
      <c r="G607" s="100"/>
      <c r="H607" s="100"/>
    </row>
    <row r="608" customHeight="1" spans="2:8">
      <c r="B608" s="98"/>
      <c r="C608" s="98"/>
      <c r="D608" s="98"/>
      <c r="E608" s="98"/>
      <c r="F608" s="99"/>
      <c r="G608" s="100"/>
      <c r="H608" s="100"/>
    </row>
    <row r="609" customHeight="1" spans="2:8">
      <c r="B609" s="98"/>
      <c r="C609" s="98"/>
      <c r="D609" s="98"/>
      <c r="E609" s="98"/>
      <c r="F609" s="99"/>
      <c r="G609" s="100"/>
      <c r="H609" s="100"/>
    </row>
    <row r="610" customHeight="1" spans="2:8">
      <c r="B610" s="98"/>
      <c r="C610" s="98"/>
      <c r="D610" s="98"/>
      <c r="E610" s="98"/>
      <c r="F610" s="99"/>
      <c r="G610" s="100"/>
      <c r="H610" s="100"/>
    </row>
    <row r="611" customHeight="1" spans="2:8">
      <c r="B611" s="98"/>
      <c r="C611" s="98"/>
      <c r="D611" s="98"/>
      <c r="E611" s="98"/>
      <c r="F611" s="99"/>
      <c r="G611" s="100"/>
      <c r="H611" s="100"/>
    </row>
    <row r="612" customHeight="1" spans="2:8">
      <c r="B612" s="98"/>
      <c r="C612" s="98"/>
      <c r="D612" s="98"/>
      <c r="E612" s="98"/>
      <c r="F612" s="99"/>
      <c r="G612" s="100"/>
      <c r="H612" s="100"/>
    </row>
    <row r="613" customHeight="1" spans="2:8">
      <c r="B613" s="98"/>
      <c r="C613" s="98"/>
      <c r="D613" s="98"/>
      <c r="E613" s="98"/>
      <c r="F613" s="99"/>
      <c r="G613" s="100"/>
      <c r="H613" s="100"/>
    </row>
    <row r="614" customHeight="1" spans="2:8">
      <c r="B614" s="98"/>
      <c r="C614" s="98"/>
      <c r="D614" s="98"/>
      <c r="E614" s="98"/>
      <c r="F614" s="99"/>
      <c r="G614" s="100"/>
      <c r="H614" s="100"/>
    </row>
    <row r="615" customHeight="1" spans="2:8">
      <c r="B615" s="98"/>
      <c r="C615" s="98"/>
      <c r="D615" s="98"/>
      <c r="E615" s="98"/>
      <c r="F615" s="99"/>
      <c r="G615" s="100"/>
      <c r="H615" s="100"/>
    </row>
    <row r="616" customHeight="1" spans="2:8">
      <c r="B616" s="98"/>
      <c r="C616" s="98"/>
      <c r="D616" s="98"/>
      <c r="E616" s="98"/>
      <c r="F616" s="99"/>
      <c r="G616" s="100"/>
      <c r="H616" s="100"/>
    </row>
    <row r="617" customHeight="1" spans="2:8">
      <c r="B617" s="98"/>
      <c r="C617" s="98"/>
      <c r="D617" s="98"/>
      <c r="E617" s="98"/>
      <c r="F617" s="99"/>
      <c r="G617" s="100"/>
      <c r="H617" s="100"/>
    </row>
    <row r="618" customHeight="1" spans="2:8">
      <c r="B618" s="98"/>
      <c r="C618" s="98"/>
      <c r="D618" s="98"/>
      <c r="E618" s="98"/>
      <c r="F618" s="99"/>
      <c r="G618" s="100"/>
      <c r="H618" s="100"/>
    </row>
    <row r="619" customHeight="1" spans="2:8">
      <c r="B619" s="98"/>
      <c r="C619" s="98"/>
      <c r="D619" s="98"/>
      <c r="E619" s="98"/>
      <c r="F619" s="99"/>
      <c r="G619" s="100"/>
      <c r="H619" s="100"/>
    </row>
    <row r="620" customHeight="1" spans="2:8">
      <c r="B620" s="98"/>
      <c r="C620" s="98"/>
      <c r="D620" s="98"/>
      <c r="E620" s="98"/>
      <c r="F620" s="99"/>
      <c r="G620" s="100"/>
      <c r="H620" s="100"/>
    </row>
    <row r="621" customHeight="1" spans="2:8">
      <c r="B621" s="98"/>
      <c r="C621" s="98"/>
      <c r="D621" s="98"/>
      <c r="E621" s="98"/>
      <c r="F621" s="99"/>
      <c r="G621" s="100"/>
      <c r="H621" s="100"/>
    </row>
    <row r="622" customHeight="1" spans="2:8">
      <c r="B622" s="98"/>
      <c r="C622" s="98"/>
      <c r="D622" s="98"/>
      <c r="E622" s="98"/>
      <c r="F622" s="99"/>
      <c r="G622" s="100"/>
      <c r="H622" s="100"/>
    </row>
    <row r="623" customHeight="1" spans="2:8">
      <c r="B623" s="98"/>
      <c r="C623" s="98"/>
      <c r="D623" s="98"/>
      <c r="E623" s="98"/>
      <c r="F623" s="99"/>
      <c r="G623" s="100"/>
      <c r="H623" s="100"/>
    </row>
    <row r="624" customHeight="1" spans="2:8">
      <c r="B624" s="98"/>
      <c r="C624" s="98"/>
      <c r="D624" s="98"/>
      <c r="E624" s="98"/>
      <c r="F624" s="99"/>
      <c r="G624" s="100"/>
      <c r="H624" s="100"/>
    </row>
    <row r="625" customHeight="1" spans="2:8">
      <c r="B625" s="98"/>
      <c r="C625" s="98"/>
      <c r="D625" s="98"/>
      <c r="E625" s="98"/>
      <c r="F625" s="99"/>
      <c r="G625" s="100"/>
      <c r="H625" s="100"/>
    </row>
    <row r="626" customHeight="1" spans="2:8">
      <c r="B626" s="98"/>
      <c r="C626" s="98"/>
      <c r="D626" s="98"/>
      <c r="E626" s="98"/>
      <c r="F626" s="99"/>
      <c r="G626" s="100"/>
      <c r="H626" s="100"/>
    </row>
    <row r="627" customHeight="1" spans="2:8">
      <c r="B627" s="98"/>
      <c r="C627" s="98"/>
      <c r="D627" s="98"/>
      <c r="E627" s="98"/>
      <c r="F627" s="99"/>
      <c r="G627" s="100"/>
      <c r="H627" s="100"/>
    </row>
    <row r="628" customHeight="1" spans="2:8">
      <c r="B628" s="98"/>
      <c r="C628" s="98"/>
      <c r="D628" s="98"/>
      <c r="E628" s="98"/>
      <c r="F628" s="99"/>
      <c r="G628" s="100"/>
      <c r="H628" s="100"/>
    </row>
    <row r="629" customHeight="1" spans="2:8">
      <c r="B629" s="98"/>
      <c r="C629" s="98"/>
      <c r="D629" s="98"/>
      <c r="E629" s="98"/>
      <c r="F629" s="99"/>
      <c r="G629" s="100"/>
      <c r="H629" s="100"/>
    </row>
    <row r="630" customHeight="1" spans="2:8">
      <c r="B630" s="98"/>
      <c r="C630" s="98"/>
      <c r="D630" s="98"/>
      <c r="E630" s="98"/>
      <c r="F630" s="99"/>
      <c r="G630" s="100"/>
      <c r="H630" s="100"/>
    </row>
    <row r="631" customHeight="1" spans="2:8">
      <c r="B631" s="98"/>
      <c r="C631" s="98"/>
      <c r="D631" s="98"/>
      <c r="E631" s="98"/>
      <c r="F631" s="99"/>
      <c r="G631" s="100"/>
      <c r="H631" s="100"/>
    </row>
    <row r="632" customHeight="1" spans="2:8">
      <c r="B632" s="98"/>
      <c r="C632" s="98"/>
      <c r="D632" s="98"/>
      <c r="E632" s="98"/>
      <c r="F632" s="99"/>
      <c r="G632" s="100"/>
      <c r="H632" s="100"/>
    </row>
    <row r="633" customHeight="1" spans="2:8">
      <c r="B633" s="98"/>
      <c r="C633" s="98"/>
      <c r="D633" s="98"/>
      <c r="E633" s="98"/>
      <c r="F633" s="99"/>
      <c r="G633" s="100"/>
      <c r="H633" s="100"/>
    </row>
    <row r="634" customHeight="1" spans="2:8">
      <c r="B634" s="98"/>
      <c r="C634" s="98"/>
      <c r="D634" s="98"/>
      <c r="E634" s="98"/>
      <c r="F634" s="99"/>
      <c r="G634" s="100"/>
      <c r="H634" s="100"/>
    </row>
    <row r="635" customHeight="1" spans="2:8">
      <c r="B635" s="98"/>
      <c r="C635" s="98"/>
      <c r="D635" s="98"/>
      <c r="E635" s="98"/>
      <c r="F635" s="99"/>
      <c r="G635" s="100"/>
      <c r="H635" s="100"/>
    </row>
    <row r="636" customHeight="1" spans="2:8">
      <c r="B636" s="98"/>
      <c r="C636" s="98"/>
      <c r="D636" s="98"/>
      <c r="E636" s="98"/>
      <c r="F636" s="99"/>
      <c r="G636" s="100"/>
      <c r="H636" s="100"/>
    </row>
    <row r="637" customHeight="1" spans="2:8">
      <c r="B637" s="98"/>
      <c r="C637" s="98"/>
      <c r="D637" s="98"/>
      <c r="E637" s="98"/>
      <c r="F637" s="99"/>
      <c r="G637" s="100"/>
      <c r="H637" s="100"/>
    </row>
    <row r="638" customHeight="1" spans="2:8">
      <c r="B638" s="98"/>
      <c r="C638" s="98"/>
      <c r="D638" s="98"/>
      <c r="E638" s="98"/>
      <c r="F638" s="99"/>
      <c r="G638" s="100"/>
      <c r="H638" s="100"/>
    </row>
    <row r="639" customHeight="1" spans="2:8">
      <c r="B639" s="98"/>
      <c r="C639" s="98"/>
      <c r="D639" s="98"/>
      <c r="E639" s="98"/>
      <c r="F639" s="99"/>
      <c r="G639" s="100"/>
      <c r="H639" s="100"/>
    </row>
    <row r="640" customHeight="1" spans="2:8">
      <c r="B640" s="98"/>
      <c r="C640" s="98"/>
      <c r="D640" s="98"/>
      <c r="E640" s="98"/>
      <c r="F640" s="99"/>
      <c r="G640" s="100"/>
      <c r="H640" s="100"/>
    </row>
    <row r="641" customHeight="1" spans="2:8">
      <c r="B641" s="98"/>
      <c r="C641" s="98"/>
      <c r="D641" s="98"/>
      <c r="E641" s="98"/>
      <c r="F641" s="99"/>
      <c r="G641" s="100"/>
      <c r="H641" s="100"/>
    </row>
    <row r="642" customHeight="1" spans="2:8">
      <c r="B642" s="98"/>
      <c r="C642" s="98"/>
      <c r="D642" s="98"/>
      <c r="E642" s="98"/>
      <c r="F642" s="99"/>
      <c r="G642" s="100"/>
      <c r="H642" s="100"/>
    </row>
    <row r="643" customHeight="1" spans="2:8">
      <c r="B643" s="98"/>
      <c r="C643" s="98"/>
      <c r="D643" s="98"/>
      <c r="E643" s="98"/>
      <c r="F643" s="99"/>
      <c r="G643" s="100"/>
      <c r="H643" s="100"/>
    </row>
    <row r="644" customHeight="1" spans="2:8">
      <c r="B644" s="98"/>
      <c r="C644" s="98"/>
      <c r="D644" s="98"/>
      <c r="E644" s="98"/>
      <c r="F644" s="99"/>
      <c r="G644" s="100"/>
      <c r="H644" s="100"/>
    </row>
    <row r="645" customHeight="1" spans="2:8">
      <c r="B645" s="98"/>
      <c r="C645" s="98"/>
      <c r="D645" s="98"/>
      <c r="E645" s="98"/>
      <c r="F645" s="99"/>
      <c r="G645" s="100"/>
      <c r="H645" s="100"/>
    </row>
    <row r="646" customHeight="1" spans="2:8">
      <c r="B646" s="98"/>
      <c r="C646" s="98"/>
      <c r="D646" s="98"/>
      <c r="E646" s="98"/>
      <c r="F646" s="99"/>
      <c r="G646" s="100"/>
      <c r="H646" s="100"/>
    </row>
    <row r="647" customHeight="1" spans="2:8">
      <c r="B647" s="98"/>
      <c r="C647" s="98"/>
      <c r="D647" s="98"/>
      <c r="E647" s="98"/>
      <c r="F647" s="99"/>
      <c r="G647" s="100"/>
      <c r="H647" s="100"/>
    </row>
    <row r="648" customHeight="1" spans="2:8">
      <c r="B648" s="98"/>
      <c r="C648" s="98"/>
      <c r="D648" s="98"/>
      <c r="E648" s="98"/>
      <c r="F648" s="99"/>
      <c r="G648" s="100"/>
      <c r="H648" s="100"/>
    </row>
    <row r="649" customHeight="1" spans="2:8">
      <c r="B649" s="98"/>
      <c r="C649" s="98"/>
      <c r="D649" s="98"/>
      <c r="E649" s="98"/>
      <c r="F649" s="99"/>
      <c r="G649" s="100"/>
      <c r="H649" s="100"/>
    </row>
    <row r="650" customHeight="1" spans="2:8">
      <c r="B650" s="98"/>
      <c r="C650" s="98"/>
      <c r="D650" s="98"/>
      <c r="E650" s="98"/>
      <c r="F650" s="99"/>
      <c r="G650" s="100"/>
      <c r="H650" s="100"/>
    </row>
    <row r="651" customHeight="1" spans="2:8">
      <c r="B651" s="98"/>
      <c r="C651" s="98"/>
      <c r="D651" s="98"/>
      <c r="E651" s="98"/>
      <c r="F651" s="99"/>
      <c r="G651" s="100"/>
      <c r="H651" s="100"/>
    </row>
    <row r="652" customHeight="1" spans="2:8">
      <c r="B652" s="98"/>
      <c r="C652" s="98"/>
      <c r="D652" s="98"/>
      <c r="E652" s="98"/>
      <c r="F652" s="99"/>
      <c r="G652" s="100"/>
      <c r="H652" s="100"/>
    </row>
    <row r="653" customHeight="1" spans="2:8">
      <c r="B653" s="98"/>
      <c r="C653" s="98"/>
      <c r="D653" s="98"/>
      <c r="E653" s="98"/>
      <c r="F653" s="99"/>
      <c r="G653" s="100"/>
      <c r="H653" s="100"/>
    </row>
    <row r="654" customHeight="1" spans="2:8">
      <c r="B654" s="98"/>
      <c r="C654" s="98"/>
      <c r="D654" s="98"/>
      <c r="E654" s="98"/>
      <c r="F654" s="99"/>
      <c r="G654" s="100"/>
      <c r="H654" s="100"/>
    </row>
    <row r="655" customHeight="1" spans="2:8">
      <c r="B655" s="98"/>
      <c r="C655" s="98"/>
      <c r="D655" s="98"/>
      <c r="E655" s="98"/>
      <c r="F655" s="99"/>
      <c r="G655" s="100"/>
      <c r="H655" s="100"/>
    </row>
    <row r="656" customHeight="1" spans="2:8">
      <c r="B656" s="98"/>
      <c r="C656" s="98"/>
      <c r="D656" s="98"/>
      <c r="E656" s="98"/>
      <c r="F656" s="99"/>
      <c r="G656" s="100"/>
      <c r="H656" s="100"/>
    </row>
    <row r="657" customHeight="1" spans="2:8">
      <c r="B657" s="98"/>
      <c r="C657" s="98"/>
      <c r="D657" s="98"/>
      <c r="E657" s="98"/>
      <c r="F657" s="99"/>
      <c r="G657" s="100"/>
      <c r="H657" s="100"/>
    </row>
    <row r="658" customHeight="1" spans="2:8">
      <c r="B658" s="98"/>
      <c r="C658" s="98"/>
      <c r="D658" s="98"/>
      <c r="E658" s="98"/>
      <c r="F658" s="99"/>
      <c r="G658" s="100"/>
      <c r="H658" s="100"/>
    </row>
    <row r="659" customHeight="1" spans="2:8">
      <c r="B659" s="98"/>
      <c r="C659" s="98"/>
      <c r="D659" s="98"/>
      <c r="E659" s="98"/>
      <c r="F659" s="99"/>
      <c r="G659" s="100"/>
      <c r="H659" s="100"/>
    </row>
    <row r="660" customHeight="1" spans="2:8">
      <c r="B660" s="98"/>
      <c r="C660" s="98"/>
      <c r="D660" s="98"/>
      <c r="E660" s="98"/>
      <c r="F660" s="99"/>
      <c r="G660" s="100"/>
      <c r="H660" s="100"/>
    </row>
    <row r="661" customHeight="1" spans="2:8">
      <c r="B661" s="98"/>
      <c r="C661" s="98"/>
      <c r="D661" s="98"/>
      <c r="E661" s="98"/>
      <c r="F661" s="99"/>
      <c r="G661" s="100"/>
      <c r="H661" s="100"/>
    </row>
    <row r="662" customHeight="1" spans="2:8">
      <c r="B662" s="98"/>
      <c r="C662" s="98"/>
      <c r="D662" s="98"/>
      <c r="E662" s="98"/>
      <c r="F662" s="99"/>
      <c r="G662" s="100"/>
      <c r="H662" s="100"/>
    </row>
    <row r="663" customHeight="1" spans="2:8">
      <c r="B663" s="98"/>
      <c r="C663" s="98"/>
      <c r="D663" s="98"/>
      <c r="E663" s="98"/>
      <c r="F663" s="99"/>
      <c r="G663" s="100"/>
      <c r="H663" s="100"/>
    </row>
    <row r="664" customHeight="1" spans="2:8">
      <c r="B664" s="98"/>
      <c r="C664" s="98"/>
      <c r="D664" s="98"/>
      <c r="E664" s="98"/>
      <c r="F664" s="99"/>
      <c r="G664" s="100"/>
      <c r="H664" s="100"/>
    </row>
    <row r="665" customHeight="1" spans="2:8">
      <c r="B665" s="98"/>
      <c r="C665" s="98"/>
      <c r="D665" s="98"/>
      <c r="E665" s="98"/>
      <c r="F665" s="99"/>
      <c r="G665" s="100"/>
      <c r="H665" s="100"/>
    </row>
    <row r="666" customHeight="1" spans="2:8">
      <c r="B666" s="98"/>
      <c r="C666" s="98"/>
      <c r="D666" s="98"/>
      <c r="E666" s="98"/>
      <c r="F666" s="99"/>
      <c r="G666" s="100"/>
      <c r="H666" s="100"/>
    </row>
    <row r="667" customHeight="1" spans="2:8">
      <c r="B667" s="98"/>
      <c r="C667" s="98"/>
      <c r="D667" s="98"/>
      <c r="E667" s="98"/>
      <c r="F667" s="99"/>
      <c r="G667" s="100"/>
      <c r="H667" s="100"/>
    </row>
    <row r="668" customHeight="1" spans="2:8">
      <c r="B668" s="98"/>
      <c r="C668" s="98"/>
      <c r="D668" s="98"/>
      <c r="E668" s="98"/>
      <c r="F668" s="99"/>
      <c r="G668" s="100"/>
      <c r="H668" s="100"/>
    </row>
    <row r="669" customHeight="1" spans="2:8">
      <c r="B669" s="98"/>
      <c r="C669" s="98"/>
      <c r="D669" s="98"/>
      <c r="E669" s="98"/>
      <c r="F669" s="99"/>
      <c r="G669" s="100"/>
      <c r="H669" s="100"/>
    </row>
    <row r="670" customHeight="1" spans="2:8">
      <c r="B670" s="98"/>
      <c r="C670" s="98"/>
      <c r="D670" s="98"/>
      <c r="E670" s="98"/>
      <c r="F670" s="99"/>
      <c r="G670" s="100"/>
      <c r="H670" s="100"/>
    </row>
    <row r="671" customHeight="1" spans="2:8">
      <c r="B671" s="98"/>
      <c r="C671" s="98"/>
      <c r="D671" s="98"/>
      <c r="E671" s="98"/>
      <c r="F671" s="99"/>
      <c r="G671" s="100"/>
      <c r="H671" s="100"/>
    </row>
    <row r="672" customHeight="1" spans="2:8">
      <c r="B672" s="98"/>
      <c r="C672" s="98"/>
      <c r="D672" s="98"/>
      <c r="E672" s="98"/>
      <c r="F672" s="99"/>
      <c r="G672" s="100"/>
      <c r="H672" s="100"/>
    </row>
    <row r="673" customHeight="1" spans="2:8">
      <c r="B673" s="98"/>
      <c r="C673" s="98"/>
      <c r="D673" s="98"/>
      <c r="E673" s="98"/>
      <c r="F673" s="99"/>
      <c r="G673" s="100"/>
      <c r="H673" s="100"/>
    </row>
    <row r="674" customHeight="1" spans="2:8">
      <c r="B674" s="98"/>
      <c r="C674" s="98"/>
      <c r="D674" s="98"/>
      <c r="E674" s="98"/>
      <c r="F674" s="99"/>
      <c r="G674" s="100"/>
      <c r="H674" s="100"/>
    </row>
    <row r="675" customHeight="1" spans="2:8">
      <c r="B675" s="98"/>
      <c r="C675" s="98"/>
      <c r="D675" s="98"/>
      <c r="E675" s="98"/>
      <c r="F675" s="99"/>
      <c r="G675" s="100"/>
      <c r="H675" s="100"/>
    </row>
    <row r="676" customHeight="1" spans="2:8">
      <c r="B676" s="98"/>
      <c r="C676" s="98"/>
      <c r="D676" s="98"/>
      <c r="E676" s="98"/>
      <c r="F676" s="99"/>
      <c r="G676" s="100"/>
      <c r="H676" s="100"/>
    </row>
    <row r="677" customHeight="1" spans="2:8">
      <c r="B677" s="98"/>
      <c r="C677" s="98"/>
      <c r="D677" s="98"/>
      <c r="E677" s="98"/>
      <c r="F677" s="99"/>
      <c r="G677" s="100"/>
      <c r="H677" s="100"/>
    </row>
    <row r="678" customHeight="1" spans="2:8">
      <c r="B678" s="98"/>
      <c r="C678" s="98"/>
      <c r="D678" s="98"/>
      <c r="E678" s="98"/>
      <c r="F678" s="99"/>
      <c r="G678" s="100"/>
      <c r="H678" s="100"/>
    </row>
    <row r="679" customHeight="1" spans="2:8">
      <c r="B679" s="98"/>
      <c r="C679" s="98"/>
      <c r="D679" s="98"/>
      <c r="E679" s="98"/>
      <c r="F679" s="99"/>
      <c r="G679" s="100"/>
      <c r="H679" s="100"/>
    </row>
    <row r="680" customHeight="1" spans="2:8">
      <c r="B680" s="98"/>
      <c r="C680" s="98"/>
      <c r="D680" s="98"/>
      <c r="E680" s="98"/>
      <c r="F680" s="99"/>
      <c r="G680" s="100"/>
      <c r="H680" s="100"/>
    </row>
    <row r="681" customHeight="1" spans="2:8">
      <c r="B681" s="98"/>
      <c r="C681" s="98"/>
      <c r="D681" s="98"/>
      <c r="E681" s="98"/>
      <c r="F681" s="99"/>
      <c r="G681" s="100"/>
      <c r="H681" s="100"/>
    </row>
    <row r="682" customHeight="1" spans="2:8">
      <c r="B682" s="98"/>
      <c r="C682" s="98"/>
      <c r="D682" s="98"/>
      <c r="E682" s="98"/>
      <c r="F682" s="99"/>
      <c r="G682" s="100"/>
      <c r="H682" s="100"/>
    </row>
    <row r="683" customHeight="1" spans="2:8">
      <c r="B683" s="98"/>
      <c r="C683" s="98"/>
      <c r="D683" s="98"/>
      <c r="E683" s="98"/>
      <c r="F683" s="99"/>
      <c r="G683" s="100"/>
      <c r="H683" s="100"/>
    </row>
    <row r="684" customHeight="1" spans="2:8">
      <c r="B684" s="98"/>
      <c r="C684" s="98"/>
      <c r="D684" s="98"/>
      <c r="E684" s="98"/>
      <c r="F684" s="99"/>
      <c r="G684" s="100"/>
      <c r="H684" s="100"/>
    </row>
    <row r="685" customHeight="1" spans="2:8">
      <c r="B685" s="98"/>
      <c r="C685" s="98"/>
      <c r="D685" s="98"/>
      <c r="E685" s="98"/>
      <c r="F685" s="99"/>
      <c r="G685" s="100"/>
      <c r="H685" s="100"/>
    </row>
    <row r="686" customHeight="1" spans="2:8">
      <c r="B686" s="98"/>
      <c r="C686" s="98"/>
      <c r="D686" s="98"/>
      <c r="E686" s="98"/>
      <c r="F686" s="99"/>
      <c r="G686" s="100"/>
      <c r="H686" s="100"/>
    </row>
    <row r="687" customHeight="1" spans="2:8">
      <c r="B687" s="98"/>
      <c r="C687" s="98"/>
      <c r="D687" s="98"/>
      <c r="E687" s="98"/>
      <c r="F687" s="99"/>
      <c r="G687" s="100"/>
      <c r="H687" s="100"/>
    </row>
    <row r="688" customHeight="1" spans="2:8">
      <c r="B688" s="98"/>
      <c r="C688" s="98"/>
      <c r="D688" s="98"/>
      <c r="E688" s="98"/>
      <c r="F688" s="99"/>
      <c r="G688" s="100"/>
      <c r="H688" s="100"/>
    </row>
    <row r="689" customHeight="1" spans="2:8">
      <c r="B689" s="98"/>
      <c r="C689" s="98"/>
      <c r="D689" s="98"/>
      <c r="E689" s="98"/>
      <c r="F689" s="99"/>
      <c r="G689" s="100"/>
      <c r="H689" s="100"/>
    </row>
    <row r="690" customHeight="1" spans="2:8">
      <c r="B690" s="98"/>
      <c r="C690" s="98"/>
      <c r="D690" s="98"/>
      <c r="E690" s="98"/>
      <c r="F690" s="99"/>
      <c r="G690" s="100"/>
      <c r="H690" s="100"/>
    </row>
    <row r="691" customHeight="1" spans="2:8">
      <c r="B691" s="98"/>
      <c r="C691" s="98"/>
      <c r="D691" s="98"/>
      <c r="E691" s="98"/>
      <c r="F691" s="99"/>
      <c r="G691" s="100"/>
      <c r="H691" s="100"/>
    </row>
    <row r="692" customHeight="1" spans="2:8">
      <c r="B692" s="98"/>
      <c r="C692" s="98"/>
      <c r="D692" s="98"/>
      <c r="E692" s="98"/>
      <c r="F692" s="99"/>
      <c r="G692" s="100"/>
      <c r="H692" s="100"/>
    </row>
    <row r="693" customHeight="1" spans="2:8">
      <c r="B693" s="98"/>
      <c r="C693" s="98"/>
      <c r="D693" s="98"/>
      <c r="E693" s="98"/>
      <c r="F693" s="99"/>
      <c r="G693" s="100"/>
      <c r="H693" s="100"/>
    </row>
    <row r="694" customHeight="1" spans="2:8">
      <c r="B694" s="98"/>
      <c r="C694" s="98"/>
      <c r="D694" s="98"/>
      <c r="E694" s="98"/>
      <c r="F694" s="99"/>
      <c r="G694" s="100"/>
      <c r="H694" s="100"/>
    </row>
    <row r="695" customHeight="1" spans="2:8">
      <c r="B695" s="98"/>
      <c r="C695" s="98"/>
      <c r="D695" s="98"/>
      <c r="E695" s="98"/>
      <c r="F695" s="99"/>
      <c r="G695" s="100"/>
      <c r="H695" s="100"/>
    </row>
    <row r="696" customHeight="1" spans="2:8">
      <c r="B696" s="98"/>
      <c r="C696" s="98"/>
      <c r="D696" s="98"/>
      <c r="E696" s="98"/>
      <c r="F696" s="99"/>
      <c r="G696" s="100"/>
      <c r="H696" s="100"/>
    </row>
    <row r="697" customHeight="1" spans="2:8">
      <c r="B697" s="98"/>
      <c r="C697" s="98"/>
      <c r="D697" s="98"/>
      <c r="E697" s="98"/>
      <c r="F697" s="99"/>
      <c r="G697" s="100"/>
      <c r="H697" s="100"/>
    </row>
    <row r="698" customHeight="1" spans="2:8">
      <c r="B698" s="98"/>
      <c r="C698" s="98"/>
      <c r="D698" s="98"/>
      <c r="E698" s="98"/>
      <c r="F698" s="99"/>
      <c r="G698" s="100"/>
      <c r="H698" s="100"/>
    </row>
    <row r="699" customHeight="1" spans="2:8">
      <c r="B699" s="98"/>
      <c r="C699" s="98"/>
      <c r="D699" s="98"/>
      <c r="E699" s="98"/>
      <c r="F699" s="99"/>
      <c r="G699" s="100"/>
      <c r="H699" s="100"/>
    </row>
    <row r="700" customHeight="1" spans="2:8">
      <c r="B700" s="98"/>
      <c r="C700" s="98"/>
      <c r="D700" s="98"/>
      <c r="E700" s="98"/>
      <c r="F700" s="99"/>
      <c r="G700" s="100"/>
      <c r="H700" s="100"/>
    </row>
    <row r="701" customHeight="1" spans="2:8">
      <c r="B701" s="98"/>
      <c r="C701" s="98"/>
      <c r="D701" s="98"/>
      <c r="E701" s="98"/>
      <c r="F701" s="99"/>
      <c r="G701" s="100"/>
      <c r="H701" s="100"/>
    </row>
    <row r="702" customHeight="1" spans="2:8">
      <c r="B702" s="98"/>
      <c r="C702" s="98"/>
      <c r="D702" s="98"/>
      <c r="E702" s="98"/>
      <c r="F702" s="99"/>
      <c r="G702" s="100"/>
      <c r="H702" s="100"/>
    </row>
    <row r="703" customHeight="1" spans="2:8">
      <c r="B703" s="98"/>
      <c r="C703" s="98"/>
      <c r="D703" s="98"/>
      <c r="E703" s="98"/>
      <c r="F703" s="99"/>
      <c r="G703" s="100"/>
      <c r="H703" s="100"/>
    </row>
    <row r="704" customHeight="1" spans="2:8">
      <c r="B704" s="98"/>
      <c r="C704" s="98"/>
      <c r="D704" s="98"/>
      <c r="E704" s="98"/>
      <c r="F704" s="99"/>
      <c r="G704" s="100"/>
      <c r="H704" s="100"/>
    </row>
    <row r="705" customHeight="1" spans="2:8">
      <c r="B705" s="98"/>
      <c r="C705" s="98"/>
      <c r="D705" s="98"/>
      <c r="E705" s="98"/>
      <c r="F705" s="99"/>
      <c r="G705" s="100"/>
      <c r="H705" s="100"/>
    </row>
    <row r="706" customHeight="1" spans="2:8">
      <c r="B706" s="98"/>
      <c r="C706" s="98"/>
      <c r="D706" s="98"/>
      <c r="E706" s="98"/>
      <c r="F706" s="99"/>
      <c r="G706" s="100"/>
      <c r="H706" s="100"/>
    </row>
    <row r="707" customHeight="1" spans="2:8">
      <c r="B707" s="98"/>
      <c r="C707" s="98"/>
      <c r="D707" s="98"/>
      <c r="E707" s="98"/>
      <c r="F707" s="99"/>
      <c r="G707" s="100"/>
      <c r="H707" s="100"/>
    </row>
    <row r="708" customHeight="1" spans="2:8">
      <c r="B708" s="98"/>
      <c r="C708" s="98"/>
      <c r="D708" s="98"/>
      <c r="E708" s="98"/>
      <c r="F708" s="99"/>
      <c r="G708" s="100"/>
      <c r="H708" s="100"/>
    </row>
    <row r="709" customHeight="1" spans="2:8">
      <c r="B709" s="98"/>
      <c r="C709" s="98"/>
      <c r="D709" s="98"/>
      <c r="E709" s="98"/>
      <c r="F709" s="99"/>
      <c r="G709" s="100"/>
      <c r="H709" s="100"/>
    </row>
    <row r="710" customHeight="1" spans="2:8">
      <c r="B710" s="98"/>
      <c r="C710" s="98"/>
      <c r="D710" s="98"/>
      <c r="E710" s="98"/>
      <c r="F710" s="99"/>
      <c r="G710" s="100"/>
      <c r="H710" s="100"/>
    </row>
    <row r="711" customHeight="1" spans="2:8">
      <c r="B711" s="98"/>
      <c r="C711" s="98"/>
      <c r="D711" s="98"/>
      <c r="E711" s="98"/>
      <c r="F711" s="99"/>
      <c r="G711" s="100"/>
      <c r="H711" s="100"/>
    </row>
    <row r="712" customHeight="1" spans="2:8">
      <c r="B712" s="98"/>
      <c r="C712" s="98"/>
      <c r="D712" s="98"/>
      <c r="E712" s="98"/>
      <c r="F712" s="99"/>
      <c r="G712" s="100"/>
      <c r="H712" s="100"/>
    </row>
    <row r="713" customHeight="1" spans="2:8">
      <c r="B713" s="98"/>
      <c r="C713" s="98"/>
      <c r="D713" s="98"/>
      <c r="E713" s="98"/>
      <c r="F713" s="99"/>
      <c r="G713" s="100"/>
      <c r="H713" s="100"/>
    </row>
    <row r="714" customHeight="1" spans="2:8">
      <c r="B714" s="98"/>
      <c r="C714" s="98"/>
      <c r="D714" s="98"/>
      <c r="E714" s="98"/>
      <c r="F714" s="99"/>
      <c r="G714" s="100"/>
      <c r="H714" s="100"/>
    </row>
    <row r="715" customHeight="1" spans="2:8">
      <c r="B715" s="98"/>
      <c r="C715" s="98"/>
      <c r="D715" s="98"/>
      <c r="E715" s="98"/>
      <c r="F715" s="99"/>
      <c r="G715" s="100"/>
      <c r="H715" s="100"/>
    </row>
    <row r="716" customHeight="1" spans="2:8">
      <c r="B716" s="98"/>
      <c r="C716" s="98"/>
      <c r="D716" s="98"/>
      <c r="E716" s="98"/>
      <c r="F716" s="99"/>
      <c r="G716" s="100"/>
      <c r="H716" s="100"/>
    </row>
    <row r="717" customHeight="1" spans="2:8">
      <c r="B717" s="98"/>
      <c r="C717" s="98"/>
      <c r="D717" s="98"/>
      <c r="E717" s="98"/>
      <c r="F717" s="99"/>
      <c r="G717" s="100"/>
      <c r="H717" s="100"/>
    </row>
    <row r="718" customHeight="1" spans="2:8">
      <c r="B718" s="98"/>
      <c r="C718" s="98"/>
      <c r="D718" s="98"/>
      <c r="E718" s="98"/>
      <c r="F718" s="99"/>
      <c r="G718" s="100"/>
      <c r="H718" s="100"/>
    </row>
    <row r="719" customHeight="1" spans="2:8">
      <c r="B719" s="98"/>
      <c r="C719" s="98"/>
      <c r="D719" s="98"/>
      <c r="E719" s="98"/>
      <c r="F719" s="99"/>
      <c r="G719" s="100"/>
      <c r="H719" s="100"/>
    </row>
    <row r="720" customHeight="1" spans="2:8">
      <c r="B720" s="98"/>
      <c r="C720" s="98"/>
      <c r="D720" s="98"/>
      <c r="E720" s="98"/>
      <c r="F720" s="99"/>
      <c r="G720" s="100"/>
      <c r="H720" s="100"/>
    </row>
    <row r="721" customHeight="1" spans="2:8">
      <c r="B721" s="98"/>
      <c r="C721" s="98"/>
      <c r="D721" s="98"/>
      <c r="E721" s="98"/>
      <c r="F721" s="99"/>
      <c r="G721" s="100"/>
      <c r="H721" s="100"/>
    </row>
    <row r="722" customHeight="1" spans="2:8">
      <c r="B722" s="98"/>
      <c r="C722" s="98"/>
      <c r="D722" s="98"/>
      <c r="E722" s="98"/>
      <c r="F722" s="99"/>
      <c r="G722" s="100"/>
      <c r="H722" s="100"/>
    </row>
    <row r="723" customHeight="1" spans="2:8">
      <c r="B723" s="98"/>
      <c r="C723" s="98"/>
      <c r="D723" s="98"/>
      <c r="E723" s="98"/>
      <c r="F723" s="99"/>
      <c r="G723" s="100"/>
      <c r="H723" s="100"/>
    </row>
    <row r="724" customHeight="1" spans="2:8">
      <c r="B724" s="98"/>
      <c r="C724" s="98"/>
      <c r="D724" s="98"/>
      <c r="E724" s="98"/>
      <c r="F724" s="99"/>
      <c r="G724" s="100"/>
      <c r="H724" s="100"/>
    </row>
    <row r="725" customHeight="1" spans="2:8">
      <c r="B725" s="98"/>
      <c r="C725" s="98"/>
      <c r="D725" s="98"/>
      <c r="E725" s="98"/>
      <c r="F725" s="99"/>
      <c r="G725" s="100"/>
      <c r="H725" s="100"/>
    </row>
    <row r="726" customHeight="1" spans="2:8">
      <c r="B726" s="98"/>
      <c r="C726" s="98"/>
      <c r="D726" s="98"/>
      <c r="E726" s="98"/>
      <c r="F726" s="99"/>
      <c r="G726" s="100"/>
      <c r="H726" s="100"/>
    </row>
    <row r="727" customHeight="1" spans="2:8">
      <c r="B727" s="98"/>
      <c r="C727" s="98"/>
      <c r="D727" s="98"/>
      <c r="E727" s="98"/>
      <c r="F727" s="99"/>
      <c r="G727" s="100"/>
      <c r="H727" s="100"/>
    </row>
    <row r="728" customHeight="1" spans="2:8">
      <c r="B728" s="98"/>
      <c r="C728" s="98"/>
      <c r="D728" s="98"/>
      <c r="E728" s="98"/>
      <c r="F728" s="99"/>
      <c r="G728" s="100"/>
      <c r="H728" s="100"/>
    </row>
    <row r="729" customHeight="1" spans="2:8">
      <c r="B729" s="98"/>
      <c r="C729" s="98"/>
      <c r="D729" s="98"/>
      <c r="E729" s="98"/>
      <c r="F729" s="99"/>
      <c r="G729" s="100"/>
      <c r="H729" s="100"/>
    </row>
    <row r="730" customHeight="1" spans="2:8">
      <c r="B730" s="98"/>
      <c r="C730" s="98"/>
      <c r="D730" s="98"/>
      <c r="E730" s="98"/>
      <c r="F730" s="99"/>
      <c r="G730" s="100"/>
      <c r="H730" s="100"/>
    </row>
    <row r="731" customHeight="1" spans="2:8">
      <c r="B731" s="98"/>
      <c r="C731" s="98"/>
      <c r="D731" s="98"/>
      <c r="E731" s="98"/>
      <c r="F731" s="99"/>
      <c r="G731" s="100"/>
      <c r="H731" s="100"/>
    </row>
    <row r="732" customHeight="1" spans="2:8">
      <c r="B732" s="98"/>
      <c r="C732" s="98"/>
      <c r="D732" s="98"/>
      <c r="E732" s="98"/>
      <c r="F732" s="99"/>
      <c r="G732" s="100"/>
      <c r="H732" s="100"/>
    </row>
    <row r="733" customHeight="1" spans="2:8">
      <c r="B733" s="98"/>
      <c r="C733" s="98"/>
      <c r="D733" s="98"/>
      <c r="E733" s="98"/>
      <c r="F733" s="99"/>
      <c r="G733" s="100"/>
      <c r="H733" s="100"/>
    </row>
    <row r="734" customHeight="1" spans="2:8">
      <c r="B734" s="98"/>
      <c r="C734" s="98"/>
      <c r="D734" s="98"/>
      <c r="E734" s="98"/>
      <c r="F734" s="99"/>
      <c r="G734" s="100"/>
      <c r="H734" s="100"/>
    </row>
    <row r="735" customHeight="1" spans="2:8">
      <c r="B735" s="98"/>
      <c r="C735" s="98"/>
      <c r="D735" s="98"/>
      <c r="E735" s="98"/>
      <c r="F735" s="99"/>
      <c r="G735" s="100"/>
      <c r="H735" s="100"/>
    </row>
    <row r="736" customHeight="1" spans="2:8">
      <c r="B736" s="98"/>
      <c r="C736" s="98"/>
      <c r="D736" s="98"/>
      <c r="E736" s="98"/>
      <c r="F736" s="99"/>
      <c r="G736" s="100"/>
      <c r="H736" s="100"/>
    </row>
    <row r="737" customHeight="1" spans="2:8">
      <c r="B737" s="98"/>
      <c r="C737" s="98"/>
      <c r="D737" s="98"/>
      <c r="E737" s="98"/>
      <c r="F737" s="99"/>
      <c r="G737" s="100"/>
      <c r="H737" s="100"/>
    </row>
    <row r="738" customHeight="1" spans="2:8">
      <c r="B738" s="98"/>
      <c r="C738" s="98"/>
      <c r="D738" s="98"/>
      <c r="E738" s="98"/>
      <c r="F738" s="99"/>
      <c r="G738" s="100"/>
      <c r="H738" s="100"/>
    </row>
    <row r="739" customHeight="1" spans="2:8">
      <c r="B739" s="98"/>
      <c r="C739" s="98"/>
      <c r="D739" s="98"/>
      <c r="E739" s="98"/>
      <c r="F739" s="99"/>
      <c r="G739" s="100"/>
      <c r="H739" s="100"/>
    </row>
    <row r="740" customHeight="1" spans="2:8">
      <c r="B740" s="98"/>
      <c r="C740" s="98"/>
      <c r="D740" s="98"/>
      <c r="E740" s="98"/>
      <c r="F740" s="99"/>
      <c r="G740" s="100"/>
      <c r="H740" s="100"/>
    </row>
    <row r="741" customHeight="1" spans="2:8">
      <c r="B741" s="98"/>
      <c r="C741" s="98"/>
      <c r="D741" s="98"/>
      <c r="E741" s="98"/>
      <c r="F741" s="99"/>
      <c r="G741" s="100"/>
      <c r="H741" s="100"/>
    </row>
    <row r="742" customHeight="1" spans="2:8">
      <c r="B742" s="98"/>
      <c r="C742" s="98"/>
      <c r="D742" s="98"/>
      <c r="E742" s="98"/>
      <c r="F742" s="99"/>
      <c r="G742" s="100"/>
      <c r="H742" s="100"/>
    </row>
    <row r="743" customHeight="1" spans="2:8">
      <c r="B743" s="98"/>
      <c r="C743" s="98"/>
      <c r="D743" s="98"/>
      <c r="E743" s="98"/>
      <c r="F743" s="99"/>
      <c r="G743" s="100"/>
      <c r="H743" s="100"/>
    </row>
    <row r="744" customHeight="1" spans="2:8">
      <c r="B744" s="98"/>
      <c r="C744" s="98"/>
      <c r="D744" s="98"/>
      <c r="E744" s="98"/>
      <c r="F744" s="99"/>
      <c r="G744" s="100"/>
      <c r="H744" s="100"/>
    </row>
    <row r="745" customHeight="1" spans="2:8">
      <c r="B745" s="98"/>
      <c r="C745" s="98"/>
      <c r="D745" s="98"/>
      <c r="E745" s="98"/>
      <c r="F745" s="99"/>
      <c r="G745" s="100"/>
      <c r="H745" s="100"/>
    </row>
    <row r="746" customHeight="1" spans="2:8">
      <c r="B746" s="98"/>
      <c r="C746" s="98"/>
      <c r="D746" s="98"/>
      <c r="E746" s="98"/>
      <c r="F746" s="99"/>
      <c r="G746" s="100"/>
      <c r="H746" s="100"/>
    </row>
    <row r="747" customHeight="1" spans="2:8">
      <c r="B747" s="98"/>
      <c r="C747" s="98"/>
      <c r="D747" s="98"/>
      <c r="E747" s="98"/>
      <c r="F747" s="99"/>
      <c r="G747" s="100"/>
      <c r="H747" s="100"/>
    </row>
    <row r="748" customHeight="1" spans="2:8">
      <c r="B748" s="98"/>
      <c r="C748" s="98"/>
      <c r="D748" s="98"/>
      <c r="E748" s="98"/>
      <c r="F748" s="99"/>
      <c r="G748" s="100"/>
      <c r="H748" s="100"/>
    </row>
    <row r="749" customHeight="1" spans="2:8">
      <c r="B749" s="98"/>
      <c r="C749" s="98"/>
      <c r="D749" s="98"/>
      <c r="E749" s="98"/>
      <c r="F749" s="99"/>
      <c r="G749" s="100"/>
      <c r="H749" s="100"/>
    </row>
    <row r="750" customHeight="1" spans="2:8">
      <c r="B750" s="98"/>
      <c r="C750" s="98"/>
      <c r="D750" s="98"/>
      <c r="E750" s="98"/>
      <c r="F750" s="99"/>
      <c r="G750" s="100"/>
      <c r="H750" s="100"/>
    </row>
    <row r="751" customHeight="1" spans="2:8">
      <c r="B751" s="98"/>
      <c r="C751" s="98"/>
      <c r="D751" s="98"/>
      <c r="E751" s="98"/>
      <c r="F751" s="99"/>
      <c r="G751" s="100"/>
      <c r="H751" s="100"/>
    </row>
    <row r="752" customHeight="1" spans="2:8">
      <c r="B752" s="98"/>
      <c r="C752" s="98"/>
      <c r="D752" s="98"/>
      <c r="E752" s="98"/>
      <c r="F752" s="99"/>
      <c r="G752" s="100"/>
      <c r="H752" s="100"/>
    </row>
    <row r="753" customHeight="1" spans="2:8">
      <c r="B753" s="98"/>
      <c r="C753" s="98"/>
      <c r="D753" s="98"/>
      <c r="E753" s="98"/>
      <c r="F753" s="99"/>
      <c r="G753" s="100"/>
      <c r="H753" s="100"/>
    </row>
    <row r="754" customHeight="1" spans="2:8">
      <c r="B754" s="98"/>
      <c r="C754" s="98"/>
      <c r="D754" s="98"/>
      <c r="E754" s="98"/>
      <c r="F754" s="99"/>
      <c r="G754" s="100"/>
      <c r="H754" s="100"/>
    </row>
    <row r="755" customHeight="1" spans="2:8">
      <c r="B755" s="98"/>
      <c r="C755" s="98"/>
      <c r="D755" s="98"/>
      <c r="E755" s="98"/>
      <c r="F755" s="99"/>
      <c r="G755" s="100"/>
      <c r="H755" s="100"/>
    </row>
    <row r="756" customHeight="1" spans="2:8">
      <c r="B756" s="98"/>
      <c r="C756" s="98"/>
      <c r="D756" s="98"/>
      <c r="E756" s="98"/>
      <c r="F756" s="99"/>
      <c r="G756" s="100"/>
      <c r="H756" s="100"/>
    </row>
    <row r="757" customHeight="1" spans="2:8">
      <c r="B757" s="98"/>
      <c r="C757" s="98"/>
      <c r="D757" s="98"/>
      <c r="E757" s="98"/>
      <c r="F757" s="99"/>
      <c r="G757" s="100"/>
      <c r="H757" s="100"/>
    </row>
    <row r="758" customHeight="1" spans="2:8">
      <c r="B758" s="98"/>
      <c r="C758" s="98"/>
      <c r="D758" s="98"/>
      <c r="E758" s="98"/>
      <c r="F758" s="99"/>
      <c r="G758" s="100"/>
      <c r="H758" s="100"/>
    </row>
    <row r="759" customHeight="1" spans="2:8">
      <c r="B759" s="98"/>
      <c r="C759" s="98"/>
      <c r="D759" s="98"/>
      <c r="E759" s="98"/>
      <c r="F759" s="99"/>
      <c r="G759" s="100"/>
      <c r="H759" s="100"/>
    </row>
    <row r="760" customHeight="1" spans="2:8">
      <c r="B760" s="98"/>
      <c r="C760" s="98"/>
      <c r="D760" s="98"/>
      <c r="E760" s="98"/>
      <c r="F760" s="99"/>
      <c r="G760" s="100"/>
      <c r="H760" s="100"/>
    </row>
    <row r="761" customHeight="1" spans="2:8">
      <c r="B761" s="98"/>
      <c r="C761" s="98"/>
      <c r="D761" s="98"/>
      <c r="E761" s="98"/>
      <c r="F761" s="99"/>
      <c r="G761" s="100"/>
      <c r="H761" s="100"/>
    </row>
    <row r="762" customHeight="1" spans="2:8">
      <c r="B762" s="98"/>
      <c r="C762" s="98"/>
      <c r="D762" s="98"/>
      <c r="E762" s="98"/>
      <c r="F762" s="99"/>
      <c r="G762" s="100"/>
      <c r="H762" s="100"/>
    </row>
    <row r="763" customHeight="1" spans="2:8">
      <c r="B763" s="98"/>
      <c r="C763" s="98"/>
      <c r="D763" s="98"/>
      <c r="E763" s="98"/>
      <c r="F763" s="99"/>
      <c r="G763" s="100"/>
      <c r="H763" s="100"/>
    </row>
    <row r="764" customHeight="1" spans="2:8">
      <c r="B764" s="98"/>
      <c r="C764" s="98"/>
      <c r="D764" s="98"/>
      <c r="E764" s="98"/>
      <c r="F764" s="99"/>
      <c r="G764" s="100"/>
      <c r="H764" s="100"/>
    </row>
    <row r="765" customHeight="1" spans="2:8">
      <c r="B765" s="98"/>
      <c r="C765" s="98"/>
      <c r="D765" s="98"/>
      <c r="E765" s="98"/>
      <c r="F765" s="99"/>
      <c r="G765" s="100"/>
      <c r="H765" s="100"/>
    </row>
    <row r="766" customHeight="1" spans="2:8">
      <c r="B766" s="98"/>
      <c r="C766" s="98"/>
      <c r="D766" s="98"/>
      <c r="E766" s="98"/>
      <c r="F766" s="99"/>
      <c r="G766" s="100"/>
      <c r="H766" s="100"/>
    </row>
    <row r="767" customHeight="1" spans="2:8">
      <c r="B767" s="98"/>
      <c r="C767" s="98"/>
      <c r="D767" s="98"/>
      <c r="E767" s="98"/>
      <c r="F767" s="99"/>
      <c r="G767" s="100"/>
      <c r="H767" s="100"/>
    </row>
    <row r="768" customHeight="1" spans="2:8">
      <c r="B768" s="98"/>
      <c r="C768" s="98"/>
      <c r="D768" s="98"/>
      <c r="E768" s="98"/>
      <c r="F768" s="99"/>
      <c r="G768" s="100"/>
      <c r="H768" s="100"/>
    </row>
    <row r="769" customHeight="1" spans="2:8">
      <c r="B769" s="98"/>
      <c r="C769" s="98"/>
      <c r="D769" s="98"/>
      <c r="E769" s="98"/>
      <c r="F769" s="99"/>
      <c r="G769" s="100"/>
      <c r="H769" s="100"/>
    </row>
    <row r="770" customHeight="1" spans="2:8">
      <c r="B770" s="98"/>
      <c r="C770" s="98"/>
      <c r="D770" s="98"/>
      <c r="E770" s="98"/>
      <c r="F770" s="99"/>
      <c r="G770" s="100"/>
      <c r="H770" s="100"/>
    </row>
    <row r="771" customHeight="1" spans="2:8">
      <c r="B771" s="98"/>
      <c r="C771" s="98"/>
      <c r="D771" s="98"/>
      <c r="E771" s="98"/>
      <c r="F771" s="99"/>
      <c r="G771" s="100"/>
      <c r="H771" s="100"/>
    </row>
    <row r="772" customHeight="1" spans="2:8">
      <c r="B772" s="98"/>
      <c r="C772" s="98"/>
      <c r="D772" s="98"/>
      <c r="E772" s="98"/>
      <c r="F772" s="99"/>
      <c r="G772" s="100"/>
      <c r="H772" s="100"/>
    </row>
    <row r="773" customHeight="1" spans="2:8">
      <c r="B773" s="98"/>
      <c r="C773" s="98"/>
      <c r="D773" s="98"/>
      <c r="E773" s="98"/>
      <c r="F773" s="99"/>
      <c r="G773" s="100"/>
      <c r="H773" s="100"/>
    </row>
    <row r="774" customHeight="1" spans="2:8">
      <c r="B774" s="98"/>
      <c r="C774" s="98"/>
      <c r="D774" s="98"/>
      <c r="E774" s="98"/>
      <c r="F774" s="99"/>
      <c r="G774" s="100"/>
      <c r="H774" s="100"/>
    </row>
    <row r="775" customHeight="1" spans="2:8">
      <c r="B775" s="98"/>
      <c r="C775" s="98"/>
      <c r="D775" s="98"/>
      <c r="E775" s="98"/>
      <c r="F775" s="99"/>
      <c r="G775" s="100"/>
      <c r="H775" s="100"/>
    </row>
    <row r="776" customHeight="1" spans="2:8">
      <c r="B776" s="98"/>
      <c r="C776" s="98"/>
      <c r="D776" s="98"/>
      <c r="E776" s="98"/>
      <c r="F776" s="99"/>
      <c r="G776" s="100"/>
      <c r="H776" s="100"/>
    </row>
    <row r="777" customHeight="1" spans="2:8">
      <c r="B777" s="98"/>
      <c r="C777" s="98"/>
      <c r="D777" s="98"/>
      <c r="E777" s="98"/>
      <c r="F777" s="99"/>
      <c r="G777" s="100"/>
      <c r="H777" s="100"/>
    </row>
    <row r="778" customHeight="1" spans="2:8">
      <c r="B778" s="98"/>
      <c r="C778" s="98"/>
      <c r="D778" s="98"/>
      <c r="E778" s="98"/>
      <c r="F778" s="99"/>
      <c r="G778" s="100"/>
      <c r="H778" s="100"/>
    </row>
    <row r="779" customHeight="1" spans="2:8">
      <c r="B779" s="98"/>
      <c r="C779" s="98"/>
      <c r="D779" s="98"/>
      <c r="E779" s="98"/>
      <c r="F779" s="99"/>
      <c r="G779" s="100"/>
      <c r="H779" s="100"/>
    </row>
    <row r="780" customHeight="1" spans="2:8">
      <c r="B780" s="98"/>
      <c r="C780" s="98"/>
      <c r="D780" s="98"/>
      <c r="E780" s="98"/>
      <c r="F780" s="99"/>
      <c r="G780" s="100"/>
      <c r="H780" s="100"/>
    </row>
    <row r="781" customHeight="1" spans="2:8">
      <c r="B781" s="98"/>
      <c r="C781" s="98"/>
      <c r="D781" s="98"/>
      <c r="E781" s="98"/>
      <c r="F781" s="99"/>
      <c r="G781" s="100"/>
      <c r="H781" s="100"/>
    </row>
    <row r="782" customHeight="1" spans="2:8">
      <c r="B782" s="98"/>
      <c r="C782" s="98"/>
      <c r="D782" s="98"/>
      <c r="E782" s="98"/>
      <c r="F782" s="99"/>
      <c r="G782" s="100"/>
      <c r="H782" s="100"/>
    </row>
    <row r="783" customHeight="1" spans="2:8">
      <c r="B783" s="98"/>
      <c r="C783" s="98"/>
      <c r="D783" s="98"/>
      <c r="E783" s="98"/>
      <c r="F783" s="99"/>
      <c r="G783" s="100"/>
      <c r="H783" s="100"/>
    </row>
    <row r="784" customHeight="1" spans="2:8">
      <c r="B784" s="98"/>
      <c r="C784" s="98"/>
      <c r="D784" s="98"/>
      <c r="E784" s="98"/>
      <c r="F784" s="99"/>
      <c r="G784" s="100"/>
      <c r="H784" s="100"/>
    </row>
    <row r="785" customHeight="1" spans="2:8">
      <c r="B785" s="98"/>
      <c r="C785" s="98"/>
      <c r="D785" s="98"/>
      <c r="E785" s="98"/>
      <c r="F785" s="99"/>
      <c r="G785" s="100"/>
      <c r="H785" s="100"/>
    </row>
    <row r="786" customHeight="1" spans="2:8">
      <c r="B786" s="98"/>
      <c r="C786" s="98"/>
      <c r="D786" s="98"/>
      <c r="E786" s="98"/>
      <c r="F786" s="99"/>
      <c r="G786" s="100"/>
      <c r="H786" s="100"/>
    </row>
    <row r="787" customHeight="1" spans="2:8">
      <c r="B787" s="98"/>
      <c r="C787" s="98"/>
      <c r="D787" s="98"/>
      <c r="E787" s="98"/>
      <c r="F787" s="99"/>
      <c r="G787" s="100"/>
      <c r="H787" s="100"/>
    </row>
    <row r="788" customHeight="1" spans="2:8">
      <c r="B788" s="98"/>
      <c r="C788" s="98"/>
      <c r="D788" s="98"/>
      <c r="E788" s="98"/>
      <c r="F788" s="99"/>
      <c r="G788" s="100"/>
      <c r="H788" s="100"/>
    </row>
    <row r="789" customHeight="1" spans="2:8">
      <c r="B789" s="98"/>
      <c r="C789" s="98"/>
      <c r="D789" s="98"/>
      <c r="E789" s="98"/>
      <c r="F789" s="99"/>
      <c r="G789" s="100"/>
      <c r="H789" s="100"/>
    </row>
    <row r="790" customHeight="1" spans="2:8">
      <c r="B790" s="98"/>
      <c r="C790" s="98"/>
      <c r="D790" s="98"/>
      <c r="E790" s="98"/>
      <c r="F790" s="99"/>
      <c r="G790" s="100"/>
      <c r="H790" s="100"/>
    </row>
    <row r="791" customHeight="1" spans="2:8">
      <c r="B791" s="98"/>
      <c r="C791" s="98"/>
      <c r="D791" s="98"/>
      <c r="E791" s="98"/>
      <c r="F791" s="99"/>
      <c r="G791" s="100"/>
      <c r="H791" s="100"/>
    </row>
    <row r="792" customHeight="1" spans="2:8">
      <c r="B792" s="98"/>
      <c r="C792" s="98"/>
      <c r="D792" s="98"/>
      <c r="E792" s="98"/>
      <c r="F792" s="99"/>
      <c r="G792" s="100"/>
      <c r="H792" s="100"/>
    </row>
    <row r="793" customHeight="1" spans="2:8">
      <c r="B793" s="98"/>
      <c r="C793" s="98"/>
      <c r="D793" s="98"/>
      <c r="E793" s="98"/>
      <c r="F793" s="99"/>
      <c r="G793" s="100"/>
      <c r="H793" s="100"/>
    </row>
    <row r="794" customHeight="1" spans="2:8">
      <c r="B794" s="98"/>
      <c r="C794" s="98"/>
      <c r="D794" s="98"/>
      <c r="E794" s="98"/>
      <c r="F794" s="99"/>
      <c r="G794" s="100"/>
      <c r="H794" s="100"/>
    </row>
    <row r="795" customHeight="1" spans="2:8">
      <c r="B795" s="98"/>
      <c r="C795" s="98"/>
      <c r="D795" s="98"/>
      <c r="E795" s="98"/>
      <c r="F795" s="99"/>
      <c r="G795" s="100"/>
      <c r="H795" s="100"/>
    </row>
    <row r="796" customHeight="1" spans="2:8">
      <c r="B796" s="98"/>
      <c r="C796" s="98"/>
      <c r="D796" s="98"/>
      <c r="E796" s="98"/>
      <c r="F796" s="99"/>
      <c r="G796" s="100"/>
      <c r="H796" s="100"/>
    </row>
    <row r="797" customHeight="1" spans="2:8">
      <c r="B797" s="98"/>
      <c r="C797" s="98"/>
      <c r="D797" s="98"/>
      <c r="E797" s="98"/>
      <c r="F797" s="99"/>
      <c r="G797" s="100"/>
      <c r="H797" s="100"/>
    </row>
    <row r="798" customHeight="1" spans="2:8">
      <c r="B798" s="98"/>
      <c r="C798" s="98"/>
      <c r="D798" s="98"/>
      <c r="E798" s="98"/>
      <c r="F798" s="99"/>
      <c r="G798" s="100"/>
      <c r="H798" s="100"/>
    </row>
    <row r="799" customHeight="1" spans="2:8">
      <c r="B799" s="98"/>
      <c r="C799" s="98"/>
      <c r="D799" s="98"/>
      <c r="E799" s="98"/>
      <c r="F799" s="99"/>
      <c r="G799" s="100"/>
      <c r="H799" s="100"/>
    </row>
    <row r="800" customHeight="1" spans="2:8">
      <c r="B800" s="98"/>
      <c r="C800" s="98"/>
      <c r="D800" s="98"/>
      <c r="E800" s="98"/>
      <c r="F800" s="99"/>
      <c r="G800" s="100"/>
      <c r="H800" s="100"/>
    </row>
    <row r="801" customHeight="1" spans="2:8">
      <c r="B801" s="98"/>
      <c r="C801" s="98"/>
      <c r="D801" s="98"/>
      <c r="E801" s="98"/>
      <c r="F801" s="99"/>
      <c r="G801" s="100"/>
      <c r="H801" s="100"/>
    </row>
    <row r="802" customHeight="1" spans="2:8">
      <c r="B802" s="98"/>
      <c r="C802" s="98"/>
      <c r="D802" s="98"/>
      <c r="E802" s="98"/>
      <c r="F802" s="99"/>
      <c r="G802" s="100"/>
      <c r="H802" s="100"/>
    </row>
    <row r="803" customHeight="1" spans="2:8">
      <c r="B803" s="98"/>
      <c r="C803" s="98"/>
      <c r="D803" s="98"/>
      <c r="E803" s="98"/>
      <c r="F803" s="99"/>
      <c r="G803" s="100"/>
      <c r="H803" s="100"/>
    </row>
    <row r="804" customHeight="1" spans="2:8">
      <c r="B804" s="98"/>
      <c r="C804" s="98"/>
      <c r="D804" s="98"/>
      <c r="E804" s="98"/>
      <c r="F804" s="99"/>
      <c r="G804" s="100"/>
      <c r="H804" s="100"/>
    </row>
    <row r="805" customHeight="1" spans="2:8">
      <c r="B805" s="98"/>
      <c r="C805" s="98"/>
      <c r="D805" s="98"/>
      <c r="E805" s="98"/>
      <c r="F805" s="99"/>
      <c r="G805" s="100"/>
      <c r="H805" s="100"/>
    </row>
    <row r="806" customHeight="1" spans="2:8">
      <c r="B806" s="98"/>
      <c r="C806" s="98"/>
      <c r="D806" s="98"/>
      <c r="E806" s="98"/>
      <c r="F806" s="99"/>
      <c r="G806" s="100"/>
      <c r="H806" s="100"/>
    </row>
    <row r="807" customHeight="1" spans="2:8">
      <c r="B807" s="98"/>
      <c r="C807" s="98"/>
      <c r="D807" s="98"/>
      <c r="E807" s="98"/>
      <c r="F807" s="99"/>
      <c r="G807" s="100"/>
      <c r="H807" s="100"/>
    </row>
    <row r="808" customHeight="1" spans="2:8">
      <c r="B808" s="98"/>
      <c r="C808" s="98"/>
      <c r="D808" s="98"/>
      <c r="E808" s="98"/>
      <c r="F808" s="99"/>
      <c r="G808" s="100"/>
      <c r="H808" s="100"/>
    </row>
    <row r="809" customHeight="1" spans="2:8">
      <c r="B809" s="98"/>
      <c r="C809" s="98"/>
      <c r="D809" s="98"/>
      <c r="E809" s="98"/>
      <c r="F809" s="99"/>
      <c r="G809" s="100"/>
      <c r="H809" s="100"/>
    </row>
    <row r="810" customHeight="1" spans="2:8">
      <c r="B810" s="98"/>
      <c r="C810" s="98"/>
      <c r="D810" s="98"/>
      <c r="E810" s="98"/>
      <c r="F810" s="99"/>
      <c r="G810" s="100"/>
      <c r="H810" s="100"/>
    </row>
    <row r="811" customHeight="1" spans="2:8">
      <c r="B811" s="98"/>
      <c r="C811" s="98"/>
      <c r="D811" s="98"/>
      <c r="E811" s="98"/>
      <c r="F811" s="99"/>
      <c r="G811" s="100"/>
      <c r="H811" s="100"/>
    </row>
    <row r="812" customHeight="1" spans="2:8">
      <c r="B812" s="98"/>
      <c r="C812" s="98"/>
      <c r="D812" s="98"/>
      <c r="E812" s="98"/>
      <c r="F812" s="99"/>
      <c r="G812" s="100"/>
      <c r="H812" s="100"/>
    </row>
    <row r="813" customHeight="1" spans="2:8">
      <c r="B813" s="98"/>
      <c r="C813" s="98"/>
      <c r="D813" s="98"/>
      <c r="E813" s="98"/>
      <c r="F813" s="99"/>
      <c r="G813" s="100"/>
      <c r="H813" s="100"/>
    </row>
    <row r="814" customHeight="1" spans="2:8">
      <c r="B814" s="98"/>
      <c r="C814" s="98"/>
      <c r="D814" s="98"/>
      <c r="E814" s="98"/>
      <c r="F814" s="99"/>
      <c r="G814" s="100"/>
      <c r="H814" s="100"/>
    </row>
    <row r="815" customHeight="1" spans="2:8">
      <c r="B815" s="98"/>
      <c r="C815" s="98"/>
      <c r="D815" s="98"/>
      <c r="E815" s="98"/>
      <c r="F815" s="99"/>
      <c r="G815" s="100"/>
      <c r="H815" s="100"/>
    </row>
    <row r="816" customHeight="1" spans="2:8">
      <c r="B816" s="98"/>
      <c r="C816" s="98"/>
      <c r="D816" s="98"/>
      <c r="E816" s="98"/>
      <c r="F816" s="99"/>
      <c r="G816" s="100"/>
      <c r="H816" s="100"/>
    </row>
    <row r="817" customHeight="1" spans="2:8">
      <c r="B817" s="98"/>
      <c r="C817" s="98"/>
      <c r="D817" s="98"/>
      <c r="E817" s="98"/>
      <c r="F817" s="99"/>
      <c r="G817" s="100"/>
      <c r="H817" s="100"/>
    </row>
    <row r="818" customHeight="1" spans="2:8">
      <c r="B818" s="98"/>
      <c r="C818" s="98"/>
      <c r="D818" s="98"/>
      <c r="E818" s="98"/>
      <c r="F818" s="99"/>
      <c r="G818" s="100"/>
      <c r="H818" s="100"/>
    </row>
    <row r="819" customHeight="1" spans="2:8">
      <c r="B819" s="98"/>
      <c r="C819" s="98"/>
      <c r="D819" s="98"/>
      <c r="E819" s="98"/>
      <c r="F819" s="99"/>
      <c r="G819" s="100"/>
      <c r="H819" s="100"/>
    </row>
    <row r="820" customHeight="1" spans="2:8">
      <c r="B820" s="98"/>
      <c r="C820" s="98"/>
      <c r="D820" s="98"/>
      <c r="E820" s="98"/>
      <c r="F820" s="99"/>
      <c r="G820" s="100"/>
      <c r="H820" s="100"/>
    </row>
    <row r="821" customHeight="1" spans="2:8">
      <c r="B821" s="98"/>
      <c r="C821" s="98"/>
      <c r="D821" s="98"/>
      <c r="E821" s="98"/>
      <c r="F821" s="99"/>
      <c r="G821" s="100"/>
      <c r="H821" s="100"/>
    </row>
    <row r="822" customHeight="1" spans="2:8">
      <c r="B822" s="98"/>
      <c r="C822" s="98"/>
      <c r="D822" s="98"/>
      <c r="E822" s="98"/>
      <c r="F822" s="99"/>
      <c r="G822" s="100"/>
      <c r="H822" s="100"/>
    </row>
    <row r="823" customHeight="1" spans="2:8">
      <c r="B823" s="98"/>
      <c r="C823" s="98"/>
      <c r="D823" s="98"/>
      <c r="E823" s="98"/>
      <c r="F823" s="99"/>
      <c r="G823" s="100"/>
      <c r="H823" s="100"/>
    </row>
    <row r="824" customHeight="1" spans="2:8">
      <c r="B824" s="98"/>
      <c r="C824" s="98"/>
      <c r="D824" s="98"/>
      <c r="E824" s="98"/>
      <c r="F824" s="99"/>
      <c r="G824" s="100"/>
      <c r="H824" s="100"/>
    </row>
    <row r="825" customHeight="1" spans="2:8">
      <c r="B825" s="98"/>
      <c r="C825" s="98"/>
      <c r="D825" s="98"/>
      <c r="E825" s="98"/>
      <c r="F825" s="99"/>
      <c r="G825" s="100"/>
      <c r="H825" s="100"/>
    </row>
    <row r="826" customHeight="1" spans="2:8">
      <c r="B826" s="98"/>
      <c r="C826" s="98"/>
      <c r="D826" s="98"/>
      <c r="E826" s="98"/>
      <c r="F826" s="99"/>
      <c r="G826" s="100"/>
      <c r="H826" s="100"/>
    </row>
    <row r="827" customHeight="1" spans="2:8">
      <c r="B827" s="98"/>
      <c r="C827" s="98"/>
      <c r="D827" s="98"/>
      <c r="E827" s="98"/>
      <c r="F827" s="99"/>
      <c r="G827" s="100"/>
      <c r="H827" s="100"/>
    </row>
    <row r="828" customHeight="1" spans="2:8">
      <c r="B828" s="98"/>
      <c r="C828" s="98"/>
      <c r="D828" s="98"/>
      <c r="E828" s="98"/>
      <c r="F828" s="99"/>
      <c r="G828" s="100"/>
      <c r="H828" s="100"/>
    </row>
    <row r="829" customHeight="1" spans="2:8">
      <c r="B829" s="98"/>
      <c r="C829" s="98"/>
      <c r="D829" s="98"/>
      <c r="E829" s="98"/>
      <c r="F829" s="99"/>
      <c r="G829" s="100"/>
      <c r="H829" s="100"/>
    </row>
    <row r="830" customHeight="1" spans="2:8">
      <c r="B830" s="98"/>
      <c r="C830" s="98"/>
      <c r="D830" s="98"/>
      <c r="E830" s="98"/>
      <c r="F830" s="99"/>
      <c r="G830" s="100"/>
      <c r="H830" s="100"/>
    </row>
    <row r="831" customHeight="1" spans="2:8">
      <c r="B831" s="98"/>
      <c r="C831" s="98"/>
      <c r="D831" s="98"/>
      <c r="E831" s="98"/>
      <c r="F831" s="99"/>
      <c r="G831" s="100"/>
      <c r="H831" s="100"/>
    </row>
    <row r="832" customHeight="1" spans="2:8">
      <c r="B832" s="98"/>
      <c r="C832" s="98"/>
      <c r="D832" s="98"/>
      <c r="E832" s="98"/>
      <c r="F832" s="99"/>
      <c r="G832" s="100"/>
      <c r="H832" s="100"/>
    </row>
    <row r="833" customHeight="1" spans="2:8">
      <c r="B833" s="98"/>
      <c r="C833" s="98"/>
      <c r="D833" s="98"/>
      <c r="E833" s="98"/>
      <c r="F833" s="99"/>
      <c r="G833" s="100"/>
      <c r="H833" s="100"/>
    </row>
    <row r="834" customHeight="1" spans="2:8">
      <c r="B834" s="98"/>
      <c r="C834" s="98"/>
      <c r="D834" s="98"/>
      <c r="E834" s="98"/>
      <c r="F834" s="99"/>
      <c r="G834" s="100"/>
      <c r="H834" s="100"/>
    </row>
    <row r="835" customHeight="1" spans="2:8">
      <c r="B835" s="98"/>
      <c r="C835" s="98"/>
      <c r="D835" s="98"/>
      <c r="E835" s="98"/>
      <c r="F835" s="99"/>
      <c r="G835" s="100"/>
      <c r="H835" s="100"/>
    </row>
    <row r="836" customHeight="1" spans="2:8">
      <c r="B836" s="98"/>
      <c r="C836" s="98"/>
      <c r="D836" s="98"/>
      <c r="E836" s="98"/>
      <c r="F836" s="99"/>
      <c r="G836" s="100"/>
      <c r="H836" s="100"/>
    </row>
    <row r="837" customHeight="1" spans="2:8">
      <c r="B837" s="98"/>
      <c r="C837" s="98"/>
      <c r="D837" s="98"/>
      <c r="E837" s="98"/>
      <c r="F837" s="99"/>
      <c r="G837" s="100"/>
      <c r="H837" s="100"/>
    </row>
    <row r="838" customHeight="1" spans="2:8">
      <c r="B838" s="98"/>
      <c r="C838" s="98"/>
      <c r="D838" s="98"/>
      <c r="E838" s="98"/>
      <c r="F838" s="99"/>
      <c r="G838" s="100"/>
      <c r="H838" s="100"/>
    </row>
    <row r="839" customHeight="1" spans="2:8">
      <c r="B839" s="98"/>
      <c r="C839" s="98"/>
      <c r="D839" s="98"/>
      <c r="E839" s="98"/>
      <c r="F839" s="99"/>
      <c r="G839" s="100"/>
      <c r="H839" s="100"/>
    </row>
    <row r="840" customHeight="1" spans="2:8">
      <c r="B840" s="98"/>
      <c r="C840" s="98"/>
      <c r="D840" s="98"/>
      <c r="E840" s="98"/>
      <c r="F840" s="99"/>
      <c r="G840" s="100"/>
      <c r="H840" s="100"/>
    </row>
    <row r="841" customHeight="1" spans="2:8">
      <c r="B841" s="98"/>
      <c r="C841" s="98"/>
      <c r="D841" s="98"/>
      <c r="E841" s="98"/>
      <c r="F841" s="99"/>
      <c r="G841" s="100"/>
      <c r="H841" s="100"/>
    </row>
    <row r="842" customHeight="1" spans="2:8">
      <c r="B842" s="98"/>
      <c r="C842" s="98"/>
      <c r="D842" s="98"/>
      <c r="E842" s="98"/>
      <c r="F842" s="99"/>
      <c r="G842" s="100"/>
      <c r="H842" s="100"/>
    </row>
    <row r="843" customHeight="1" spans="2:8">
      <c r="B843" s="98"/>
      <c r="C843" s="98"/>
      <c r="D843" s="98"/>
      <c r="E843" s="98"/>
      <c r="F843" s="99"/>
      <c r="G843" s="100"/>
      <c r="H843" s="100"/>
    </row>
    <row r="844" customHeight="1" spans="2:8">
      <c r="B844" s="98"/>
      <c r="C844" s="98"/>
      <c r="D844" s="98"/>
      <c r="E844" s="98"/>
      <c r="F844" s="99"/>
      <c r="G844" s="100"/>
      <c r="H844" s="100"/>
    </row>
    <row r="845" customHeight="1" spans="2:8">
      <c r="B845" s="98"/>
      <c r="C845" s="98"/>
      <c r="D845" s="98"/>
      <c r="E845" s="98"/>
      <c r="F845" s="99"/>
      <c r="G845" s="100"/>
      <c r="H845" s="100"/>
    </row>
    <row r="846" customHeight="1" spans="2:8">
      <c r="B846" s="98"/>
      <c r="C846" s="98"/>
      <c r="D846" s="98"/>
      <c r="E846" s="98"/>
      <c r="F846" s="99"/>
      <c r="G846" s="100"/>
      <c r="H846" s="100"/>
    </row>
    <row r="847" customHeight="1" spans="2:8">
      <c r="B847" s="98"/>
      <c r="C847" s="98"/>
      <c r="D847" s="98"/>
      <c r="E847" s="98"/>
      <c r="F847" s="99"/>
      <c r="G847" s="100"/>
      <c r="H847" s="100"/>
    </row>
    <row r="848" customHeight="1" spans="2:8">
      <c r="B848" s="98"/>
      <c r="C848" s="98"/>
      <c r="D848" s="98"/>
      <c r="E848" s="98"/>
      <c r="F848" s="99"/>
      <c r="G848" s="100"/>
      <c r="H848" s="100"/>
    </row>
    <row r="849" customHeight="1" spans="2:8">
      <c r="B849" s="98"/>
      <c r="C849" s="98"/>
      <c r="D849" s="98"/>
      <c r="E849" s="98"/>
      <c r="F849" s="99"/>
      <c r="G849" s="100"/>
      <c r="H849" s="100"/>
    </row>
    <row r="850" customHeight="1" spans="2:8">
      <c r="B850" s="98"/>
      <c r="C850" s="98"/>
      <c r="D850" s="98"/>
      <c r="E850" s="98"/>
      <c r="F850" s="99"/>
      <c r="G850" s="100"/>
      <c r="H850" s="100"/>
    </row>
    <row r="851" customHeight="1" spans="2:8">
      <c r="B851" s="98"/>
      <c r="C851" s="98"/>
      <c r="D851" s="98"/>
      <c r="E851" s="98"/>
      <c r="F851" s="99"/>
      <c r="G851" s="100"/>
      <c r="H851" s="100"/>
    </row>
    <row r="852" customHeight="1" spans="2:8">
      <c r="B852" s="98"/>
      <c r="C852" s="98"/>
      <c r="D852" s="98"/>
      <c r="E852" s="98"/>
      <c r="F852" s="99"/>
      <c r="G852" s="100"/>
      <c r="H852" s="100"/>
    </row>
    <row r="853" customHeight="1" spans="2:8">
      <c r="B853" s="98"/>
      <c r="C853" s="98"/>
      <c r="D853" s="98"/>
      <c r="E853" s="98"/>
      <c r="F853" s="99"/>
      <c r="G853" s="100"/>
      <c r="H853" s="100"/>
    </row>
    <row r="854" customHeight="1" spans="2:8">
      <c r="B854" s="98"/>
      <c r="C854" s="98"/>
      <c r="D854" s="98"/>
      <c r="E854" s="98"/>
      <c r="F854" s="99"/>
      <c r="G854" s="100"/>
      <c r="H854" s="100"/>
    </row>
    <row r="855" customHeight="1" spans="2:8">
      <c r="B855" s="98"/>
      <c r="C855" s="98"/>
      <c r="D855" s="98"/>
      <c r="E855" s="98"/>
      <c r="F855" s="99"/>
      <c r="G855" s="100"/>
      <c r="H855" s="100"/>
    </row>
    <row r="856" customHeight="1" spans="2:8">
      <c r="B856" s="98"/>
      <c r="C856" s="98"/>
      <c r="D856" s="98"/>
      <c r="E856" s="98"/>
      <c r="F856" s="99"/>
      <c r="G856" s="100"/>
      <c r="H856" s="100"/>
    </row>
    <row r="857" customHeight="1" spans="2:8">
      <c r="B857" s="98"/>
      <c r="C857" s="98"/>
      <c r="D857" s="98"/>
      <c r="E857" s="98"/>
      <c r="F857" s="99"/>
      <c r="G857" s="100"/>
      <c r="H857" s="100"/>
    </row>
    <row r="858" customHeight="1" spans="2:8">
      <c r="B858" s="98"/>
      <c r="C858" s="98"/>
      <c r="D858" s="98"/>
      <c r="E858" s="98"/>
      <c r="F858" s="99"/>
      <c r="G858" s="100"/>
      <c r="H858" s="100"/>
    </row>
    <row r="859" customHeight="1" spans="2:8">
      <c r="B859" s="98"/>
      <c r="C859" s="98"/>
      <c r="D859" s="98"/>
      <c r="E859" s="98"/>
      <c r="F859" s="99"/>
      <c r="G859" s="100"/>
      <c r="H859" s="100"/>
    </row>
    <row r="860" customHeight="1" spans="2:8">
      <c r="B860" s="98"/>
      <c r="C860" s="98"/>
      <c r="D860" s="98"/>
      <c r="E860" s="98"/>
      <c r="F860" s="99"/>
      <c r="G860" s="100"/>
      <c r="H860" s="100"/>
    </row>
    <row r="861" customHeight="1" spans="2:8">
      <c r="B861" s="98"/>
      <c r="C861" s="98"/>
      <c r="D861" s="98"/>
      <c r="E861" s="98"/>
      <c r="F861" s="99"/>
      <c r="G861" s="100"/>
      <c r="H861" s="100"/>
    </row>
    <row r="862" customHeight="1" spans="2:8">
      <c r="B862" s="98"/>
      <c r="C862" s="98"/>
      <c r="D862" s="98"/>
      <c r="E862" s="98"/>
      <c r="F862" s="99"/>
      <c r="G862" s="100"/>
      <c r="H862" s="100"/>
    </row>
    <row r="863" customHeight="1" spans="2:8">
      <c r="B863" s="98"/>
      <c r="C863" s="98"/>
      <c r="D863" s="98"/>
      <c r="E863" s="98"/>
      <c r="F863" s="99"/>
      <c r="G863" s="100"/>
      <c r="H863" s="100"/>
    </row>
    <row r="864" customHeight="1" spans="2:8">
      <c r="B864" s="98"/>
      <c r="C864" s="98"/>
      <c r="D864" s="98"/>
      <c r="E864" s="98"/>
      <c r="F864" s="99"/>
      <c r="G864" s="100"/>
      <c r="H864" s="100"/>
    </row>
    <row r="865" customHeight="1" spans="2:8">
      <c r="B865" s="98"/>
      <c r="C865" s="98"/>
      <c r="D865" s="98"/>
      <c r="E865" s="98"/>
      <c r="F865" s="99"/>
      <c r="G865" s="100"/>
      <c r="H865" s="100"/>
    </row>
    <row r="866" customHeight="1" spans="2:8">
      <c r="B866" s="98"/>
      <c r="C866" s="98"/>
      <c r="D866" s="98"/>
      <c r="E866" s="98"/>
      <c r="F866" s="99"/>
      <c r="G866" s="100"/>
      <c r="H866" s="100"/>
    </row>
    <row r="867" customHeight="1" spans="2:8">
      <c r="B867" s="98"/>
      <c r="C867" s="98"/>
      <c r="D867" s="98"/>
      <c r="E867" s="98"/>
      <c r="F867" s="99"/>
      <c r="G867" s="100"/>
      <c r="H867" s="100"/>
    </row>
    <row r="868" customHeight="1" spans="2:8">
      <c r="B868" s="98"/>
      <c r="C868" s="98"/>
      <c r="D868" s="98"/>
      <c r="E868" s="98"/>
      <c r="F868" s="99"/>
      <c r="G868" s="100"/>
      <c r="H868" s="100"/>
    </row>
    <row r="869" customHeight="1" spans="2:8">
      <c r="B869" s="98"/>
      <c r="C869" s="98"/>
      <c r="D869" s="98"/>
      <c r="E869" s="98"/>
      <c r="F869" s="99"/>
      <c r="G869" s="100"/>
      <c r="H869" s="100"/>
    </row>
    <row r="870" customHeight="1" spans="2:8">
      <c r="B870" s="98"/>
      <c r="C870" s="98"/>
      <c r="D870" s="98"/>
      <c r="E870" s="98"/>
      <c r="F870" s="99"/>
      <c r="G870" s="100"/>
      <c r="H870" s="100"/>
    </row>
    <row r="871" customHeight="1" spans="2:8">
      <c r="B871" s="98"/>
      <c r="C871" s="98"/>
      <c r="D871" s="98"/>
      <c r="E871" s="98"/>
      <c r="F871" s="99"/>
      <c r="G871" s="100"/>
      <c r="H871" s="100"/>
    </row>
    <row r="872" customHeight="1" spans="2:8">
      <c r="B872" s="98"/>
      <c r="C872" s="98"/>
      <c r="D872" s="98"/>
      <c r="E872" s="98"/>
      <c r="F872" s="99"/>
      <c r="G872" s="100"/>
      <c r="H872" s="100"/>
    </row>
    <row r="873" customHeight="1" spans="2:8">
      <c r="B873" s="98"/>
      <c r="C873" s="98"/>
      <c r="D873" s="98"/>
      <c r="E873" s="98"/>
      <c r="F873" s="99"/>
      <c r="G873" s="100"/>
      <c r="H873" s="100"/>
    </row>
    <row r="874" customHeight="1" spans="2:8">
      <c r="B874" s="98"/>
      <c r="C874" s="98"/>
      <c r="D874" s="98"/>
      <c r="E874" s="98"/>
      <c r="F874" s="99"/>
      <c r="G874" s="100"/>
      <c r="H874" s="100"/>
    </row>
    <row r="875" customHeight="1" spans="2:8">
      <c r="B875" s="98"/>
      <c r="C875" s="98"/>
      <c r="D875" s="98"/>
      <c r="E875" s="98"/>
      <c r="F875" s="99"/>
      <c r="G875" s="100"/>
      <c r="H875" s="100"/>
    </row>
    <row r="876" customHeight="1" spans="2:8">
      <c r="B876" s="98"/>
      <c r="C876" s="98"/>
      <c r="D876" s="98"/>
      <c r="E876" s="98"/>
      <c r="F876" s="99"/>
      <c r="G876" s="100"/>
      <c r="H876" s="100"/>
    </row>
    <row r="877" customHeight="1" spans="2:8">
      <c r="B877" s="98"/>
      <c r="C877" s="98"/>
      <c r="D877" s="98"/>
      <c r="E877" s="98"/>
      <c r="F877" s="99"/>
      <c r="G877" s="100"/>
      <c r="H877" s="100"/>
    </row>
    <row r="878" customHeight="1" spans="2:8">
      <c r="B878" s="98"/>
      <c r="C878" s="98"/>
      <c r="D878" s="98"/>
      <c r="E878" s="98"/>
      <c r="F878" s="99"/>
      <c r="G878" s="100"/>
      <c r="H878" s="100"/>
    </row>
    <row r="879" customHeight="1" spans="2:8">
      <c r="B879" s="98"/>
      <c r="C879" s="98"/>
      <c r="D879" s="98"/>
      <c r="E879" s="98"/>
      <c r="F879" s="99"/>
      <c r="G879" s="100"/>
      <c r="H879" s="100"/>
    </row>
    <row r="880" customHeight="1" spans="2:8">
      <c r="B880" s="98"/>
      <c r="C880" s="98"/>
      <c r="D880" s="98"/>
      <c r="E880" s="98"/>
      <c r="F880" s="99"/>
      <c r="G880" s="100"/>
      <c r="H880" s="100"/>
    </row>
    <row r="881" customHeight="1" spans="2:8">
      <c r="B881" s="98"/>
      <c r="C881" s="98"/>
      <c r="D881" s="98"/>
      <c r="E881" s="98"/>
      <c r="F881" s="99"/>
      <c r="G881" s="100"/>
      <c r="H881" s="100"/>
    </row>
    <row r="882" customHeight="1" spans="2:8">
      <c r="B882" s="98"/>
      <c r="C882" s="98"/>
      <c r="D882" s="98"/>
      <c r="E882" s="98"/>
      <c r="F882" s="99"/>
      <c r="G882" s="100"/>
      <c r="H882" s="100"/>
    </row>
    <row r="883" customHeight="1" spans="2:8">
      <c r="B883" s="98"/>
      <c r="C883" s="98"/>
      <c r="D883" s="98"/>
      <c r="E883" s="98"/>
      <c r="F883" s="99"/>
      <c r="G883" s="100"/>
      <c r="H883" s="100"/>
    </row>
    <row r="884" customHeight="1" spans="2:8">
      <c r="B884" s="98"/>
      <c r="C884" s="98"/>
      <c r="D884" s="98"/>
      <c r="E884" s="98"/>
      <c r="F884" s="99"/>
      <c r="G884" s="100"/>
      <c r="H884" s="100"/>
    </row>
    <row r="885" customHeight="1" spans="2:8">
      <c r="B885" s="98"/>
      <c r="C885" s="98"/>
      <c r="D885" s="98"/>
      <c r="E885" s="98"/>
      <c r="F885" s="99"/>
      <c r="G885" s="100"/>
      <c r="H885" s="100"/>
    </row>
    <row r="886" customHeight="1" spans="2:8">
      <c r="B886" s="98"/>
      <c r="C886" s="98"/>
      <c r="D886" s="98"/>
      <c r="E886" s="98"/>
      <c r="F886" s="99"/>
      <c r="G886" s="100"/>
      <c r="H886" s="100"/>
    </row>
    <row r="887" customHeight="1" spans="2:8">
      <c r="B887" s="98"/>
      <c r="C887" s="98"/>
      <c r="D887" s="98"/>
      <c r="E887" s="98"/>
      <c r="F887" s="99"/>
      <c r="G887" s="100"/>
      <c r="H887" s="100"/>
    </row>
    <row r="888" customHeight="1" spans="2:8">
      <c r="B888" s="98"/>
      <c r="C888" s="98"/>
      <c r="D888" s="98"/>
      <c r="E888" s="98"/>
      <c r="F888" s="99"/>
      <c r="G888" s="100"/>
      <c r="H888" s="100"/>
    </row>
    <row r="889" customHeight="1" spans="2:8">
      <c r="B889" s="98"/>
      <c r="C889" s="98"/>
      <c r="D889" s="98"/>
      <c r="E889" s="98"/>
      <c r="F889" s="99"/>
      <c r="G889" s="100"/>
      <c r="H889" s="100"/>
    </row>
    <row r="890" customHeight="1" spans="2:8">
      <c r="B890" s="98"/>
      <c r="C890" s="98"/>
      <c r="D890" s="98"/>
      <c r="E890" s="98"/>
      <c r="F890" s="99"/>
      <c r="G890" s="100"/>
      <c r="H890" s="100"/>
    </row>
    <row r="891" customHeight="1" spans="2:8">
      <c r="B891" s="98"/>
      <c r="C891" s="98"/>
      <c r="D891" s="98"/>
      <c r="E891" s="98"/>
      <c r="F891" s="99"/>
      <c r="G891" s="100"/>
      <c r="H891" s="100"/>
    </row>
    <row r="892" customHeight="1" spans="2:8">
      <c r="B892" s="98"/>
      <c r="C892" s="98"/>
      <c r="D892" s="98"/>
      <c r="E892" s="98"/>
      <c r="F892" s="99"/>
      <c r="G892" s="100"/>
      <c r="H892" s="100"/>
    </row>
    <row r="893" customHeight="1" spans="2:8">
      <c r="B893" s="98"/>
      <c r="C893" s="98"/>
      <c r="D893" s="98"/>
      <c r="E893" s="98"/>
      <c r="F893" s="99"/>
      <c r="G893" s="100"/>
      <c r="H893" s="100"/>
    </row>
    <row r="894" customHeight="1" spans="2:8">
      <c r="B894" s="98"/>
      <c r="C894" s="98"/>
      <c r="D894" s="98"/>
      <c r="E894" s="98"/>
      <c r="F894" s="99"/>
      <c r="G894" s="100"/>
      <c r="H894" s="100"/>
    </row>
    <row r="895" customHeight="1" spans="2:8">
      <c r="B895" s="98"/>
      <c r="C895" s="98"/>
      <c r="D895" s="98"/>
      <c r="E895" s="98"/>
      <c r="F895" s="99"/>
      <c r="G895" s="100"/>
      <c r="H895" s="100"/>
    </row>
    <row r="896" customHeight="1" spans="2:8">
      <c r="B896" s="98"/>
      <c r="C896" s="98"/>
      <c r="D896" s="98"/>
      <c r="E896" s="98"/>
      <c r="F896" s="99"/>
      <c r="G896" s="100"/>
      <c r="H896" s="100"/>
    </row>
    <row r="897" customHeight="1" spans="2:8">
      <c r="B897" s="98"/>
      <c r="C897" s="98"/>
      <c r="D897" s="98"/>
      <c r="E897" s="98"/>
      <c r="F897" s="99"/>
      <c r="G897" s="100"/>
      <c r="H897" s="100"/>
    </row>
    <row r="898" customHeight="1" spans="2:8">
      <c r="B898" s="98"/>
      <c r="C898" s="98"/>
      <c r="D898" s="98"/>
      <c r="E898" s="98"/>
      <c r="F898" s="99"/>
      <c r="G898" s="100"/>
      <c r="H898" s="100"/>
    </row>
    <row r="899" customHeight="1" spans="2:8">
      <c r="B899" s="98"/>
      <c r="C899" s="98"/>
      <c r="D899" s="98"/>
      <c r="E899" s="98"/>
      <c r="F899" s="99"/>
      <c r="G899" s="100"/>
      <c r="H899" s="100"/>
    </row>
    <row r="900" customHeight="1" spans="2:8">
      <c r="B900" s="98"/>
      <c r="C900" s="98"/>
      <c r="D900" s="98"/>
      <c r="E900" s="98"/>
      <c r="F900" s="99"/>
      <c r="G900" s="100"/>
      <c r="H900" s="100"/>
    </row>
    <row r="901" customHeight="1" spans="2:8">
      <c r="B901" s="98"/>
      <c r="C901" s="98"/>
      <c r="D901" s="98"/>
      <c r="E901" s="98"/>
      <c r="F901" s="99"/>
      <c r="G901" s="100"/>
      <c r="H901" s="100"/>
    </row>
    <row r="902" customHeight="1" spans="2:8">
      <c r="B902" s="98"/>
      <c r="C902" s="98"/>
      <c r="D902" s="98"/>
      <c r="E902" s="98"/>
      <c r="F902" s="99"/>
      <c r="G902" s="100"/>
      <c r="H902" s="100"/>
    </row>
    <row r="903" customHeight="1" spans="2:8">
      <c r="B903" s="98"/>
      <c r="C903" s="98"/>
      <c r="D903" s="98"/>
      <c r="E903" s="98"/>
      <c r="F903" s="99"/>
      <c r="G903" s="100"/>
      <c r="H903" s="100"/>
    </row>
    <row r="904" customHeight="1" spans="2:8">
      <c r="B904" s="98"/>
      <c r="C904" s="98"/>
      <c r="D904" s="98"/>
      <c r="E904" s="98"/>
      <c r="F904" s="99"/>
      <c r="G904" s="100"/>
      <c r="H904" s="100"/>
    </row>
    <row r="905" customHeight="1" spans="2:8">
      <c r="B905" s="98"/>
      <c r="C905" s="98"/>
      <c r="D905" s="98"/>
      <c r="E905" s="98"/>
      <c r="F905" s="99"/>
      <c r="G905" s="100"/>
      <c r="H905" s="100"/>
    </row>
    <row r="906" customHeight="1" spans="2:8">
      <c r="B906" s="98"/>
      <c r="C906" s="98"/>
      <c r="D906" s="98"/>
      <c r="E906" s="98"/>
      <c r="F906" s="99"/>
      <c r="G906" s="100"/>
      <c r="H906" s="100"/>
    </row>
    <row r="907" customHeight="1" spans="2:8">
      <c r="B907" s="98"/>
      <c r="C907" s="98"/>
      <c r="D907" s="98"/>
      <c r="E907" s="98"/>
      <c r="F907" s="99"/>
      <c r="G907" s="100"/>
      <c r="H907" s="100"/>
    </row>
    <row r="908" customHeight="1" spans="2:8">
      <c r="B908" s="98"/>
      <c r="C908" s="98"/>
      <c r="D908" s="98"/>
      <c r="E908" s="98"/>
      <c r="F908" s="99"/>
      <c r="G908" s="100"/>
      <c r="H908" s="100"/>
    </row>
    <row r="909" customHeight="1" spans="2:8">
      <c r="B909" s="98"/>
      <c r="C909" s="98"/>
      <c r="D909" s="98"/>
      <c r="E909" s="98"/>
      <c r="F909" s="99"/>
      <c r="G909" s="100"/>
      <c r="H909" s="100"/>
    </row>
    <row r="910" customHeight="1" spans="2:8">
      <c r="B910" s="98"/>
      <c r="C910" s="98"/>
      <c r="D910" s="98"/>
      <c r="E910" s="98"/>
      <c r="F910" s="99"/>
      <c r="G910" s="100"/>
      <c r="H910" s="100"/>
    </row>
    <row r="911" customHeight="1" spans="2:8">
      <c r="B911" s="98"/>
      <c r="C911" s="98"/>
      <c r="D911" s="98"/>
      <c r="E911" s="98"/>
      <c r="F911" s="99"/>
      <c r="G911" s="100"/>
      <c r="H911" s="100"/>
    </row>
    <row r="912" customHeight="1" spans="2:8">
      <c r="B912" s="98"/>
      <c r="C912" s="98"/>
      <c r="D912" s="98"/>
      <c r="E912" s="98"/>
      <c r="F912" s="99"/>
      <c r="G912" s="100"/>
      <c r="H912" s="100"/>
    </row>
    <row r="913" customHeight="1" spans="2:8">
      <c r="B913" s="98"/>
      <c r="C913" s="98"/>
      <c r="D913" s="98"/>
      <c r="E913" s="98"/>
      <c r="F913" s="99"/>
      <c r="G913" s="100"/>
      <c r="H913" s="100"/>
    </row>
    <row r="914" customHeight="1" spans="2:8">
      <c r="B914" s="98"/>
      <c r="C914" s="98"/>
      <c r="D914" s="98"/>
      <c r="E914" s="98"/>
      <c r="F914" s="99"/>
      <c r="G914" s="100"/>
      <c r="H914" s="100"/>
    </row>
    <row r="915" customHeight="1" spans="2:8">
      <c r="B915" s="98"/>
      <c r="C915" s="98"/>
      <c r="D915" s="98"/>
      <c r="E915" s="98"/>
      <c r="F915" s="99"/>
      <c r="G915" s="100"/>
      <c r="H915" s="100"/>
    </row>
    <row r="916" customHeight="1" spans="2:8">
      <c r="B916" s="98"/>
      <c r="C916" s="98"/>
      <c r="D916" s="98"/>
      <c r="E916" s="98"/>
      <c r="F916" s="99"/>
      <c r="G916" s="100"/>
      <c r="H916" s="100"/>
    </row>
    <row r="917" customHeight="1" spans="2:8">
      <c r="B917" s="98"/>
      <c r="C917" s="98"/>
      <c r="D917" s="98"/>
      <c r="E917" s="98"/>
      <c r="F917" s="99"/>
      <c r="G917" s="100"/>
      <c r="H917" s="100"/>
    </row>
    <row r="918" customHeight="1" spans="2:8">
      <c r="B918" s="98"/>
      <c r="C918" s="98"/>
      <c r="D918" s="98"/>
      <c r="E918" s="98"/>
      <c r="F918" s="99"/>
      <c r="G918" s="100"/>
      <c r="H918" s="100"/>
    </row>
    <row r="919" customHeight="1" spans="2:8">
      <c r="B919" s="98"/>
      <c r="C919" s="98"/>
      <c r="D919" s="98"/>
      <c r="E919" s="98"/>
      <c r="F919" s="99"/>
      <c r="G919" s="100"/>
      <c r="H919" s="100"/>
    </row>
    <row r="920" customHeight="1" spans="2:8">
      <c r="B920" s="98"/>
      <c r="C920" s="98"/>
      <c r="D920" s="98"/>
      <c r="E920" s="98"/>
      <c r="F920" s="99"/>
      <c r="G920" s="100"/>
      <c r="H920" s="100"/>
    </row>
    <row r="921" customHeight="1" spans="2:8">
      <c r="B921" s="98"/>
      <c r="C921" s="98"/>
      <c r="D921" s="98"/>
      <c r="E921" s="98"/>
      <c r="F921" s="99"/>
      <c r="G921" s="100"/>
      <c r="H921" s="100"/>
    </row>
    <row r="922" customHeight="1" spans="2:8">
      <c r="B922" s="98"/>
      <c r="C922" s="98"/>
      <c r="D922" s="98"/>
      <c r="E922" s="98"/>
      <c r="F922" s="99"/>
      <c r="G922" s="100"/>
      <c r="H922" s="100"/>
    </row>
    <row r="923" customHeight="1" spans="2:8">
      <c r="B923" s="98"/>
      <c r="C923" s="98"/>
      <c r="D923" s="98"/>
      <c r="E923" s="98"/>
      <c r="F923" s="99"/>
      <c r="G923" s="100"/>
      <c r="H923" s="100"/>
    </row>
    <row r="924" customHeight="1" spans="2:8">
      <c r="B924" s="98"/>
      <c r="C924" s="98"/>
      <c r="D924" s="98"/>
      <c r="E924" s="98"/>
      <c r="F924" s="99"/>
      <c r="G924" s="100"/>
      <c r="H924" s="100"/>
    </row>
    <row r="925" customHeight="1" spans="2:8">
      <c r="B925" s="98"/>
      <c r="C925" s="98"/>
      <c r="D925" s="98"/>
      <c r="E925" s="98"/>
      <c r="F925" s="99"/>
      <c r="G925" s="100"/>
      <c r="H925" s="100"/>
    </row>
    <row r="926" customHeight="1" spans="2:8">
      <c r="B926" s="98"/>
      <c r="C926" s="98"/>
      <c r="D926" s="98"/>
      <c r="E926" s="98"/>
      <c r="F926" s="99"/>
      <c r="G926" s="100"/>
      <c r="H926" s="100"/>
    </row>
    <row r="927" customHeight="1" spans="2:8">
      <c r="B927" s="98"/>
      <c r="C927" s="98"/>
      <c r="D927" s="98"/>
      <c r="E927" s="98"/>
      <c r="F927" s="99"/>
      <c r="G927" s="100"/>
      <c r="H927" s="100"/>
    </row>
    <row r="928" customHeight="1" spans="2:8">
      <c r="B928" s="98"/>
      <c r="C928" s="98"/>
      <c r="D928" s="98"/>
      <c r="E928" s="98"/>
      <c r="F928" s="99"/>
      <c r="G928" s="100"/>
      <c r="H928" s="100"/>
    </row>
    <row r="929" customHeight="1" spans="2:8">
      <c r="B929" s="98"/>
      <c r="C929" s="98"/>
      <c r="D929" s="98"/>
      <c r="E929" s="98"/>
      <c r="F929" s="99"/>
      <c r="G929" s="100"/>
      <c r="H929" s="100"/>
    </row>
    <row r="930" customHeight="1" spans="2:8">
      <c r="B930" s="98"/>
      <c r="C930" s="98"/>
      <c r="D930" s="98"/>
      <c r="E930" s="98"/>
      <c r="F930" s="99"/>
      <c r="G930" s="100"/>
      <c r="H930" s="100"/>
    </row>
    <row r="931" customHeight="1" spans="2:8">
      <c r="B931" s="98"/>
      <c r="C931" s="98"/>
      <c r="D931" s="98"/>
      <c r="E931" s="98"/>
      <c r="F931" s="99"/>
      <c r="G931" s="100"/>
      <c r="H931" s="100"/>
    </row>
    <row r="932" customHeight="1" spans="2:8">
      <c r="B932" s="98"/>
      <c r="C932" s="98"/>
      <c r="D932" s="98"/>
      <c r="E932" s="98"/>
      <c r="F932" s="99"/>
      <c r="G932" s="100"/>
      <c r="H932" s="100"/>
    </row>
    <row r="933" customHeight="1" spans="2:8">
      <c r="B933" s="98"/>
      <c r="C933" s="98"/>
      <c r="D933" s="98"/>
      <c r="E933" s="98"/>
      <c r="F933" s="99"/>
      <c r="G933" s="100"/>
      <c r="H933" s="100"/>
    </row>
    <row r="934" customHeight="1" spans="2:8">
      <c r="B934" s="98"/>
      <c r="C934" s="98"/>
      <c r="D934" s="98"/>
      <c r="E934" s="98"/>
      <c r="F934" s="99"/>
      <c r="G934" s="100"/>
      <c r="H934" s="100"/>
    </row>
    <row r="935" customHeight="1" spans="2:8">
      <c r="B935" s="98"/>
      <c r="C935" s="98"/>
      <c r="D935" s="98"/>
      <c r="E935" s="98"/>
      <c r="F935" s="99"/>
      <c r="G935" s="100"/>
      <c r="H935" s="100"/>
    </row>
    <row r="936" customHeight="1" spans="2:8">
      <c r="B936" s="98"/>
      <c r="C936" s="98"/>
      <c r="D936" s="98"/>
      <c r="E936" s="98"/>
      <c r="F936" s="99"/>
      <c r="G936" s="100"/>
      <c r="H936" s="100"/>
    </row>
    <row r="937" customHeight="1" spans="2:8">
      <c r="B937" s="98"/>
      <c r="C937" s="98"/>
      <c r="D937" s="98"/>
      <c r="E937" s="98"/>
      <c r="F937" s="99"/>
      <c r="G937" s="100"/>
      <c r="H937" s="100"/>
    </row>
    <row r="938" customHeight="1" spans="2:8">
      <c r="B938" s="98"/>
      <c r="C938" s="98"/>
      <c r="D938" s="98"/>
      <c r="E938" s="98"/>
      <c r="F938" s="99"/>
      <c r="G938" s="100"/>
      <c r="H938" s="100"/>
    </row>
    <row r="939" customHeight="1" spans="2:8">
      <c r="B939" s="98"/>
      <c r="C939" s="98"/>
      <c r="D939" s="98"/>
      <c r="E939" s="98"/>
      <c r="F939" s="99"/>
      <c r="G939" s="100"/>
      <c r="H939" s="100"/>
    </row>
    <row r="940" customHeight="1" spans="2:8">
      <c r="B940" s="98"/>
      <c r="C940" s="98"/>
      <c r="D940" s="98"/>
      <c r="E940" s="98"/>
      <c r="F940" s="99"/>
      <c r="G940" s="100"/>
      <c r="H940" s="100"/>
    </row>
    <row r="941" customHeight="1" spans="2:8">
      <c r="B941" s="98"/>
      <c r="C941" s="98"/>
      <c r="D941" s="98"/>
      <c r="E941" s="98"/>
      <c r="F941" s="99"/>
      <c r="G941" s="100"/>
      <c r="H941" s="100"/>
    </row>
    <row r="942" customHeight="1" spans="2:8">
      <c r="B942" s="98"/>
      <c r="C942" s="98"/>
      <c r="D942" s="98"/>
      <c r="E942" s="98"/>
      <c r="F942" s="99"/>
      <c r="G942" s="100"/>
      <c r="H942" s="100"/>
    </row>
    <row r="943" customHeight="1" spans="2:8">
      <c r="B943" s="98"/>
      <c r="C943" s="98"/>
      <c r="D943" s="98"/>
      <c r="E943" s="98"/>
      <c r="F943" s="99"/>
      <c r="G943" s="100"/>
      <c r="H943" s="100"/>
    </row>
    <row r="944" customHeight="1" spans="2:8">
      <c r="B944" s="98"/>
      <c r="C944" s="98"/>
      <c r="D944" s="98"/>
      <c r="E944" s="98"/>
      <c r="F944" s="99"/>
      <c r="G944" s="100"/>
      <c r="H944" s="100"/>
    </row>
    <row r="945" customHeight="1" spans="2:8">
      <c r="B945" s="98"/>
      <c r="C945" s="98"/>
      <c r="D945" s="98"/>
      <c r="E945" s="98"/>
      <c r="F945" s="99"/>
      <c r="G945" s="100"/>
      <c r="H945" s="100"/>
    </row>
    <row r="946" customHeight="1" spans="2:8">
      <c r="B946" s="98"/>
      <c r="C946" s="98"/>
      <c r="D946" s="98"/>
      <c r="E946" s="98"/>
      <c r="F946" s="99"/>
      <c r="G946" s="100"/>
      <c r="H946" s="100"/>
    </row>
    <row r="947" customHeight="1" spans="2:8">
      <c r="B947" s="98"/>
      <c r="C947" s="98"/>
      <c r="D947" s="98"/>
      <c r="E947" s="98"/>
      <c r="F947" s="99"/>
      <c r="G947" s="100"/>
      <c r="H947" s="100"/>
    </row>
    <row r="948" customHeight="1" spans="2:8">
      <c r="B948" s="98"/>
      <c r="C948" s="98"/>
      <c r="D948" s="98"/>
      <c r="E948" s="98"/>
      <c r="F948" s="99"/>
      <c r="G948" s="100"/>
      <c r="H948" s="100"/>
    </row>
    <row r="949" customHeight="1" spans="2:8">
      <c r="B949" s="98"/>
      <c r="C949" s="98"/>
      <c r="D949" s="98"/>
      <c r="E949" s="98"/>
      <c r="F949" s="99"/>
      <c r="G949" s="100"/>
      <c r="H949" s="100"/>
    </row>
    <row r="950" customHeight="1" spans="2:8">
      <c r="B950" s="98"/>
      <c r="C950" s="98"/>
      <c r="D950" s="98"/>
      <c r="E950" s="98"/>
      <c r="F950" s="99"/>
      <c r="G950" s="100"/>
      <c r="H950" s="100"/>
    </row>
    <row r="951" customHeight="1" spans="2:8">
      <c r="B951" s="98"/>
      <c r="C951" s="98"/>
      <c r="D951" s="98"/>
      <c r="E951" s="98"/>
      <c r="F951" s="99"/>
      <c r="G951" s="100"/>
      <c r="H951" s="100"/>
    </row>
    <row r="952" customHeight="1" spans="2:8">
      <c r="B952" s="98"/>
      <c r="C952" s="98"/>
      <c r="D952" s="98"/>
      <c r="E952" s="98"/>
      <c r="F952" s="99"/>
      <c r="G952" s="100"/>
      <c r="H952" s="100"/>
    </row>
    <row r="953" customHeight="1" spans="2:8">
      <c r="B953" s="98"/>
      <c r="C953" s="98"/>
      <c r="D953" s="98"/>
      <c r="E953" s="98"/>
      <c r="F953" s="99"/>
      <c r="G953" s="100"/>
      <c r="H953" s="100"/>
    </row>
    <row r="954" customHeight="1" spans="2:8">
      <c r="B954" s="98"/>
      <c r="C954" s="98"/>
      <c r="D954" s="98"/>
      <c r="E954" s="98"/>
      <c r="F954" s="99"/>
      <c r="G954" s="100"/>
      <c r="H954" s="100"/>
    </row>
    <row r="955" customHeight="1" spans="2:8">
      <c r="B955" s="98"/>
      <c r="C955" s="98"/>
      <c r="D955" s="98"/>
      <c r="E955" s="98"/>
      <c r="F955" s="99"/>
      <c r="G955" s="100"/>
      <c r="H955" s="100"/>
    </row>
    <row r="956" customHeight="1" spans="2:8">
      <c r="B956" s="98"/>
      <c r="C956" s="98"/>
      <c r="D956" s="98"/>
      <c r="E956" s="98"/>
      <c r="F956" s="99"/>
      <c r="G956" s="100"/>
      <c r="H956" s="100"/>
    </row>
    <row r="957" customHeight="1" spans="2:8">
      <c r="B957" s="98"/>
      <c r="C957" s="98"/>
      <c r="D957" s="98"/>
      <c r="E957" s="98"/>
      <c r="F957" s="99"/>
      <c r="G957" s="100"/>
      <c r="H957" s="100"/>
    </row>
    <row r="958" customHeight="1" spans="2:8">
      <c r="B958" s="98"/>
      <c r="C958" s="98"/>
      <c r="D958" s="98"/>
      <c r="E958" s="98"/>
      <c r="F958" s="99"/>
      <c r="G958" s="100"/>
      <c r="H958" s="100"/>
    </row>
    <row r="959" customHeight="1" spans="2:8">
      <c r="B959" s="98"/>
      <c r="C959" s="98"/>
      <c r="D959" s="98"/>
      <c r="E959" s="98"/>
      <c r="F959" s="99"/>
      <c r="G959" s="100"/>
      <c r="H959" s="100"/>
    </row>
    <row r="960" customHeight="1" spans="2:8">
      <c r="B960" s="98"/>
      <c r="C960" s="98"/>
      <c r="D960" s="98"/>
      <c r="E960" s="98"/>
      <c r="F960" s="99"/>
      <c r="G960" s="100"/>
      <c r="H960" s="100"/>
    </row>
    <row r="961" customHeight="1" spans="2:8">
      <c r="B961" s="98"/>
      <c r="C961" s="98"/>
      <c r="D961" s="98"/>
      <c r="E961" s="98"/>
      <c r="F961" s="99"/>
      <c r="G961" s="100"/>
      <c r="H961" s="100"/>
    </row>
    <row r="962" customHeight="1" spans="2:8">
      <c r="B962" s="98"/>
      <c r="C962" s="98"/>
      <c r="D962" s="98"/>
      <c r="E962" s="98"/>
      <c r="F962" s="99"/>
      <c r="G962" s="100"/>
      <c r="H962" s="100"/>
    </row>
    <row r="963" customHeight="1" spans="2:8">
      <c r="B963" s="98"/>
      <c r="C963" s="98"/>
      <c r="D963" s="98"/>
      <c r="E963" s="98"/>
      <c r="F963" s="99"/>
      <c r="G963" s="100"/>
      <c r="H963" s="100"/>
    </row>
    <row r="964" customHeight="1" spans="2:8">
      <c r="B964" s="98"/>
      <c r="C964" s="98"/>
      <c r="D964" s="98"/>
      <c r="E964" s="98"/>
      <c r="F964" s="99"/>
      <c r="G964" s="100"/>
      <c r="H964" s="100"/>
    </row>
    <row r="965" customHeight="1" spans="2:8">
      <c r="B965" s="98"/>
      <c r="C965" s="98"/>
      <c r="D965" s="98"/>
      <c r="E965" s="98"/>
      <c r="F965" s="99"/>
      <c r="G965" s="100"/>
      <c r="H965" s="100"/>
    </row>
    <row r="966" customHeight="1" spans="2:8">
      <c r="B966" s="98"/>
      <c r="C966" s="98"/>
      <c r="D966" s="98"/>
      <c r="E966" s="98"/>
      <c r="F966" s="99"/>
      <c r="G966" s="100"/>
      <c r="H966" s="100"/>
    </row>
    <row r="967" customHeight="1" spans="2:8">
      <c r="B967" s="98"/>
      <c r="C967" s="98"/>
      <c r="D967" s="98"/>
      <c r="E967" s="98"/>
      <c r="F967" s="99"/>
      <c r="G967" s="100"/>
      <c r="H967" s="100"/>
    </row>
    <row r="968" customHeight="1" spans="2:8">
      <c r="B968" s="98"/>
      <c r="C968" s="98"/>
      <c r="D968" s="98"/>
      <c r="E968" s="98"/>
      <c r="F968" s="99"/>
      <c r="G968" s="100"/>
      <c r="H968" s="100"/>
    </row>
    <row r="969" customHeight="1" spans="2:8">
      <c r="B969" s="98"/>
      <c r="C969" s="98"/>
      <c r="D969" s="98"/>
      <c r="E969" s="98"/>
      <c r="F969" s="99"/>
      <c r="G969" s="100"/>
      <c r="H969" s="100"/>
    </row>
    <row r="970" customHeight="1" spans="2:8">
      <c r="B970" s="98"/>
      <c r="C970" s="98"/>
      <c r="D970" s="98"/>
      <c r="E970" s="98"/>
      <c r="F970" s="99"/>
      <c r="G970" s="100"/>
      <c r="H970" s="100"/>
    </row>
    <row r="971" customHeight="1" spans="2:8">
      <c r="B971" s="98"/>
      <c r="C971" s="98"/>
      <c r="D971" s="98"/>
      <c r="E971" s="98"/>
      <c r="F971" s="99"/>
      <c r="G971" s="100"/>
      <c r="H971" s="100"/>
    </row>
    <row r="972" customHeight="1" spans="2:8">
      <c r="B972" s="98"/>
      <c r="C972" s="98"/>
      <c r="D972" s="98"/>
      <c r="E972" s="98"/>
      <c r="F972" s="99"/>
      <c r="G972" s="100"/>
      <c r="H972" s="100"/>
    </row>
    <row r="973" customHeight="1" spans="2:8">
      <c r="B973" s="98"/>
      <c r="C973" s="98"/>
      <c r="D973" s="98"/>
      <c r="E973" s="98"/>
      <c r="F973" s="99"/>
      <c r="G973" s="100"/>
      <c r="H973" s="100"/>
    </row>
    <row r="974" customHeight="1" spans="2:8">
      <c r="B974" s="98"/>
      <c r="C974" s="98"/>
      <c r="D974" s="98"/>
      <c r="E974" s="98"/>
      <c r="F974" s="99"/>
      <c r="G974" s="100"/>
      <c r="H974" s="100"/>
    </row>
    <row r="975" customHeight="1" spans="2:8">
      <c r="B975" s="98"/>
      <c r="C975" s="98"/>
      <c r="D975" s="98"/>
      <c r="E975" s="98"/>
      <c r="F975" s="99"/>
      <c r="G975" s="100"/>
      <c r="H975" s="100"/>
    </row>
    <row r="976" customHeight="1" spans="2:8">
      <c r="B976" s="98"/>
      <c r="C976" s="98"/>
      <c r="D976" s="98"/>
      <c r="E976" s="98"/>
      <c r="F976" s="99"/>
      <c r="G976" s="100"/>
      <c r="H976" s="100"/>
    </row>
    <row r="977" customHeight="1" spans="2:8">
      <c r="B977" s="98"/>
      <c r="C977" s="98"/>
      <c r="D977" s="98"/>
      <c r="E977" s="98"/>
      <c r="F977" s="99"/>
      <c r="G977" s="100"/>
      <c r="H977" s="100"/>
    </row>
    <row r="978" customHeight="1" spans="2:8">
      <c r="B978" s="98"/>
      <c r="C978" s="98"/>
      <c r="D978" s="98"/>
      <c r="E978" s="98"/>
      <c r="F978" s="99"/>
      <c r="G978" s="100"/>
      <c r="H978" s="100"/>
    </row>
    <row r="979" customHeight="1" spans="2:8">
      <c r="B979" s="98"/>
      <c r="C979" s="98"/>
      <c r="D979" s="98"/>
      <c r="E979" s="98"/>
      <c r="F979" s="99"/>
      <c r="G979" s="100"/>
      <c r="H979" s="100"/>
    </row>
    <row r="980" customHeight="1" spans="2:8">
      <c r="B980" s="98"/>
      <c r="C980" s="98"/>
      <c r="D980" s="98"/>
      <c r="E980" s="98"/>
      <c r="F980" s="99"/>
      <c r="G980" s="100"/>
      <c r="H980" s="100"/>
    </row>
    <row r="981" customHeight="1" spans="2:8">
      <c r="B981" s="98"/>
      <c r="C981" s="98"/>
      <c r="D981" s="98"/>
      <c r="E981" s="98"/>
      <c r="F981" s="99"/>
      <c r="G981" s="100"/>
      <c r="H981" s="100"/>
    </row>
    <row r="982" customHeight="1" spans="2:8">
      <c r="B982" s="98"/>
      <c r="C982" s="98"/>
      <c r="D982" s="98"/>
      <c r="E982" s="98"/>
      <c r="F982" s="99"/>
      <c r="G982" s="100"/>
      <c r="H982" s="100"/>
    </row>
    <row r="983" customHeight="1" spans="2:8">
      <c r="B983" s="98"/>
      <c r="C983" s="98"/>
      <c r="D983" s="98"/>
      <c r="E983" s="98"/>
      <c r="F983" s="99"/>
      <c r="G983" s="100"/>
      <c r="H983" s="100"/>
    </row>
    <row r="984" customHeight="1" spans="2:8">
      <c r="B984" s="98"/>
      <c r="C984" s="98"/>
      <c r="D984" s="98"/>
      <c r="E984" s="98"/>
      <c r="F984" s="99"/>
      <c r="G984" s="100"/>
      <c r="H984" s="100"/>
    </row>
    <row r="985" customHeight="1" spans="2:8">
      <c r="B985" s="98"/>
      <c r="C985" s="98"/>
      <c r="D985" s="98"/>
      <c r="E985" s="98"/>
      <c r="F985" s="99"/>
      <c r="G985" s="100"/>
      <c r="H985" s="100"/>
    </row>
    <row r="986" customHeight="1" spans="2:8">
      <c r="B986" s="98"/>
      <c r="C986" s="98"/>
      <c r="D986" s="98"/>
      <c r="E986" s="98"/>
      <c r="F986" s="99"/>
      <c r="G986" s="100"/>
      <c r="H986" s="100"/>
    </row>
    <row r="987" customHeight="1" spans="2:8">
      <c r="B987" s="98"/>
      <c r="C987" s="98"/>
      <c r="D987" s="98"/>
      <c r="E987" s="98"/>
      <c r="F987" s="99"/>
      <c r="G987" s="100"/>
      <c r="H987" s="100"/>
    </row>
    <row r="988" customHeight="1" spans="2:8">
      <c r="B988" s="98"/>
      <c r="C988" s="98"/>
      <c r="D988" s="98"/>
      <c r="E988" s="98"/>
      <c r="F988" s="99"/>
      <c r="G988" s="100"/>
      <c r="H988" s="100"/>
    </row>
    <row r="989" customHeight="1" spans="2:8">
      <c r="B989" s="98"/>
      <c r="C989" s="98"/>
      <c r="D989" s="98"/>
      <c r="E989" s="98"/>
      <c r="F989" s="99"/>
      <c r="G989" s="100"/>
      <c r="H989" s="100"/>
    </row>
    <row r="990" customHeight="1" spans="2:8">
      <c r="B990" s="98"/>
      <c r="C990" s="98"/>
      <c r="D990" s="98"/>
      <c r="E990" s="98"/>
      <c r="F990" s="99"/>
      <c r="G990" s="100"/>
      <c r="H990" s="100"/>
    </row>
    <row r="991" customHeight="1" spans="2:8">
      <c r="B991" s="98"/>
      <c r="C991" s="98"/>
      <c r="D991" s="98"/>
      <c r="E991" s="98"/>
      <c r="F991" s="99"/>
      <c r="G991" s="100"/>
      <c r="H991" s="100"/>
    </row>
    <row r="992" customHeight="1" spans="2:8">
      <c r="B992" s="98"/>
      <c r="C992" s="98"/>
      <c r="D992" s="98"/>
      <c r="E992" s="98"/>
      <c r="F992" s="99"/>
      <c r="G992" s="100"/>
      <c r="H992" s="100"/>
    </row>
    <row r="993" customHeight="1" spans="2:8">
      <c r="B993" s="98"/>
      <c r="C993" s="98"/>
      <c r="D993" s="98"/>
      <c r="E993" s="98"/>
      <c r="F993" s="99"/>
      <c r="G993" s="100"/>
      <c r="H993" s="100"/>
    </row>
    <row r="994" customHeight="1" spans="2:8">
      <c r="B994" s="98"/>
      <c r="C994" s="98"/>
      <c r="D994" s="98"/>
      <c r="E994" s="98"/>
      <c r="F994" s="99"/>
      <c r="G994" s="100"/>
      <c r="H994" s="100"/>
    </row>
    <row r="995" customHeight="1" spans="2:8">
      <c r="B995" s="98"/>
      <c r="C995" s="98"/>
      <c r="D995" s="98"/>
      <c r="E995" s="98"/>
      <c r="F995" s="99"/>
      <c r="G995" s="100"/>
      <c r="H995" s="100"/>
    </row>
    <row r="996" customHeight="1" spans="2:8">
      <c r="B996" s="98"/>
      <c r="C996" s="98"/>
      <c r="D996" s="98"/>
      <c r="E996" s="98"/>
      <c r="F996" s="99"/>
      <c r="G996" s="100"/>
      <c r="H996" s="100"/>
    </row>
    <row r="997" customHeight="1" spans="2:8">
      <c r="B997" s="98"/>
      <c r="C997" s="98"/>
      <c r="D997" s="98"/>
      <c r="E997" s="98"/>
      <c r="F997" s="99"/>
      <c r="G997" s="100"/>
      <c r="H997" s="100"/>
    </row>
    <row r="998" customHeight="1" spans="2:8">
      <c r="B998" s="98"/>
      <c r="C998" s="98"/>
      <c r="D998" s="98"/>
      <c r="E998" s="98"/>
      <c r="F998" s="99"/>
      <c r="G998" s="100"/>
      <c r="H998" s="100"/>
    </row>
    <row r="999" customHeight="1" spans="2:8">
      <c r="B999" s="98"/>
      <c r="C999" s="98"/>
      <c r="D999" s="98"/>
      <c r="E999" s="98"/>
      <c r="F999" s="99"/>
      <c r="G999" s="100"/>
      <c r="H999" s="100"/>
    </row>
    <row r="1000" customHeight="1" spans="2:8">
      <c r="B1000" s="98"/>
      <c r="C1000" s="98"/>
      <c r="D1000" s="98"/>
      <c r="E1000" s="98"/>
      <c r="F1000" s="99"/>
      <c r="G1000" s="100"/>
      <c r="H1000" s="100"/>
    </row>
    <row r="1001" customHeight="1" spans="2:8">
      <c r="B1001" s="98"/>
      <c r="C1001" s="98"/>
      <c r="D1001" s="98"/>
      <c r="E1001" s="98"/>
      <c r="F1001" s="99"/>
      <c r="G1001" s="100"/>
      <c r="H1001" s="100"/>
    </row>
    <row r="1002" customHeight="1" spans="2:8">
      <c r="B1002" s="98"/>
      <c r="C1002" s="98"/>
      <c r="D1002" s="98"/>
      <c r="E1002" s="98"/>
      <c r="F1002" s="99"/>
      <c r="G1002" s="100"/>
      <c r="H1002" s="100"/>
    </row>
    <row r="1003" customHeight="1" spans="2:8">
      <c r="B1003" s="98"/>
      <c r="C1003" s="98"/>
      <c r="D1003" s="98"/>
      <c r="E1003" s="98"/>
      <c r="F1003" s="99"/>
      <c r="G1003" s="100"/>
      <c r="H1003" s="100"/>
    </row>
    <row r="1004" customHeight="1" spans="2:8">
      <c r="B1004" s="98"/>
      <c r="C1004" s="98"/>
      <c r="D1004" s="98"/>
      <c r="E1004" s="98"/>
      <c r="F1004" s="99"/>
      <c r="G1004" s="100"/>
      <c r="H1004" s="100"/>
    </row>
    <row r="1005" customHeight="1" spans="2:8">
      <c r="B1005" s="98"/>
      <c r="C1005" s="98"/>
      <c r="D1005" s="98"/>
      <c r="E1005" s="98"/>
      <c r="F1005" s="99"/>
      <c r="G1005" s="100"/>
      <c r="H1005" s="100"/>
    </row>
    <row r="1006" customHeight="1" spans="2:8">
      <c r="B1006" s="98"/>
      <c r="C1006" s="98"/>
      <c r="D1006" s="98"/>
      <c r="E1006" s="98"/>
      <c r="F1006" s="99"/>
      <c r="G1006" s="100"/>
      <c r="H1006" s="100"/>
    </row>
    <row r="1007" customHeight="1" spans="2:8">
      <c r="B1007" s="98"/>
      <c r="C1007" s="98"/>
      <c r="D1007" s="98"/>
      <c r="E1007" s="98"/>
      <c r="F1007" s="99"/>
      <c r="G1007" s="100"/>
      <c r="H1007" s="100"/>
    </row>
    <row r="1008" customHeight="1" spans="2:8">
      <c r="B1008" s="98"/>
      <c r="C1008" s="98"/>
      <c r="D1008" s="98"/>
      <c r="E1008" s="98"/>
      <c r="F1008" s="99"/>
      <c r="G1008" s="100"/>
      <c r="H1008" s="100"/>
    </row>
    <row r="1009" customHeight="1" spans="2:8">
      <c r="B1009" s="98"/>
      <c r="C1009" s="98"/>
      <c r="D1009" s="98"/>
      <c r="E1009" s="98"/>
      <c r="F1009" s="99"/>
      <c r="G1009" s="100"/>
      <c r="H1009" s="100"/>
    </row>
    <row r="1010" customHeight="1" spans="2:8">
      <c r="B1010" s="98"/>
      <c r="C1010" s="98"/>
      <c r="D1010" s="98"/>
      <c r="E1010" s="98"/>
      <c r="F1010" s="99"/>
      <c r="G1010" s="100"/>
      <c r="H1010" s="100"/>
    </row>
    <row r="1011" customHeight="1" spans="2:8">
      <c r="B1011" s="98"/>
      <c r="C1011" s="98"/>
      <c r="D1011" s="98"/>
      <c r="E1011" s="98"/>
      <c r="F1011" s="99"/>
      <c r="G1011" s="100"/>
      <c r="H1011" s="100"/>
    </row>
    <row r="1012" customHeight="1" spans="2:8">
      <c r="B1012" s="98"/>
      <c r="C1012" s="98"/>
      <c r="D1012" s="98"/>
      <c r="E1012" s="98"/>
      <c r="F1012" s="99"/>
      <c r="G1012" s="100"/>
      <c r="H1012" s="100"/>
    </row>
    <row r="1013" customHeight="1" spans="2:8">
      <c r="B1013" s="98"/>
      <c r="C1013" s="98"/>
      <c r="D1013" s="98"/>
      <c r="E1013" s="98"/>
      <c r="F1013" s="99"/>
      <c r="G1013" s="100"/>
      <c r="H1013" s="100"/>
    </row>
    <row r="1014" customHeight="1" spans="2:8">
      <c r="B1014" s="98"/>
      <c r="C1014" s="98"/>
      <c r="D1014" s="98"/>
      <c r="E1014" s="98"/>
      <c r="F1014" s="99"/>
      <c r="G1014" s="100"/>
      <c r="H1014" s="100"/>
    </row>
    <row r="1015" customHeight="1" spans="2:8">
      <c r="B1015" s="98"/>
      <c r="C1015" s="98"/>
      <c r="D1015" s="98"/>
      <c r="E1015" s="98"/>
      <c r="F1015" s="99"/>
      <c r="G1015" s="100"/>
      <c r="H1015" s="100"/>
    </row>
    <row r="1016" customHeight="1" spans="2:8">
      <c r="B1016" s="98"/>
      <c r="C1016" s="98"/>
      <c r="D1016" s="98"/>
      <c r="E1016" s="98"/>
      <c r="F1016" s="99"/>
      <c r="G1016" s="100"/>
      <c r="H1016" s="100"/>
    </row>
    <row r="1017" customHeight="1" spans="2:8">
      <c r="B1017" s="98"/>
      <c r="C1017" s="98"/>
      <c r="D1017" s="98"/>
      <c r="E1017" s="98"/>
      <c r="F1017" s="99"/>
      <c r="G1017" s="100"/>
      <c r="H1017" s="100"/>
    </row>
    <row r="1018" customHeight="1" spans="2:8">
      <c r="B1018" s="98"/>
      <c r="C1018" s="98"/>
      <c r="D1018" s="98"/>
      <c r="E1018" s="98"/>
      <c r="F1018" s="99"/>
      <c r="G1018" s="100"/>
      <c r="H1018" s="100"/>
    </row>
    <row r="1019" customHeight="1" spans="2:8">
      <c r="B1019" s="98"/>
      <c r="C1019" s="98"/>
      <c r="D1019" s="98"/>
      <c r="E1019" s="98"/>
      <c r="F1019" s="99"/>
      <c r="G1019" s="100"/>
      <c r="H1019" s="100"/>
    </row>
    <row r="1020" customHeight="1" spans="2:8">
      <c r="B1020" s="98"/>
      <c r="C1020" s="98"/>
      <c r="D1020" s="98"/>
      <c r="E1020" s="98"/>
      <c r="F1020" s="99"/>
      <c r="G1020" s="100"/>
      <c r="H1020" s="100"/>
    </row>
    <row r="1021" customHeight="1" spans="2:8">
      <c r="B1021" s="98"/>
      <c r="C1021" s="98"/>
      <c r="D1021" s="98"/>
      <c r="E1021" s="98"/>
      <c r="F1021" s="99"/>
      <c r="G1021" s="100"/>
      <c r="H1021" s="100"/>
    </row>
    <row r="1022" customHeight="1" spans="2:8">
      <c r="B1022" s="98"/>
      <c r="C1022" s="98"/>
      <c r="D1022" s="98"/>
      <c r="E1022" s="98"/>
      <c r="F1022" s="99"/>
      <c r="G1022" s="100"/>
      <c r="H1022" s="100"/>
    </row>
    <row r="1023" customHeight="1" spans="2:8">
      <c r="B1023" s="98"/>
      <c r="C1023" s="98"/>
      <c r="D1023" s="98"/>
      <c r="E1023" s="98"/>
      <c r="F1023" s="99"/>
      <c r="G1023" s="100"/>
      <c r="H1023" s="100"/>
    </row>
    <row r="1024" customHeight="1" spans="2:8">
      <c r="B1024" s="98"/>
      <c r="C1024" s="98"/>
      <c r="D1024" s="98"/>
      <c r="E1024" s="98"/>
      <c r="F1024" s="99"/>
      <c r="G1024" s="100"/>
      <c r="H1024" s="100"/>
    </row>
    <row r="1025" customHeight="1" spans="2:8">
      <c r="B1025" s="98"/>
      <c r="C1025" s="98"/>
      <c r="D1025" s="98"/>
      <c r="E1025" s="98"/>
      <c r="F1025" s="99"/>
      <c r="G1025" s="100"/>
      <c r="H1025" s="100"/>
    </row>
    <row r="1026" customHeight="1" spans="2:8">
      <c r="B1026" s="98"/>
      <c r="C1026" s="98"/>
      <c r="D1026" s="98"/>
      <c r="E1026" s="98"/>
      <c r="F1026" s="99"/>
      <c r="G1026" s="100"/>
      <c r="H1026" s="100"/>
    </row>
    <row r="1027" customHeight="1" spans="2:8">
      <c r="B1027" s="98"/>
      <c r="C1027" s="98"/>
      <c r="D1027" s="98"/>
      <c r="E1027" s="98"/>
      <c r="F1027" s="99"/>
      <c r="G1027" s="100"/>
      <c r="H1027" s="100"/>
    </row>
    <row r="1028" customHeight="1" spans="2:8">
      <c r="B1028" s="98"/>
      <c r="C1028" s="98"/>
      <c r="D1028" s="98"/>
      <c r="E1028" s="98"/>
      <c r="F1028" s="99"/>
      <c r="G1028" s="100"/>
      <c r="H1028" s="100"/>
    </row>
    <row r="1029" customHeight="1" spans="2:8">
      <c r="B1029" s="98"/>
      <c r="C1029" s="98"/>
      <c r="D1029" s="98"/>
      <c r="E1029" s="98"/>
      <c r="F1029" s="99"/>
      <c r="G1029" s="100"/>
      <c r="H1029" s="100"/>
    </row>
    <row r="1030" customHeight="1" spans="2:8">
      <c r="B1030" s="98"/>
      <c r="C1030" s="98"/>
      <c r="D1030" s="98"/>
      <c r="E1030" s="98"/>
      <c r="F1030" s="99"/>
      <c r="G1030" s="100"/>
      <c r="H1030" s="100"/>
    </row>
    <row r="1031" customHeight="1" spans="2:8">
      <c r="B1031" s="98"/>
      <c r="C1031" s="98"/>
      <c r="D1031" s="98"/>
      <c r="E1031" s="98"/>
      <c r="F1031" s="99"/>
      <c r="G1031" s="100"/>
      <c r="H1031" s="100"/>
    </row>
    <row r="1032" customHeight="1" spans="2:8">
      <c r="B1032" s="98"/>
      <c r="C1032" s="98"/>
      <c r="D1032" s="98"/>
      <c r="E1032" s="98"/>
      <c r="F1032" s="99"/>
      <c r="G1032" s="100"/>
      <c r="H1032" s="100"/>
    </row>
    <row r="1033" customHeight="1" spans="2:8">
      <c r="B1033" s="98"/>
      <c r="C1033" s="98"/>
      <c r="D1033" s="98"/>
      <c r="E1033" s="98"/>
      <c r="F1033" s="99"/>
      <c r="G1033" s="100"/>
      <c r="H1033" s="100"/>
    </row>
    <row r="1034" customHeight="1" spans="2:8">
      <c r="B1034" s="98"/>
      <c r="C1034" s="98"/>
      <c r="D1034" s="98"/>
      <c r="E1034" s="98"/>
      <c r="F1034" s="99"/>
      <c r="G1034" s="100"/>
      <c r="H1034" s="100"/>
    </row>
    <row r="1035" customHeight="1" spans="2:8">
      <c r="B1035" s="98"/>
      <c r="C1035" s="98"/>
      <c r="D1035" s="98"/>
      <c r="E1035" s="98"/>
      <c r="F1035" s="99"/>
      <c r="G1035" s="100"/>
      <c r="H1035" s="100"/>
    </row>
    <row r="1036" customHeight="1" spans="2:8">
      <c r="B1036" s="98"/>
      <c r="C1036" s="98"/>
      <c r="D1036" s="98"/>
      <c r="E1036" s="98"/>
      <c r="F1036" s="99"/>
      <c r="G1036" s="100"/>
      <c r="H1036" s="100"/>
    </row>
    <row r="1037" customHeight="1" spans="2:8">
      <c r="B1037" s="98"/>
      <c r="C1037" s="98"/>
      <c r="D1037" s="98"/>
      <c r="E1037" s="98"/>
      <c r="F1037" s="99"/>
      <c r="G1037" s="100"/>
      <c r="H1037" s="100"/>
    </row>
    <row r="1038" customHeight="1" spans="2:8">
      <c r="B1038" s="98"/>
      <c r="C1038" s="98"/>
      <c r="D1038" s="98"/>
      <c r="E1038" s="98"/>
      <c r="F1038" s="99"/>
      <c r="G1038" s="100"/>
      <c r="H1038" s="100"/>
    </row>
    <row r="1039" customHeight="1" spans="2:8">
      <c r="B1039" s="98"/>
      <c r="C1039" s="98"/>
      <c r="D1039" s="98"/>
      <c r="E1039" s="98"/>
      <c r="F1039" s="99"/>
      <c r="G1039" s="100"/>
      <c r="H1039" s="100"/>
    </row>
    <row r="1040" customHeight="1" spans="2:8">
      <c r="B1040" s="98"/>
      <c r="C1040" s="98"/>
      <c r="D1040" s="98"/>
      <c r="E1040" s="98"/>
      <c r="F1040" s="99"/>
      <c r="G1040" s="100"/>
      <c r="H1040" s="100"/>
    </row>
    <row r="1041" customHeight="1" spans="2:8">
      <c r="B1041" s="98"/>
      <c r="C1041" s="98"/>
      <c r="D1041" s="98"/>
      <c r="E1041" s="98"/>
      <c r="F1041" s="99"/>
      <c r="G1041" s="100"/>
      <c r="H1041" s="100"/>
    </row>
    <row r="1042" customHeight="1" spans="2:8">
      <c r="B1042" s="98"/>
      <c r="C1042" s="98"/>
      <c r="D1042" s="98"/>
      <c r="E1042" s="98"/>
      <c r="F1042" s="99"/>
      <c r="G1042" s="100"/>
      <c r="H1042" s="100"/>
    </row>
    <row r="1043" customHeight="1" spans="2:8">
      <c r="B1043" s="98"/>
      <c r="C1043" s="98"/>
      <c r="D1043" s="98"/>
      <c r="E1043" s="98"/>
      <c r="F1043" s="99"/>
      <c r="G1043" s="100"/>
      <c r="H1043" s="100"/>
    </row>
    <row r="1044" customHeight="1" spans="2:8">
      <c r="B1044" s="98"/>
      <c r="C1044" s="98"/>
      <c r="D1044" s="98"/>
      <c r="E1044" s="98"/>
      <c r="F1044" s="99"/>
      <c r="G1044" s="100"/>
      <c r="H1044" s="100"/>
    </row>
    <row r="1045" customHeight="1" spans="2:8">
      <c r="B1045" s="98"/>
      <c r="C1045" s="98"/>
      <c r="D1045" s="98"/>
      <c r="E1045" s="98"/>
      <c r="F1045" s="99"/>
      <c r="G1045" s="100"/>
      <c r="H1045" s="100"/>
    </row>
    <row r="1046" customHeight="1" spans="2:8">
      <c r="B1046" s="98"/>
      <c r="C1046" s="98"/>
      <c r="D1046" s="98"/>
      <c r="E1046" s="98"/>
      <c r="F1046" s="99"/>
      <c r="G1046" s="100"/>
      <c r="H1046" s="100"/>
    </row>
    <row r="1047" customHeight="1" spans="2:8">
      <c r="B1047" s="98"/>
      <c r="C1047" s="98"/>
      <c r="D1047" s="98"/>
      <c r="E1047" s="98"/>
      <c r="F1047" s="99"/>
      <c r="G1047" s="100"/>
      <c r="H1047" s="100"/>
    </row>
    <row r="1048" customHeight="1" spans="2:8">
      <c r="B1048" s="98"/>
      <c r="C1048" s="98"/>
      <c r="D1048" s="98"/>
      <c r="E1048" s="98"/>
      <c r="F1048" s="99"/>
      <c r="G1048" s="100"/>
      <c r="H1048" s="100"/>
    </row>
    <row r="1049" customHeight="1" spans="2:8">
      <c r="B1049" s="98"/>
      <c r="C1049" s="98"/>
      <c r="D1049" s="98"/>
      <c r="E1049" s="98"/>
      <c r="F1049" s="99"/>
      <c r="G1049" s="100"/>
      <c r="H1049" s="100"/>
    </row>
    <row r="1050" customHeight="1" spans="2:8">
      <c r="B1050" s="98"/>
      <c r="C1050" s="98"/>
      <c r="D1050" s="98"/>
      <c r="E1050" s="98"/>
      <c r="F1050" s="99"/>
      <c r="G1050" s="100"/>
      <c r="H1050" s="100"/>
    </row>
    <row r="1051" customHeight="1" spans="2:8">
      <c r="B1051" s="98"/>
      <c r="C1051" s="98"/>
      <c r="D1051" s="98"/>
      <c r="E1051" s="98"/>
      <c r="F1051" s="99"/>
      <c r="G1051" s="100"/>
      <c r="H1051" s="100"/>
    </row>
    <row r="1052" customHeight="1" spans="2:8">
      <c r="B1052" s="98"/>
      <c r="C1052" s="98"/>
      <c r="D1052" s="98"/>
      <c r="E1052" s="98"/>
      <c r="F1052" s="99"/>
      <c r="G1052" s="100"/>
      <c r="H1052" s="100"/>
    </row>
    <row r="1053" customHeight="1" spans="2:8">
      <c r="B1053" s="98"/>
      <c r="C1053" s="98"/>
      <c r="D1053" s="98"/>
      <c r="E1053" s="98"/>
      <c r="F1053" s="99"/>
      <c r="G1053" s="100"/>
      <c r="H1053" s="100"/>
    </row>
    <row r="1054" customHeight="1" spans="2:8">
      <c r="B1054" s="98"/>
      <c r="C1054" s="98"/>
      <c r="D1054" s="98"/>
      <c r="E1054" s="98"/>
      <c r="F1054" s="99"/>
      <c r="G1054" s="100"/>
      <c r="H1054" s="100"/>
    </row>
    <row r="1055" customHeight="1" spans="2:8">
      <c r="B1055" s="98"/>
      <c r="C1055" s="98"/>
      <c r="D1055" s="98"/>
      <c r="E1055" s="98"/>
      <c r="F1055" s="99"/>
      <c r="G1055" s="100"/>
      <c r="H1055" s="100"/>
    </row>
    <row r="1056" customHeight="1" spans="2:8">
      <c r="B1056" s="98"/>
      <c r="C1056" s="98"/>
      <c r="D1056" s="98"/>
      <c r="E1056" s="98"/>
      <c r="F1056" s="99"/>
      <c r="G1056" s="100"/>
      <c r="H1056" s="100"/>
    </row>
    <row r="1057" customHeight="1" spans="2:8">
      <c r="B1057" s="98"/>
      <c r="C1057" s="98"/>
      <c r="D1057" s="98"/>
      <c r="E1057" s="98"/>
      <c r="F1057" s="99"/>
      <c r="G1057" s="100"/>
      <c r="H1057" s="100"/>
    </row>
    <row r="1058" customHeight="1" spans="2:8">
      <c r="B1058" s="98"/>
      <c r="C1058" s="98"/>
      <c r="D1058" s="98"/>
      <c r="E1058" s="98"/>
      <c r="F1058" s="99"/>
      <c r="G1058" s="100"/>
      <c r="H1058" s="100"/>
    </row>
    <row r="1059" customHeight="1" spans="2:8">
      <c r="B1059" s="98"/>
      <c r="C1059" s="98"/>
      <c r="D1059" s="98"/>
      <c r="E1059" s="98"/>
      <c r="F1059" s="99"/>
      <c r="G1059" s="100"/>
      <c r="H1059" s="100"/>
    </row>
    <row r="1060" customHeight="1" spans="2:8">
      <c r="B1060" s="98"/>
      <c r="C1060" s="98"/>
      <c r="D1060" s="98"/>
      <c r="E1060" s="98"/>
      <c r="F1060" s="99"/>
      <c r="G1060" s="100"/>
      <c r="H1060" s="100"/>
    </row>
    <row r="1061" customHeight="1" spans="2:8">
      <c r="B1061" s="98"/>
      <c r="C1061" s="98"/>
      <c r="D1061" s="98"/>
      <c r="E1061" s="98"/>
      <c r="F1061" s="99"/>
      <c r="G1061" s="100"/>
      <c r="H1061" s="100"/>
    </row>
    <row r="1062" customHeight="1" spans="2:8">
      <c r="B1062" s="98"/>
      <c r="C1062" s="98"/>
      <c r="D1062" s="98"/>
      <c r="E1062" s="98"/>
      <c r="F1062" s="99"/>
      <c r="G1062" s="100"/>
      <c r="H1062" s="100"/>
    </row>
    <row r="1063" customHeight="1" spans="2:8">
      <c r="B1063" s="98"/>
      <c r="C1063" s="98"/>
      <c r="D1063" s="98"/>
      <c r="E1063" s="98"/>
      <c r="F1063" s="99"/>
      <c r="G1063" s="100"/>
      <c r="H1063" s="100"/>
    </row>
    <row r="1064" customHeight="1" spans="2:8">
      <c r="B1064" s="98"/>
      <c r="C1064" s="98"/>
      <c r="D1064" s="98"/>
      <c r="E1064" s="98"/>
      <c r="F1064" s="99"/>
      <c r="G1064" s="100"/>
      <c r="H1064" s="100"/>
    </row>
    <row r="1065" customHeight="1" spans="2:8">
      <c r="B1065" s="98"/>
      <c r="C1065" s="98"/>
      <c r="D1065" s="98"/>
      <c r="E1065" s="98"/>
      <c r="F1065" s="99"/>
      <c r="G1065" s="100"/>
      <c r="H1065" s="100"/>
    </row>
    <row r="1066" customHeight="1" spans="2:8">
      <c r="B1066" s="98"/>
      <c r="C1066" s="98"/>
      <c r="D1066" s="98"/>
      <c r="E1066" s="98"/>
      <c r="F1066" s="99"/>
      <c r="G1066" s="100"/>
      <c r="H1066" s="100"/>
    </row>
    <row r="1067" customHeight="1" spans="2:8">
      <c r="B1067" s="98"/>
      <c r="C1067" s="98"/>
      <c r="D1067" s="98"/>
      <c r="E1067" s="98"/>
      <c r="F1067" s="99"/>
      <c r="G1067" s="100"/>
      <c r="H1067" s="100"/>
    </row>
    <row r="1068" customHeight="1" spans="2:8">
      <c r="B1068" s="98"/>
      <c r="C1068" s="98"/>
      <c r="D1068" s="98"/>
      <c r="E1068" s="98"/>
      <c r="F1068" s="99"/>
      <c r="G1068" s="100"/>
      <c r="H1068" s="100"/>
    </row>
    <row r="1069" customHeight="1" spans="2:8">
      <c r="B1069" s="98"/>
      <c r="C1069" s="98"/>
      <c r="D1069" s="98"/>
      <c r="E1069" s="98"/>
      <c r="F1069" s="99"/>
      <c r="G1069" s="100"/>
      <c r="H1069" s="100"/>
    </row>
    <row r="1070" customHeight="1" spans="2:8">
      <c r="B1070" s="98"/>
      <c r="C1070" s="98"/>
      <c r="D1070" s="98"/>
      <c r="E1070" s="98"/>
      <c r="F1070" s="99"/>
      <c r="G1070" s="100"/>
      <c r="H1070" s="100"/>
    </row>
    <row r="1071" customHeight="1" spans="2:8">
      <c r="B1071" s="98"/>
      <c r="C1071" s="98"/>
      <c r="D1071" s="98"/>
      <c r="E1071" s="98"/>
      <c r="F1071" s="99"/>
      <c r="G1071" s="100"/>
      <c r="H1071" s="100"/>
    </row>
    <row r="1072" customHeight="1" spans="2:8">
      <c r="B1072" s="98"/>
      <c r="C1072" s="98"/>
      <c r="D1072" s="98"/>
      <c r="E1072" s="98"/>
      <c r="F1072" s="99"/>
      <c r="G1072" s="100"/>
      <c r="H1072" s="100"/>
    </row>
    <row r="1073" customHeight="1" spans="2:8">
      <c r="B1073" s="98"/>
      <c r="C1073" s="98"/>
      <c r="D1073" s="98"/>
      <c r="E1073" s="98"/>
      <c r="F1073" s="99"/>
      <c r="G1073" s="100"/>
      <c r="H1073" s="100"/>
    </row>
    <row r="1074" customHeight="1" spans="2:8">
      <c r="B1074" s="98"/>
      <c r="C1074" s="98"/>
      <c r="D1074" s="98"/>
      <c r="E1074" s="98"/>
      <c r="F1074" s="99"/>
      <c r="G1074" s="100"/>
      <c r="H1074" s="100"/>
    </row>
    <row r="1075" customHeight="1" spans="2:8">
      <c r="B1075" s="98"/>
      <c r="C1075" s="98"/>
      <c r="D1075" s="98"/>
      <c r="E1075" s="98"/>
      <c r="F1075" s="99"/>
      <c r="G1075" s="100"/>
      <c r="H1075" s="100"/>
    </row>
    <row r="1076" customHeight="1" spans="2:8">
      <c r="B1076" s="98"/>
      <c r="C1076" s="98"/>
      <c r="D1076" s="98"/>
      <c r="E1076" s="98"/>
      <c r="F1076" s="99"/>
      <c r="G1076" s="100"/>
      <c r="H1076" s="100"/>
    </row>
    <row r="1077" customHeight="1" spans="2:8">
      <c r="B1077" s="98"/>
      <c r="C1077" s="98"/>
      <c r="D1077" s="98"/>
      <c r="E1077" s="98"/>
      <c r="F1077" s="99"/>
      <c r="G1077" s="100"/>
      <c r="H1077" s="100"/>
    </row>
    <row r="1078" customHeight="1" spans="2:8">
      <c r="B1078" s="98"/>
      <c r="C1078" s="98"/>
      <c r="D1078" s="98"/>
      <c r="E1078" s="98"/>
      <c r="F1078" s="99"/>
      <c r="G1078" s="100"/>
      <c r="H1078" s="100"/>
    </row>
    <row r="1079" customHeight="1" spans="2:8">
      <c r="B1079" s="98"/>
      <c r="C1079" s="98"/>
      <c r="D1079" s="98"/>
      <c r="E1079" s="98"/>
      <c r="F1079" s="99"/>
      <c r="G1079" s="100"/>
      <c r="H1079" s="100"/>
    </row>
    <row r="1080" customHeight="1" spans="2:8">
      <c r="B1080" s="98"/>
      <c r="C1080" s="98"/>
      <c r="D1080" s="98"/>
      <c r="E1080" s="98"/>
      <c r="F1080" s="99"/>
      <c r="G1080" s="100"/>
      <c r="H1080" s="100"/>
    </row>
    <row r="1081" customHeight="1" spans="2:8">
      <c r="B1081" s="98"/>
      <c r="C1081" s="98"/>
      <c r="D1081" s="98"/>
      <c r="E1081" s="98"/>
      <c r="F1081" s="99"/>
      <c r="G1081" s="100"/>
      <c r="H1081" s="100"/>
    </row>
    <row r="1082" customHeight="1" spans="2:8">
      <c r="B1082" s="98"/>
      <c r="C1082" s="98"/>
      <c r="D1082" s="98"/>
      <c r="E1082" s="98"/>
      <c r="F1082" s="99"/>
      <c r="G1082" s="100"/>
      <c r="H1082" s="100"/>
    </row>
    <row r="1083" customHeight="1" spans="2:8">
      <c r="B1083" s="98"/>
      <c r="C1083" s="98"/>
      <c r="D1083" s="98"/>
      <c r="E1083" s="98"/>
      <c r="F1083" s="99"/>
      <c r="G1083" s="100"/>
      <c r="H1083" s="100"/>
    </row>
    <row r="1084" customHeight="1" spans="2:8">
      <c r="B1084" s="98"/>
      <c r="C1084" s="98"/>
      <c r="D1084" s="98"/>
      <c r="E1084" s="98"/>
      <c r="F1084" s="99"/>
      <c r="G1084" s="100"/>
      <c r="H1084" s="100"/>
    </row>
    <row r="1085" customHeight="1" spans="2:8">
      <c r="B1085" s="98"/>
      <c r="C1085" s="98"/>
      <c r="D1085" s="98"/>
      <c r="E1085" s="98"/>
      <c r="F1085" s="99"/>
      <c r="G1085" s="100"/>
      <c r="H1085" s="100"/>
    </row>
    <row r="1086" customHeight="1" spans="2:8">
      <c r="B1086" s="98"/>
      <c r="C1086" s="98"/>
      <c r="D1086" s="98"/>
      <c r="E1086" s="98"/>
      <c r="F1086" s="99"/>
      <c r="G1086" s="100"/>
      <c r="H1086" s="100"/>
    </row>
    <row r="1087" customHeight="1" spans="2:8">
      <c r="B1087" s="98"/>
      <c r="C1087" s="98"/>
      <c r="D1087" s="98"/>
      <c r="E1087" s="98"/>
      <c r="F1087" s="99"/>
      <c r="G1087" s="100"/>
      <c r="H1087" s="100"/>
    </row>
    <row r="1088" customHeight="1" spans="2:8">
      <c r="B1088" s="98"/>
      <c r="C1088" s="98"/>
      <c r="D1088" s="98"/>
      <c r="E1088" s="98"/>
      <c r="F1088" s="99"/>
      <c r="G1088" s="100"/>
      <c r="H1088" s="100"/>
    </row>
    <row r="1089" customHeight="1" spans="2:8">
      <c r="B1089" s="98"/>
      <c r="C1089" s="98"/>
      <c r="D1089" s="98"/>
      <c r="E1089" s="98"/>
      <c r="F1089" s="99"/>
      <c r="G1089" s="100"/>
      <c r="H1089" s="100"/>
    </row>
    <row r="1090" customHeight="1" spans="2:8">
      <c r="B1090" s="98"/>
      <c r="C1090" s="98"/>
      <c r="D1090" s="98"/>
      <c r="E1090" s="98"/>
      <c r="F1090" s="99"/>
      <c r="G1090" s="100"/>
      <c r="H1090" s="100"/>
    </row>
    <row r="1091" customHeight="1" spans="2:8">
      <c r="B1091" s="98"/>
      <c r="C1091" s="98"/>
      <c r="D1091" s="98"/>
      <c r="E1091" s="98"/>
      <c r="F1091" s="99"/>
      <c r="G1091" s="100"/>
      <c r="H1091" s="100"/>
    </row>
    <row r="1092" customHeight="1" spans="2:8">
      <c r="B1092" s="98"/>
      <c r="C1092" s="98"/>
      <c r="D1092" s="98"/>
      <c r="E1092" s="98"/>
      <c r="F1092" s="99"/>
      <c r="G1092" s="100"/>
      <c r="H1092" s="100"/>
    </row>
    <row r="1093" customHeight="1" spans="2:8">
      <c r="B1093" s="98"/>
      <c r="C1093" s="98"/>
      <c r="D1093" s="98"/>
      <c r="E1093" s="98"/>
      <c r="F1093" s="99"/>
      <c r="G1093" s="100"/>
      <c r="H1093" s="100"/>
    </row>
    <row r="1094" customHeight="1" spans="2:8">
      <c r="B1094" s="98"/>
      <c r="C1094" s="98"/>
      <c r="D1094" s="98"/>
      <c r="E1094" s="98"/>
      <c r="F1094" s="99"/>
      <c r="G1094" s="100"/>
      <c r="H1094" s="100"/>
    </row>
    <row r="1095" customHeight="1" spans="2:8">
      <c r="B1095" s="98"/>
      <c r="C1095" s="98"/>
      <c r="D1095" s="98"/>
      <c r="E1095" s="98"/>
      <c r="F1095" s="99"/>
      <c r="G1095" s="100"/>
      <c r="H1095" s="100"/>
    </row>
    <row r="1096" customHeight="1" spans="2:8">
      <c r="B1096" s="98"/>
      <c r="C1096" s="98"/>
      <c r="D1096" s="98"/>
      <c r="E1096" s="98"/>
      <c r="F1096" s="99"/>
      <c r="G1096" s="100"/>
      <c r="H1096" s="100"/>
    </row>
    <row r="1097" customHeight="1" spans="2:8">
      <c r="B1097" s="98"/>
      <c r="C1097" s="98"/>
      <c r="D1097" s="98"/>
      <c r="E1097" s="98"/>
      <c r="F1097" s="99"/>
      <c r="G1097" s="100"/>
      <c r="H1097" s="100"/>
    </row>
    <row r="1098" customHeight="1" spans="2:8">
      <c r="B1098" s="98"/>
      <c r="C1098" s="98"/>
      <c r="D1098" s="98"/>
      <c r="E1098" s="98"/>
      <c r="F1098" s="99"/>
      <c r="G1098" s="100"/>
      <c r="H1098" s="100"/>
    </row>
    <row r="1099" customHeight="1" spans="2:8">
      <c r="B1099" s="98"/>
      <c r="C1099" s="98"/>
      <c r="D1099" s="98"/>
      <c r="E1099" s="98"/>
      <c r="F1099" s="99"/>
      <c r="G1099" s="100"/>
      <c r="H1099" s="100"/>
    </row>
    <row r="1100" customHeight="1" spans="2:8">
      <c r="B1100" s="98"/>
      <c r="C1100" s="98"/>
      <c r="D1100" s="98"/>
      <c r="E1100" s="98"/>
      <c r="F1100" s="99"/>
      <c r="G1100" s="100"/>
      <c r="H1100" s="100"/>
    </row>
    <row r="1101" customHeight="1" spans="2:8">
      <c r="B1101" s="98"/>
      <c r="C1101" s="98"/>
      <c r="D1101" s="98"/>
      <c r="E1101" s="98"/>
      <c r="F1101" s="99"/>
      <c r="G1101" s="100"/>
      <c r="H1101" s="100"/>
    </row>
    <row r="1102" customHeight="1" spans="2:8">
      <c r="B1102" s="98"/>
      <c r="C1102" s="98"/>
      <c r="D1102" s="98"/>
      <c r="E1102" s="98"/>
      <c r="F1102" s="99"/>
      <c r="G1102" s="100"/>
      <c r="H1102" s="100"/>
    </row>
    <row r="1103" customHeight="1" spans="2:8">
      <c r="B1103" s="98"/>
      <c r="C1103" s="98"/>
      <c r="D1103" s="98"/>
      <c r="E1103" s="98"/>
      <c r="F1103" s="99"/>
      <c r="G1103" s="100"/>
      <c r="H1103" s="100"/>
    </row>
    <row r="1104" customHeight="1" spans="2:8">
      <c r="B1104" s="98"/>
      <c r="C1104" s="98"/>
      <c r="D1104" s="98"/>
      <c r="E1104" s="98"/>
      <c r="F1104" s="99"/>
      <c r="G1104" s="100"/>
      <c r="H1104" s="100"/>
    </row>
    <row r="1105" customHeight="1" spans="2:8">
      <c r="B1105" s="98"/>
      <c r="C1105" s="98"/>
      <c r="D1105" s="98"/>
      <c r="E1105" s="98"/>
      <c r="F1105" s="99"/>
      <c r="G1105" s="100"/>
      <c r="H1105" s="100"/>
    </row>
    <row r="1106" customHeight="1" spans="2:8">
      <c r="B1106" s="98"/>
      <c r="C1106" s="98"/>
      <c r="D1106" s="98"/>
      <c r="E1106" s="98"/>
      <c r="F1106" s="99"/>
      <c r="G1106" s="100"/>
      <c r="H1106" s="100"/>
    </row>
    <row r="1107" customHeight="1" spans="2:8">
      <c r="B1107" s="98"/>
      <c r="C1107" s="98"/>
      <c r="D1107" s="98"/>
      <c r="E1107" s="98"/>
      <c r="F1107" s="99"/>
      <c r="G1107" s="100"/>
      <c r="H1107" s="100"/>
    </row>
    <row r="1108" customHeight="1" spans="2:8">
      <c r="B1108" s="98"/>
      <c r="C1108" s="98"/>
      <c r="D1108" s="98"/>
      <c r="E1108" s="98"/>
      <c r="F1108" s="99"/>
      <c r="G1108" s="100"/>
      <c r="H1108" s="100"/>
    </row>
    <row r="1109" customHeight="1" spans="2:8">
      <c r="B1109" s="98"/>
      <c r="C1109" s="98"/>
      <c r="D1109" s="98"/>
      <c r="E1109" s="98"/>
      <c r="F1109" s="99"/>
      <c r="G1109" s="100"/>
      <c r="H1109" s="100"/>
    </row>
    <row r="1110" customHeight="1" spans="2:8">
      <c r="B1110" s="98"/>
      <c r="C1110" s="98"/>
      <c r="D1110" s="98"/>
      <c r="E1110" s="98"/>
      <c r="F1110" s="99"/>
      <c r="G1110" s="100"/>
      <c r="H1110" s="100"/>
    </row>
    <row r="1111" customHeight="1" spans="2:8">
      <c r="B1111" s="98"/>
      <c r="C1111" s="98"/>
      <c r="D1111" s="98"/>
      <c r="E1111" s="98"/>
      <c r="F1111" s="99"/>
      <c r="G1111" s="100"/>
      <c r="H1111" s="100"/>
    </row>
    <row r="1112" customHeight="1" spans="2:8">
      <c r="B1112" s="98"/>
      <c r="C1112" s="98"/>
      <c r="D1112" s="98"/>
      <c r="E1112" s="98"/>
      <c r="F1112" s="99"/>
      <c r="G1112" s="100"/>
      <c r="H1112" s="100"/>
    </row>
    <row r="1113" customHeight="1" spans="2:8">
      <c r="B1113" s="98"/>
      <c r="C1113" s="98"/>
      <c r="D1113" s="98"/>
      <c r="E1113" s="98"/>
      <c r="F1113" s="99"/>
      <c r="G1113" s="100"/>
      <c r="H1113" s="100"/>
    </row>
    <row r="1114" customHeight="1" spans="2:8">
      <c r="B1114" s="98"/>
      <c r="C1114" s="98"/>
      <c r="D1114" s="98"/>
      <c r="E1114" s="98"/>
      <c r="F1114" s="99"/>
      <c r="G1114" s="100"/>
      <c r="H1114" s="100"/>
    </row>
    <row r="1115" customHeight="1" spans="2:8">
      <c r="B1115" s="98"/>
      <c r="C1115" s="98"/>
      <c r="D1115" s="98"/>
      <c r="E1115" s="98"/>
      <c r="F1115" s="99"/>
      <c r="G1115" s="100"/>
      <c r="H1115" s="100"/>
    </row>
    <row r="1116" customHeight="1" spans="2:8">
      <c r="B1116" s="98"/>
      <c r="C1116" s="98"/>
      <c r="D1116" s="98"/>
      <c r="E1116" s="98"/>
      <c r="F1116" s="99"/>
      <c r="G1116" s="100"/>
      <c r="H1116" s="100"/>
    </row>
    <row r="1117" customHeight="1" spans="2:8">
      <c r="B1117" s="98"/>
      <c r="C1117" s="98"/>
      <c r="D1117" s="98"/>
      <c r="E1117" s="98"/>
      <c r="F1117" s="99"/>
      <c r="G1117" s="100"/>
      <c r="H1117" s="100"/>
    </row>
    <row r="1118" customHeight="1" spans="2:8">
      <c r="B1118" s="98"/>
      <c r="C1118" s="98"/>
      <c r="D1118" s="98"/>
      <c r="E1118" s="98"/>
      <c r="F1118" s="99"/>
      <c r="G1118" s="100"/>
      <c r="H1118" s="100"/>
    </row>
    <row r="1119" customHeight="1" spans="2:8">
      <c r="B1119" s="98"/>
      <c r="C1119" s="98"/>
      <c r="D1119" s="98"/>
      <c r="E1119" s="98"/>
      <c r="F1119" s="99"/>
      <c r="G1119" s="100"/>
      <c r="H1119" s="100"/>
    </row>
    <row r="1120" customHeight="1" spans="2:8">
      <c r="B1120" s="98"/>
      <c r="C1120" s="98"/>
      <c r="D1120" s="98"/>
      <c r="E1120" s="98"/>
      <c r="F1120" s="99"/>
      <c r="G1120" s="100"/>
      <c r="H1120" s="100"/>
    </row>
    <row r="1121" customHeight="1" spans="2:8">
      <c r="B1121" s="98"/>
      <c r="C1121" s="98"/>
      <c r="D1121" s="98"/>
      <c r="E1121" s="98"/>
      <c r="F1121" s="99"/>
      <c r="G1121" s="100"/>
      <c r="H1121" s="100"/>
    </row>
    <row r="1122" customHeight="1" spans="2:8">
      <c r="B1122" s="98"/>
      <c r="C1122" s="98"/>
      <c r="D1122" s="98"/>
      <c r="E1122" s="98"/>
      <c r="F1122" s="99"/>
      <c r="G1122" s="100"/>
      <c r="H1122" s="100"/>
    </row>
    <row r="1123" customHeight="1" spans="2:8">
      <c r="B1123" s="98"/>
      <c r="C1123" s="98"/>
      <c r="D1123" s="98"/>
      <c r="E1123" s="98"/>
      <c r="F1123" s="99"/>
      <c r="G1123" s="100"/>
      <c r="H1123" s="100"/>
    </row>
    <row r="1124" customHeight="1" spans="2:8">
      <c r="B1124" s="98"/>
      <c r="C1124" s="98"/>
      <c r="D1124" s="98"/>
      <c r="E1124" s="98"/>
      <c r="F1124" s="99"/>
      <c r="G1124" s="100"/>
      <c r="H1124" s="100"/>
    </row>
    <row r="1125" customHeight="1" spans="2:8">
      <c r="B1125" s="98"/>
      <c r="C1125" s="98"/>
      <c r="D1125" s="98"/>
      <c r="E1125" s="98"/>
      <c r="F1125" s="99"/>
      <c r="G1125" s="100"/>
      <c r="H1125" s="100"/>
    </row>
    <row r="1126" customHeight="1" spans="2:8">
      <c r="B1126" s="98"/>
      <c r="C1126" s="98"/>
      <c r="D1126" s="98"/>
      <c r="E1126" s="98"/>
      <c r="F1126" s="99"/>
      <c r="G1126" s="100"/>
      <c r="H1126" s="100"/>
    </row>
    <row r="1127" customHeight="1" spans="2:8">
      <c r="B1127" s="98"/>
      <c r="C1127" s="98"/>
      <c r="D1127" s="98"/>
      <c r="E1127" s="98"/>
      <c r="F1127" s="99"/>
      <c r="G1127" s="100"/>
      <c r="H1127" s="100"/>
    </row>
    <row r="1128" customHeight="1" spans="2:8">
      <c r="B1128" s="98"/>
      <c r="C1128" s="98"/>
      <c r="D1128" s="98"/>
      <c r="E1128" s="98"/>
      <c r="F1128" s="99"/>
      <c r="G1128" s="100"/>
      <c r="H1128" s="100"/>
    </row>
    <row r="1129" customHeight="1" spans="2:8">
      <c r="B1129" s="98"/>
      <c r="C1129" s="98"/>
      <c r="D1129" s="98"/>
      <c r="E1129" s="98"/>
      <c r="F1129" s="99"/>
      <c r="G1129" s="100"/>
      <c r="H1129" s="100"/>
    </row>
    <row r="1130" customHeight="1" spans="2:8">
      <c r="B1130" s="98"/>
      <c r="C1130" s="98"/>
      <c r="D1130" s="98"/>
      <c r="E1130" s="98"/>
      <c r="F1130" s="99"/>
      <c r="G1130" s="100"/>
      <c r="H1130" s="100"/>
    </row>
    <row r="1131" customHeight="1" spans="2:8">
      <c r="B1131" s="98"/>
      <c r="C1131" s="98"/>
      <c r="D1131" s="98"/>
      <c r="E1131" s="98"/>
      <c r="F1131" s="99"/>
      <c r="G1131" s="100"/>
      <c r="H1131" s="100"/>
    </row>
    <row r="1132" customHeight="1" spans="2:8">
      <c r="B1132" s="98"/>
      <c r="C1132" s="98"/>
      <c r="D1132" s="98"/>
      <c r="E1132" s="98"/>
      <c r="F1132" s="99"/>
      <c r="G1132" s="100"/>
      <c r="H1132" s="100"/>
    </row>
    <row r="1133" customHeight="1" spans="2:8">
      <c r="B1133" s="98"/>
      <c r="C1133" s="98"/>
      <c r="D1133" s="98"/>
      <c r="E1133" s="98"/>
      <c r="F1133" s="99"/>
      <c r="G1133" s="100"/>
      <c r="H1133" s="100"/>
    </row>
    <row r="1134" customHeight="1" spans="2:8">
      <c r="B1134" s="98"/>
      <c r="C1134" s="98"/>
      <c r="D1134" s="98"/>
      <c r="E1134" s="98"/>
      <c r="F1134" s="99"/>
      <c r="G1134" s="100"/>
      <c r="H1134" s="100"/>
    </row>
    <row r="1135" customHeight="1" spans="2:8">
      <c r="B1135" s="98"/>
      <c r="C1135" s="98"/>
      <c r="D1135" s="98"/>
      <c r="E1135" s="98"/>
      <c r="F1135" s="99"/>
      <c r="G1135" s="100"/>
      <c r="H1135" s="100"/>
    </row>
    <row r="1136" customHeight="1" spans="2:8">
      <c r="B1136" s="98"/>
      <c r="C1136" s="98"/>
      <c r="D1136" s="98"/>
      <c r="E1136" s="98"/>
      <c r="F1136" s="99"/>
      <c r="G1136" s="100"/>
      <c r="H1136" s="100"/>
    </row>
    <row r="1137" customHeight="1" spans="2:8">
      <c r="B1137" s="98"/>
      <c r="C1137" s="98"/>
      <c r="D1137" s="98"/>
      <c r="E1137" s="98"/>
      <c r="F1137" s="99"/>
      <c r="G1137" s="100"/>
      <c r="H1137" s="100"/>
    </row>
    <row r="1138" customHeight="1" spans="2:8">
      <c r="B1138" s="98"/>
      <c r="C1138" s="98"/>
      <c r="D1138" s="98"/>
      <c r="E1138" s="98"/>
      <c r="F1138" s="99"/>
      <c r="G1138" s="100"/>
      <c r="H1138" s="100"/>
    </row>
    <row r="1139" customHeight="1" spans="2:8">
      <c r="B1139" s="98"/>
      <c r="C1139" s="98"/>
      <c r="D1139" s="98"/>
      <c r="E1139" s="98"/>
      <c r="F1139" s="99"/>
      <c r="G1139" s="100"/>
      <c r="H1139" s="100"/>
    </row>
    <row r="1140" customHeight="1" spans="2:8">
      <c r="B1140" s="98"/>
      <c r="C1140" s="98"/>
      <c r="D1140" s="98"/>
      <c r="E1140" s="98"/>
      <c r="F1140" s="99"/>
      <c r="G1140" s="100"/>
      <c r="H1140" s="100"/>
    </row>
    <row r="1141" customHeight="1" spans="2:8">
      <c r="B1141" s="98"/>
      <c r="C1141" s="98"/>
      <c r="D1141" s="98"/>
      <c r="E1141" s="98"/>
      <c r="F1141" s="99"/>
      <c r="G1141" s="100"/>
      <c r="H1141" s="100"/>
    </row>
    <row r="1142" customHeight="1" spans="2:8">
      <c r="B1142" s="98"/>
      <c r="C1142" s="98"/>
      <c r="D1142" s="98"/>
      <c r="E1142" s="98"/>
      <c r="F1142" s="99"/>
      <c r="G1142" s="100"/>
      <c r="H1142" s="100"/>
    </row>
    <row r="1143" customHeight="1" spans="2:8">
      <c r="B1143" s="98"/>
      <c r="C1143" s="98"/>
      <c r="D1143" s="98"/>
      <c r="E1143" s="98"/>
      <c r="F1143" s="99"/>
      <c r="G1143" s="100"/>
      <c r="H1143" s="100"/>
    </row>
    <row r="1144" customHeight="1" spans="2:8">
      <c r="B1144" s="98"/>
      <c r="C1144" s="98"/>
      <c r="D1144" s="98"/>
      <c r="E1144" s="98"/>
      <c r="F1144" s="99"/>
      <c r="G1144" s="100"/>
      <c r="H1144" s="100"/>
    </row>
    <row r="1145" customHeight="1" spans="2:8">
      <c r="B1145" s="98"/>
      <c r="C1145" s="98"/>
      <c r="D1145" s="98"/>
      <c r="E1145" s="98"/>
      <c r="F1145" s="99"/>
      <c r="G1145" s="100"/>
      <c r="H1145" s="100"/>
    </row>
    <row r="1146" customHeight="1" spans="2:8">
      <c r="B1146" s="98"/>
      <c r="C1146" s="98"/>
      <c r="D1146" s="98"/>
      <c r="E1146" s="98"/>
      <c r="F1146" s="99"/>
      <c r="G1146" s="100"/>
      <c r="H1146" s="100"/>
    </row>
    <row r="1147" customHeight="1" spans="2:8">
      <c r="B1147" s="98"/>
      <c r="C1147" s="98"/>
      <c r="D1147" s="98"/>
      <c r="E1147" s="98"/>
      <c r="F1147" s="99"/>
      <c r="G1147" s="100"/>
      <c r="H1147" s="100"/>
    </row>
    <row r="1148" customHeight="1" spans="2:8">
      <c r="B1148" s="98"/>
      <c r="C1148" s="98"/>
      <c r="D1148" s="98"/>
      <c r="E1148" s="98"/>
      <c r="F1148" s="99"/>
      <c r="G1148" s="100"/>
      <c r="H1148" s="100"/>
    </row>
    <row r="1149" customHeight="1" spans="2:8">
      <c r="B1149" s="98"/>
      <c r="C1149" s="98"/>
      <c r="D1149" s="98"/>
      <c r="E1149" s="98"/>
      <c r="F1149" s="99"/>
      <c r="G1149" s="100"/>
      <c r="H1149" s="100"/>
    </row>
    <row r="1150" customHeight="1" spans="2:8">
      <c r="B1150" s="98"/>
      <c r="C1150" s="98"/>
      <c r="D1150" s="98"/>
      <c r="E1150" s="98"/>
      <c r="F1150" s="99"/>
      <c r="G1150" s="100"/>
      <c r="H1150" s="100"/>
    </row>
    <row r="1151" customHeight="1" spans="2:8">
      <c r="B1151" s="98"/>
      <c r="C1151" s="98"/>
      <c r="D1151" s="98"/>
      <c r="E1151" s="98"/>
      <c r="F1151" s="99"/>
      <c r="G1151" s="100"/>
      <c r="H1151" s="100"/>
    </row>
    <row r="1152" customHeight="1" spans="2:8">
      <c r="B1152" s="98"/>
      <c r="C1152" s="98"/>
      <c r="D1152" s="98"/>
      <c r="E1152" s="98"/>
      <c r="F1152" s="99"/>
      <c r="G1152" s="100"/>
      <c r="H1152" s="100"/>
    </row>
    <row r="1153" customHeight="1" spans="2:8">
      <c r="B1153" s="98"/>
      <c r="C1153" s="98"/>
      <c r="D1153" s="98"/>
      <c r="E1153" s="98"/>
      <c r="F1153" s="99"/>
      <c r="G1153" s="100"/>
      <c r="H1153" s="100"/>
    </row>
    <row r="1154" customHeight="1" spans="2:8">
      <c r="B1154" s="98"/>
      <c r="C1154" s="98"/>
      <c r="D1154" s="98"/>
      <c r="E1154" s="98"/>
      <c r="F1154" s="99"/>
      <c r="G1154" s="100"/>
      <c r="H1154" s="100"/>
    </row>
    <row r="1155" customHeight="1" spans="2:8">
      <c r="B1155" s="98"/>
      <c r="C1155" s="98"/>
      <c r="D1155" s="98"/>
      <c r="E1155" s="98"/>
      <c r="F1155" s="99"/>
      <c r="G1155" s="100"/>
      <c r="H1155" s="100"/>
    </row>
    <row r="1156" customHeight="1" spans="2:8">
      <c r="B1156" s="98"/>
      <c r="C1156" s="98"/>
      <c r="D1156" s="98"/>
      <c r="E1156" s="98"/>
      <c r="F1156" s="99"/>
      <c r="G1156" s="100"/>
      <c r="H1156" s="100"/>
    </row>
    <row r="1157" customHeight="1" spans="2:8">
      <c r="B1157" s="98"/>
      <c r="C1157" s="98"/>
      <c r="D1157" s="98"/>
      <c r="E1157" s="98"/>
      <c r="F1157" s="99"/>
      <c r="G1157" s="100"/>
      <c r="H1157" s="100"/>
    </row>
    <row r="1158" customHeight="1" spans="2:8">
      <c r="B1158" s="98"/>
      <c r="C1158" s="98"/>
      <c r="D1158" s="98"/>
      <c r="E1158" s="98"/>
      <c r="F1158" s="99"/>
      <c r="G1158" s="100"/>
      <c r="H1158" s="100"/>
    </row>
    <row r="1159" customHeight="1" spans="2:8">
      <c r="B1159" s="98"/>
      <c r="C1159" s="98"/>
      <c r="D1159" s="98"/>
      <c r="E1159" s="98"/>
      <c r="F1159" s="99"/>
      <c r="G1159" s="100"/>
      <c r="H1159" s="100"/>
    </row>
    <row r="1160" customHeight="1" spans="2:8">
      <c r="B1160" s="98"/>
      <c r="C1160" s="98"/>
      <c r="D1160" s="98"/>
      <c r="E1160" s="98"/>
      <c r="F1160" s="99"/>
      <c r="G1160" s="100"/>
      <c r="H1160" s="100"/>
    </row>
    <row r="1161" customHeight="1" spans="2:8">
      <c r="B1161" s="98"/>
      <c r="C1161" s="98"/>
      <c r="D1161" s="98"/>
      <c r="E1161" s="98"/>
      <c r="F1161" s="99"/>
      <c r="G1161" s="100"/>
      <c r="H1161" s="100"/>
    </row>
    <row r="1162" customHeight="1" spans="2:8">
      <c r="B1162" s="98"/>
      <c r="C1162" s="98"/>
      <c r="D1162" s="98"/>
      <c r="E1162" s="98"/>
      <c r="F1162" s="99"/>
      <c r="G1162" s="100"/>
      <c r="H1162" s="100"/>
    </row>
    <row r="1163" customHeight="1" spans="2:8">
      <c r="B1163" s="98"/>
      <c r="C1163" s="98"/>
      <c r="D1163" s="98"/>
      <c r="E1163" s="98"/>
      <c r="F1163" s="99"/>
      <c r="G1163" s="100"/>
      <c r="H1163" s="100"/>
    </row>
    <row r="1164" customHeight="1" spans="2:8">
      <c r="B1164" s="98"/>
      <c r="C1164" s="98"/>
      <c r="D1164" s="98"/>
      <c r="E1164" s="98"/>
      <c r="F1164" s="99"/>
      <c r="G1164" s="100"/>
      <c r="H1164" s="100"/>
    </row>
    <row r="1165" customHeight="1" spans="2:8">
      <c r="B1165" s="98"/>
      <c r="C1165" s="98"/>
      <c r="D1165" s="98"/>
      <c r="E1165" s="98"/>
      <c r="F1165" s="99"/>
      <c r="G1165" s="100"/>
      <c r="H1165" s="100"/>
    </row>
    <row r="1166" customHeight="1" spans="2:8">
      <c r="B1166" s="98"/>
      <c r="C1166" s="98"/>
      <c r="D1166" s="98"/>
      <c r="E1166" s="98"/>
      <c r="F1166" s="99"/>
      <c r="G1166" s="100"/>
      <c r="H1166" s="100"/>
    </row>
    <row r="1167" customHeight="1" spans="2:8">
      <c r="B1167" s="98"/>
      <c r="C1167" s="98"/>
      <c r="D1167" s="98"/>
      <c r="E1167" s="98"/>
      <c r="F1167" s="99"/>
      <c r="G1167" s="100"/>
      <c r="H1167" s="100"/>
    </row>
    <row r="1168" customHeight="1" spans="2:8">
      <c r="B1168" s="98"/>
      <c r="C1168" s="98"/>
      <c r="D1168" s="98"/>
      <c r="E1168" s="98"/>
      <c r="F1168" s="99"/>
      <c r="G1168" s="100"/>
      <c r="H1168" s="100"/>
    </row>
    <row r="1169" customHeight="1" spans="2:8">
      <c r="B1169" s="98"/>
      <c r="C1169" s="98"/>
      <c r="D1169" s="98"/>
      <c r="E1169" s="98"/>
      <c r="F1169" s="99"/>
      <c r="G1169" s="100"/>
      <c r="H1169" s="100"/>
    </row>
    <row r="1170" customHeight="1" spans="2:8">
      <c r="B1170" s="98"/>
      <c r="C1170" s="98"/>
      <c r="D1170" s="98"/>
      <c r="E1170" s="98"/>
      <c r="F1170" s="99"/>
      <c r="G1170" s="100"/>
      <c r="H1170" s="100"/>
    </row>
    <row r="1171" customHeight="1" spans="2:8">
      <c r="B1171" s="98"/>
      <c r="C1171" s="98"/>
      <c r="D1171" s="98"/>
      <c r="E1171" s="98"/>
      <c r="F1171" s="99"/>
      <c r="G1171" s="100"/>
      <c r="H1171" s="100"/>
    </row>
    <row r="1172" customHeight="1" spans="2:8">
      <c r="B1172" s="98"/>
      <c r="C1172" s="98"/>
      <c r="D1172" s="98"/>
      <c r="E1172" s="98"/>
      <c r="F1172" s="99"/>
      <c r="G1172" s="100"/>
      <c r="H1172" s="100"/>
    </row>
    <row r="1173" customHeight="1" spans="2:8">
      <c r="B1173" s="98"/>
      <c r="C1173" s="98"/>
      <c r="D1173" s="98"/>
      <c r="E1173" s="98"/>
      <c r="F1173" s="99"/>
      <c r="G1173" s="100"/>
      <c r="H1173" s="100"/>
    </row>
    <row r="1174" customHeight="1" spans="2:8">
      <c r="B1174" s="98"/>
      <c r="C1174" s="98"/>
      <c r="D1174" s="98"/>
      <c r="E1174" s="98"/>
      <c r="F1174" s="99"/>
      <c r="G1174" s="100"/>
      <c r="H1174" s="100"/>
    </row>
    <row r="1175" customHeight="1" spans="2:8">
      <c r="B1175" s="98"/>
      <c r="C1175" s="98"/>
      <c r="D1175" s="98"/>
      <c r="E1175" s="98"/>
      <c r="F1175" s="99"/>
      <c r="G1175" s="100"/>
      <c r="H1175" s="100"/>
    </row>
    <row r="1176" customHeight="1" spans="2:8">
      <c r="B1176" s="98"/>
      <c r="C1176" s="98"/>
      <c r="D1176" s="98"/>
      <c r="E1176" s="98"/>
      <c r="F1176" s="99"/>
      <c r="G1176" s="100"/>
      <c r="H1176" s="100"/>
    </row>
    <row r="1177" customHeight="1" spans="2:8">
      <c r="B1177" s="98"/>
      <c r="C1177" s="98"/>
      <c r="D1177" s="98"/>
      <c r="E1177" s="98"/>
      <c r="F1177" s="99"/>
      <c r="G1177" s="100"/>
      <c r="H1177" s="100"/>
    </row>
    <row r="1178" customHeight="1" spans="2:8">
      <c r="B1178" s="98"/>
      <c r="C1178" s="98"/>
      <c r="D1178" s="98"/>
      <c r="E1178" s="98"/>
      <c r="F1178" s="99"/>
      <c r="G1178" s="100"/>
      <c r="H1178" s="100"/>
    </row>
    <row r="1179" customHeight="1" spans="2:8">
      <c r="B1179" s="98"/>
      <c r="C1179" s="98"/>
      <c r="D1179" s="98"/>
      <c r="E1179" s="98"/>
      <c r="F1179" s="99"/>
      <c r="G1179" s="100"/>
      <c r="H1179" s="100"/>
    </row>
    <row r="1180" customHeight="1" spans="2:8">
      <c r="B1180" s="98"/>
      <c r="C1180" s="98"/>
      <c r="D1180" s="98"/>
      <c r="E1180" s="98"/>
      <c r="F1180" s="99"/>
      <c r="G1180" s="100"/>
      <c r="H1180" s="100"/>
    </row>
    <row r="1181" customHeight="1" spans="2:8">
      <c r="B1181" s="98"/>
      <c r="C1181" s="98"/>
      <c r="D1181" s="98"/>
      <c r="E1181" s="98"/>
      <c r="F1181" s="99"/>
      <c r="G1181" s="100"/>
      <c r="H1181" s="100"/>
    </row>
    <row r="1182" customHeight="1" spans="2:8">
      <c r="B1182" s="98"/>
      <c r="C1182" s="98"/>
      <c r="D1182" s="98"/>
      <c r="E1182" s="98"/>
      <c r="F1182" s="99"/>
      <c r="G1182" s="100"/>
      <c r="H1182" s="100"/>
    </row>
    <row r="1183" customHeight="1" spans="2:8">
      <c r="B1183" s="98"/>
      <c r="C1183" s="98"/>
      <c r="D1183" s="98"/>
      <c r="E1183" s="98"/>
      <c r="F1183" s="99"/>
      <c r="G1183" s="100"/>
      <c r="H1183" s="100"/>
    </row>
    <row r="1184" customHeight="1" spans="2:8">
      <c r="B1184" s="98"/>
      <c r="C1184" s="98"/>
      <c r="D1184" s="98"/>
      <c r="E1184" s="98"/>
      <c r="F1184" s="99"/>
      <c r="G1184" s="100"/>
      <c r="H1184" s="100"/>
    </row>
    <row r="1185" customHeight="1" spans="2:8">
      <c r="B1185" s="98"/>
      <c r="C1185" s="98"/>
      <c r="D1185" s="98"/>
      <c r="E1185" s="98"/>
      <c r="F1185" s="99"/>
      <c r="G1185" s="100"/>
      <c r="H1185" s="100"/>
    </row>
    <row r="1186" customHeight="1" spans="2:8">
      <c r="B1186" s="98"/>
      <c r="C1186" s="98"/>
      <c r="D1186" s="98"/>
      <c r="E1186" s="98"/>
      <c r="F1186" s="99"/>
      <c r="G1186" s="100"/>
      <c r="H1186" s="100"/>
    </row>
    <row r="1187" customHeight="1" spans="2:8">
      <c r="B1187" s="98"/>
      <c r="C1187" s="98"/>
      <c r="D1187" s="98"/>
      <c r="E1187" s="98"/>
      <c r="F1187" s="99"/>
      <c r="G1187" s="100"/>
      <c r="H1187" s="100"/>
    </row>
    <row r="1188" customHeight="1" spans="2:8">
      <c r="B1188" s="98"/>
      <c r="C1188" s="98"/>
      <c r="D1188" s="98"/>
      <c r="E1188" s="98"/>
      <c r="F1188" s="99"/>
      <c r="G1188" s="100"/>
      <c r="H1188" s="100"/>
    </row>
    <row r="1189" customHeight="1" spans="2:8">
      <c r="B1189" s="98"/>
      <c r="C1189" s="98"/>
      <c r="D1189" s="98"/>
      <c r="E1189" s="98"/>
      <c r="F1189" s="99"/>
      <c r="G1189" s="100"/>
      <c r="H1189" s="100"/>
    </row>
    <row r="1190" customHeight="1" spans="2:8">
      <c r="B1190" s="98"/>
      <c r="C1190" s="98"/>
      <c r="D1190" s="98"/>
      <c r="E1190" s="98"/>
      <c r="F1190" s="99"/>
      <c r="G1190" s="100"/>
      <c r="H1190" s="100"/>
    </row>
    <row r="1191" customHeight="1" spans="2:8">
      <c r="B1191" s="98"/>
      <c r="C1191" s="98"/>
      <c r="D1191" s="98"/>
      <c r="E1191" s="98"/>
      <c r="F1191" s="99"/>
      <c r="G1191" s="100"/>
      <c r="H1191" s="100"/>
    </row>
    <row r="1192" customHeight="1" spans="2:8">
      <c r="B1192" s="98"/>
      <c r="C1192" s="98"/>
      <c r="D1192" s="98"/>
      <c r="E1192" s="98"/>
      <c r="F1192" s="99"/>
      <c r="G1192" s="100"/>
      <c r="H1192" s="100"/>
    </row>
    <row r="1193" customHeight="1" spans="2:8">
      <c r="B1193" s="98"/>
      <c r="C1193" s="98"/>
      <c r="D1193" s="98"/>
      <c r="E1193" s="98"/>
      <c r="F1193" s="99"/>
      <c r="G1193" s="100"/>
      <c r="H1193" s="100"/>
    </row>
    <row r="1194" customHeight="1" spans="2:8">
      <c r="B1194" s="98"/>
      <c r="C1194" s="98"/>
      <c r="D1194" s="98"/>
      <c r="E1194" s="98"/>
      <c r="F1194" s="99"/>
      <c r="G1194" s="100"/>
      <c r="H1194" s="100"/>
    </row>
    <row r="1195" customHeight="1" spans="2:8">
      <c r="B1195" s="98"/>
      <c r="C1195" s="98"/>
      <c r="D1195" s="98"/>
      <c r="E1195" s="98"/>
      <c r="F1195" s="99"/>
      <c r="G1195" s="100"/>
      <c r="H1195" s="100"/>
    </row>
    <row r="1196" customHeight="1" spans="2:8">
      <c r="B1196" s="98"/>
      <c r="C1196" s="98"/>
      <c r="D1196" s="98"/>
      <c r="E1196" s="98"/>
      <c r="F1196" s="99"/>
      <c r="G1196" s="100"/>
      <c r="H1196" s="100"/>
    </row>
    <row r="1197" customHeight="1" spans="2:8">
      <c r="B1197" s="98"/>
      <c r="C1197" s="98"/>
      <c r="D1197" s="98"/>
      <c r="E1197" s="98"/>
      <c r="F1197" s="99"/>
      <c r="G1197" s="100"/>
      <c r="H1197" s="100"/>
    </row>
    <row r="1198" customHeight="1" spans="2:8">
      <c r="B1198" s="98"/>
      <c r="C1198" s="98"/>
      <c r="D1198" s="98"/>
      <c r="E1198" s="98"/>
      <c r="F1198" s="99"/>
      <c r="G1198" s="100"/>
      <c r="H1198" s="100"/>
    </row>
    <row r="1199" customHeight="1" spans="2:8">
      <c r="B1199" s="98"/>
      <c r="C1199" s="98"/>
      <c r="D1199" s="98"/>
      <c r="E1199" s="98"/>
      <c r="F1199" s="99"/>
      <c r="G1199" s="100"/>
      <c r="H1199" s="100"/>
    </row>
    <row r="1200" customHeight="1" spans="2:8">
      <c r="B1200" s="98"/>
      <c r="C1200" s="98"/>
      <c r="D1200" s="98"/>
      <c r="E1200" s="98"/>
      <c r="F1200" s="99"/>
      <c r="G1200" s="100"/>
      <c r="H1200" s="100"/>
    </row>
    <row r="1201" customHeight="1" spans="2:8">
      <c r="B1201" s="98"/>
      <c r="C1201" s="98"/>
      <c r="D1201" s="98"/>
      <c r="E1201" s="98"/>
      <c r="F1201" s="99"/>
      <c r="G1201" s="100"/>
      <c r="H1201" s="100"/>
    </row>
    <row r="1202" customHeight="1" spans="2:8">
      <c r="B1202" s="98"/>
      <c r="C1202" s="98"/>
      <c r="D1202" s="98"/>
      <c r="E1202" s="98"/>
      <c r="F1202" s="99"/>
      <c r="G1202" s="100"/>
      <c r="H1202" s="100"/>
    </row>
    <row r="1203" customHeight="1" spans="2:8">
      <c r="B1203" s="98"/>
      <c r="C1203" s="98"/>
      <c r="D1203" s="98"/>
      <c r="E1203" s="98"/>
      <c r="F1203" s="99"/>
      <c r="G1203" s="100"/>
      <c r="H1203" s="100"/>
    </row>
    <row r="1204" customHeight="1" spans="2:8">
      <c r="B1204" s="98"/>
      <c r="C1204" s="98"/>
      <c r="D1204" s="98"/>
      <c r="E1204" s="98"/>
      <c r="F1204" s="99"/>
      <c r="G1204" s="100"/>
      <c r="H1204" s="100"/>
    </row>
    <row r="1205" customHeight="1" spans="2:8">
      <c r="B1205" s="98"/>
      <c r="C1205" s="98"/>
      <c r="D1205" s="98"/>
      <c r="E1205" s="98"/>
      <c r="F1205" s="99"/>
      <c r="G1205" s="100"/>
      <c r="H1205" s="100"/>
    </row>
    <row r="1206" customHeight="1" spans="2:8">
      <c r="B1206" s="98"/>
      <c r="C1206" s="98"/>
      <c r="D1206" s="98"/>
      <c r="E1206" s="98"/>
      <c r="F1206" s="99"/>
      <c r="G1206" s="100"/>
      <c r="H1206" s="100"/>
    </row>
    <row r="1207" customHeight="1" spans="2:8">
      <c r="B1207" s="98"/>
      <c r="C1207" s="98"/>
      <c r="D1207" s="98"/>
      <c r="E1207" s="98"/>
      <c r="F1207" s="99"/>
      <c r="G1207" s="100"/>
      <c r="H1207" s="100"/>
    </row>
    <row r="1208" customHeight="1" spans="2:8">
      <c r="B1208" s="98"/>
      <c r="C1208" s="98"/>
      <c r="D1208" s="98"/>
      <c r="E1208" s="98"/>
      <c r="F1208" s="99"/>
      <c r="G1208" s="100"/>
      <c r="H1208" s="100"/>
    </row>
    <row r="1209" customHeight="1" spans="2:8">
      <c r="B1209" s="98"/>
      <c r="C1209" s="98"/>
      <c r="D1209" s="98"/>
      <c r="E1209" s="98"/>
      <c r="F1209" s="99"/>
      <c r="G1209" s="100"/>
      <c r="H1209" s="100"/>
    </row>
    <row r="1210" customHeight="1" spans="2:8">
      <c r="B1210" s="98"/>
      <c r="C1210" s="98"/>
      <c r="D1210" s="98"/>
      <c r="E1210" s="98"/>
      <c r="F1210" s="99"/>
      <c r="G1210" s="100"/>
      <c r="H1210" s="100"/>
    </row>
    <row r="1211" customHeight="1" spans="2:8">
      <c r="B1211" s="98"/>
      <c r="C1211" s="98"/>
      <c r="D1211" s="98"/>
      <c r="E1211" s="98"/>
      <c r="F1211" s="99"/>
      <c r="G1211" s="100"/>
      <c r="H1211" s="100"/>
    </row>
    <row r="1212" customHeight="1" spans="2:8">
      <c r="B1212" s="98"/>
      <c r="C1212" s="98"/>
      <c r="D1212" s="98"/>
      <c r="E1212" s="98"/>
      <c r="F1212" s="99"/>
      <c r="G1212" s="100"/>
      <c r="H1212" s="100"/>
    </row>
    <row r="1213" customHeight="1" spans="2:8">
      <c r="B1213" s="98"/>
      <c r="C1213" s="98"/>
      <c r="D1213" s="98"/>
      <c r="E1213" s="98"/>
      <c r="F1213" s="99"/>
      <c r="G1213" s="100"/>
      <c r="H1213" s="100"/>
    </row>
    <row r="1214" customHeight="1" spans="2:8">
      <c r="B1214" s="98"/>
      <c r="C1214" s="98"/>
      <c r="D1214" s="98"/>
      <c r="E1214" s="98"/>
      <c r="F1214" s="99"/>
      <c r="G1214" s="100"/>
      <c r="H1214" s="100"/>
    </row>
    <row r="1215" customHeight="1" spans="2:8">
      <c r="B1215" s="98"/>
      <c r="C1215" s="98"/>
      <c r="D1215" s="98"/>
      <c r="E1215" s="98"/>
      <c r="F1215" s="99"/>
      <c r="G1215" s="100"/>
      <c r="H1215" s="100"/>
    </row>
    <row r="1216" customHeight="1" spans="2:8">
      <c r="B1216" s="98"/>
      <c r="C1216" s="98"/>
      <c r="D1216" s="98"/>
      <c r="E1216" s="98"/>
      <c r="F1216" s="99"/>
      <c r="G1216" s="100"/>
      <c r="H1216" s="100"/>
    </row>
    <row r="1217" customHeight="1" spans="2:8">
      <c r="B1217" s="98"/>
      <c r="C1217" s="98"/>
      <c r="D1217" s="98"/>
      <c r="E1217" s="98"/>
      <c r="F1217" s="99"/>
      <c r="G1217" s="100"/>
      <c r="H1217" s="100"/>
    </row>
    <row r="1218" customHeight="1" spans="2:8">
      <c r="B1218" s="98"/>
      <c r="C1218" s="98"/>
      <c r="D1218" s="98"/>
      <c r="E1218" s="98"/>
      <c r="F1218" s="99"/>
      <c r="G1218" s="100"/>
      <c r="H1218" s="100"/>
    </row>
    <row r="1219" customHeight="1" spans="2:8">
      <c r="B1219" s="98"/>
      <c r="C1219" s="98"/>
      <c r="D1219" s="98"/>
      <c r="E1219" s="98"/>
      <c r="F1219" s="99"/>
      <c r="G1219" s="100"/>
      <c r="H1219" s="100"/>
    </row>
    <row r="1220" customHeight="1" spans="2:8">
      <c r="B1220" s="98"/>
      <c r="C1220" s="98"/>
      <c r="D1220" s="98"/>
      <c r="E1220" s="98"/>
      <c r="F1220" s="99"/>
      <c r="G1220" s="100"/>
      <c r="H1220" s="100"/>
    </row>
    <row r="1221" customHeight="1" spans="2:8">
      <c r="B1221" s="98"/>
      <c r="C1221" s="98"/>
      <c r="D1221" s="98"/>
      <c r="E1221" s="98"/>
      <c r="F1221" s="99"/>
      <c r="G1221" s="100"/>
      <c r="H1221" s="100"/>
    </row>
    <row r="1222" customHeight="1" spans="2:8">
      <c r="B1222" s="98"/>
      <c r="C1222" s="98"/>
      <c r="D1222" s="98"/>
      <c r="E1222" s="98"/>
      <c r="F1222" s="99"/>
      <c r="G1222" s="100"/>
      <c r="H1222" s="100"/>
    </row>
    <row r="1223" customHeight="1" spans="2:8">
      <c r="B1223" s="98"/>
      <c r="C1223" s="98"/>
      <c r="D1223" s="98"/>
      <c r="E1223" s="98"/>
      <c r="F1223" s="99"/>
      <c r="G1223" s="100"/>
      <c r="H1223" s="100"/>
    </row>
    <row r="1224" customHeight="1" spans="2:8">
      <c r="B1224" s="98"/>
      <c r="C1224" s="98"/>
      <c r="D1224" s="98"/>
      <c r="E1224" s="98"/>
      <c r="F1224" s="99"/>
      <c r="G1224" s="100"/>
      <c r="H1224" s="100"/>
    </row>
    <row r="1225" customHeight="1" spans="2:8">
      <c r="B1225" s="98"/>
      <c r="C1225" s="98"/>
      <c r="D1225" s="98"/>
      <c r="E1225" s="98"/>
      <c r="F1225" s="99"/>
      <c r="G1225" s="100"/>
      <c r="H1225" s="100"/>
    </row>
    <row r="1226" customHeight="1" spans="2:8">
      <c r="B1226" s="98"/>
      <c r="C1226" s="98"/>
      <c r="D1226" s="98"/>
      <c r="E1226" s="98"/>
      <c r="F1226" s="99"/>
      <c r="G1226" s="100"/>
      <c r="H1226" s="100"/>
    </row>
    <row r="1227" customHeight="1" spans="2:8">
      <c r="B1227" s="98"/>
      <c r="C1227" s="98"/>
      <c r="D1227" s="98"/>
      <c r="E1227" s="98"/>
      <c r="F1227" s="99"/>
      <c r="G1227" s="100"/>
      <c r="H1227" s="100"/>
    </row>
    <row r="1228" customHeight="1" spans="2:8">
      <c r="B1228" s="98"/>
      <c r="C1228" s="98"/>
      <c r="D1228" s="98"/>
      <c r="E1228" s="98"/>
      <c r="F1228" s="99"/>
      <c r="G1228" s="100"/>
      <c r="H1228" s="100"/>
    </row>
    <row r="1229" customHeight="1" spans="2:8">
      <c r="B1229" s="98"/>
      <c r="C1229" s="98"/>
      <c r="D1229" s="98"/>
      <c r="E1229" s="98"/>
      <c r="F1229" s="99"/>
      <c r="G1229" s="100"/>
      <c r="H1229" s="100"/>
    </row>
    <row r="1230" customHeight="1" spans="2:8">
      <c r="B1230" s="98"/>
      <c r="C1230" s="98"/>
      <c r="D1230" s="98"/>
      <c r="E1230" s="98"/>
      <c r="F1230" s="99"/>
      <c r="G1230" s="100"/>
      <c r="H1230" s="100"/>
    </row>
    <row r="1231" customHeight="1" spans="2:8">
      <c r="B1231" s="98"/>
      <c r="C1231" s="98"/>
      <c r="D1231" s="98"/>
      <c r="E1231" s="98"/>
      <c r="F1231" s="99"/>
      <c r="G1231" s="100"/>
      <c r="H1231" s="100"/>
    </row>
    <row r="1232" customHeight="1" spans="2:8">
      <c r="B1232" s="98"/>
      <c r="C1232" s="98"/>
      <c r="D1232" s="98"/>
      <c r="E1232" s="98"/>
      <c r="F1232" s="99"/>
      <c r="G1232" s="100"/>
      <c r="H1232" s="100"/>
    </row>
    <row r="1233" customHeight="1" spans="2:8">
      <c r="B1233" s="98"/>
      <c r="C1233" s="98"/>
      <c r="D1233" s="98"/>
      <c r="E1233" s="98"/>
      <c r="F1233" s="99"/>
      <c r="G1233" s="100"/>
      <c r="H1233" s="100"/>
    </row>
    <row r="1234" customHeight="1" spans="2:8">
      <c r="B1234" s="98"/>
      <c r="C1234" s="98"/>
      <c r="D1234" s="98"/>
      <c r="E1234" s="98"/>
      <c r="F1234" s="99"/>
      <c r="G1234" s="100"/>
      <c r="H1234" s="100"/>
    </row>
    <row r="1235" customHeight="1" spans="2:8">
      <c r="B1235" s="98"/>
      <c r="C1235" s="98"/>
      <c r="D1235" s="98"/>
      <c r="E1235" s="98"/>
      <c r="F1235" s="99"/>
      <c r="G1235" s="100"/>
      <c r="H1235" s="100"/>
    </row>
    <row r="1236" customHeight="1" spans="2:8">
      <c r="B1236" s="98"/>
      <c r="C1236" s="98"/>
      <c r="D1236" s="98"/>
      <c r="E1236" s="98"/>
      <c r="F1236" s="99"/>
      <c r="G1236" s="100"/>
      <c r="H1236" s="100"/>
    </row>
    <row r="1237" customHeight="1" spans="2:8">
      <c r="B1237" s="98"/>
      <c r="C1237" s="98"/>
      <c r="D1237" s="98"/>
      <c r="E1237" s="98"/>
      <c r="F1237" s="99"/>
      <c r="G1237" s="100"/>
      <c r="H1237" s="100"/>
    </row>
    <row r="1238" customHeight="1" spans="2:8">
      <c r="B1238" s="98"/>
      <c r="C1238" s="98"/>
      <c r="D1238" s="98"/>
      <c r="E1238" s="98"/>
      <c r="F1238" s="99"/>
      <c r="G1238" s="100"/>
      <c r="H1238" s="100"/>
    </row>
    <row r="1239" customHeight="1" spans="2:8">
      <c r="B1239" s="98"/>
      <c r="C1239" s="98"/>
      <c r="D1239" s="98"/>
      <c r="E1239" s="98"/>
      <c r="F1239" s="99"/>
      <c r="G1239" s="100"/>
      <c r="H1239" s="100"/>
    </row>
    <row r="1240" customHeight="1" spans="2:8">
      <c r="B1240" s="98"/>
      <c r="C1240" s="98"/>
      <c r="D1240" s="98"/>
      <c r="E1240" s="98"/>
      <c r="F1240" s="99"/>
      <c r="G1240" s="100"/>
      <c r="H1240" s="100"/>
    </row>
    <row r="1241" customHeight="1" spans="2:8">
      <c r="B1241" s="98"/>
      <c r="C1241" s="98"/>
      <c r="D1241" s="98"/>
      <c r="E1241" s="98"/>
      <c r="F1241" s="99"/>
      <c r="G1241" s="100"/>
      <c r="H1241" s="100"/>
    </row>
    <row r="1242" customHeight="1" spans="2:8">
      <c r="B1242" s="98"/>
      <c r="C1242" s="98"/>
      <c r="D1242" s="98"/>
      <c r="E1242" s="98"/>
      <c r="F1242" s="99"/>
      <c r="G1242" s="100"/>
      <c r="H1242" s="100"/>
    </row>
    <row r="1243" customHeight="1" spans="2:8">
      <c r="B1243" s="98"/>
      <c r="C1243" s="98"/>
      <c r="D1243" s="98"/>
      <c r="E1243" s="98"/>
      <c r="F1243" s="99"/>
      <c r="G1243" s="100"/>
      <c r="H1243" s="100"/>
    </row>
    <row r="1244" customHeight="1" spans="2:8">
      <c r="B1244" s="98"/>
      <c r="C1244" s="98"/>
      <c r="D1244" s="98"/>
      <c r="E1244" s="98"/>
      <c r="F1244" s="99"/>
      <c r="G1244" s="100"/>
      <c r="H1244" s="100"/>
    </row>
    <row r="1245" customHeight="1" spans="2:8">
      <c r="B1245" s="98"/>
      <c r="C1245" s="98"/>
      <c r="D1245" s="98"/>
      <c r="E1245" s="98"/>
      <c r="F1245" s="99"/>
      <c r="G1245" s="100"/>
      <c r="H1245" s="100"/>
    </row>
    <row r="1246" customHeight="1" spans="2:8">
      <c r="B1246" s="98"/>
      <c r="C1246" s="98"/>
      <c r="D1246" s="98"/>
      <c r="E1246" s="98"/>
      <c r="F1246" s="99"/>
      <c r="G1246" s="100"/>
      <c r="H1246" s="100"/>
    </row>
    <row r="1247" customHeight="1" spans="2:8">
      <c r="B1247" s="98"/>
      <c r="C1247" s="98"/>
      <c r="D1247" s="98"/>
      <c r="E1247" s="98"/>
      <c r="F1247" s="99"/>
      <c r="G1247" s="100"/>
      <c r="H1247" s="100"/>
    </row>
    <row r="1248" customHeight="1" spans="2:8">
      <c r="B1248" s="98"/>
      <c r="C1248" s="98"/>
      <c r="D1248" s="98"/>
      <c r="E1248" s="98"/>
      <c r="F1248" s="99"/>
      <c r="G1248" s="100"/>
      <c r="H1248" s="100"/>
    </row>
    <row r="1249" customHeight="1" spans="2:8">
      <c r="B1249" s="98"/>
      <c r="C1249" s="98"/>
      <c r="D1249" s="98"/>
      <c r="E1249" s="98"/>
      <c r="F1249" s="99"/>
      <c r="G1249" s="100"/>
      <c r="H1249" s="100"/>
    </row>
    <row r="1250" customHeight="1" spans="2:8">
      <c r="B1250" s="98"/>
      <c r="C1250" s="98"/>
      <c r="D1250" s="98"/>
      <c r="E1250" s="98"/>
      <c r="F1250" s="99"/>
      <c r="G1250" s="100"/>
      <c r="H1250" s="100"/>
    </row>
    <row r="1251" customHeight="1" spans="2:8">
      <c r="B1251" s="98"/>
      <c r="C1251" s="98"/>
      <c r="D1251" s="98"/>
      <c r="E1251" s="98"/>
      <c r="F1251" s="99"/>
      <c r="G1251" s="100"/>
      <c r="H1251" s="100"/>
    </row>
    <row r="1252" customHeight="1" spans="2:8">
      <c r="B1252" s="98"/>
      <c r="C1252" s="98"/>
      <c r="D1252" s="98"/>
      <c r="E1252" s="98"/>
      <c r="F1252" s="99"/>
      <c r="G1252" s="100"/>
      <c r="H1252" s="100"/>
    </row>
    <row r="1253" customHeight="1" spans="2:8">
      <c r="B1253" s="98"/>
      <c r="C1253" s="98"/>
      <c r="D1253" s="98"/>
      <c r="E1253" s="98"/>
      <c r="F1253" s="99"/>
      <c r="G1253" s="100"/>
      <c r="H1253" s="100"/>
    </row>
    <row r="1254" customHeight="1" spans="2:8">
      <c r="B1254" s="98"/>
      <c r="C1254" s="98"/>
      <c r="D1254" s="98"/>
      <c r="E1254" s="98"/>
      <c r="F1254" s="99"/>
      <c r="G1254" s="100"/>
      <c r="H1254" s="100"/>
    </row>
    <row r="1255" customHeight="1" spans="2:8">
      <c r="B1255" s="98"/>
      <c r="C1255" s="98"/>
      <c r="D1255" s="98"/>
      <c r="E1255" s="98"/>
      <c r="F1255" s="99"/>
      <c r="G1255" s="100"/>
      <c r="H1255" s="100"/>
    </row>
    <row r="1256" customHeight="1" spans="2:8">
      <c r="B1256" s="98"/>
      <c r="C1256" s="98"/>
      <c r="D1256" s="98"/>
      <c r="E1256" s="98"/>
      <c r="F1256" s="99"/>
      <c r="G1256" s="100"/>
      <c r="H1256" s="100"/>
    </row>
    <row r="1257" customHeight="1" spans="2:8">
      <c r="B1257" s="98"/>
      <c r="C1257" s="98"/>
      <c r="D1257" s="98"/>
      <c r="E1257" s="98"/>
      <c r="F1257" s="99"/>
      <c r="G1257" s="100"/>
      <c r="H1257" s="100"/>
    </row>
    <row r="1258" customHeight="1" spans="2:8">
      <c r="B1258" s="98"/>
      <c r="C1258" s="98"/>
      <c r="D1258" s="98"/>
      <c r="E1258" s="98"/>
      <c r="F1258" s="99"/>
      <c r="G1258" s="100"/>
      <c r="H1258" s="100"/>
    </row>
    <row r="1259" customHeight="1" spans="2:8">
      <c r="B1259" s="98"/>
      <c r="C1259" s="98"/>
      <c r="D1259" s="98"/>
      <c r="E1259" s="98"/>
      <c r="F1259" s="99"/>
      <c r="G1259" s="100"/>
      <c r="H1259" s="100"/>
    </row>
    <row r="1260" customHeight="1" spans="2:8">
      <c r="B1260" s="98"/>
      <c r="C1260" s="98"/>
      <c r="D1260" s="98"/>
      <c r="E1260" s="98"/>
      <c r="F1260" s="99"/>
      <c r="G1260" s="100"/>
      <c r="H1260" s="100"/>
    </row>
    <row r="1261" customHeight="1" spans="2:8">
      <c r="B1261" s="98"/>
      <c r="C1261" s="98"/>
      <c r="D1261" s="98"/>
      <c r="E1261" s="98"/>
      <c r="F1261" s="99"/>
      <c r="G1261" s="100"/>
      <c r="H1261" s="100"/>
    </row>
    <row r="1262" customHeight="1" spans="2:8">
      <c r="B1262" s="98"/>
      <c r="C1262" s="98"/>
      <c r="D1262" s="98"/>
      <c r="E1262" s="98"/>
      <c r="F1262" s="99"/>
      <c r="G1262" s="100"/>
      <c r="H1262" s="100"/>
    </row>
    <row r="1263" customHeight="1" spans="2:8">
      <c r="B1263" s="98"/>
      <c r="C1263" s="98"/>
      <c r="D1263" s="98"/>
      <c r="E1263" s="98"/>
      <c r="F1263" s="99"/>
      <c r="G1263" s="100"/>
      <c r="H1263" s="100"/>
    </row>
    <row r="1264" customHeight="1" spans="2:8">
      <c r="B1264" s="98"/>
      <c r="C1264" s="98"/>
      <c r="D1264" s="98"/>
      <c r="E1264" s="98"/>
      <c r="F1264" s="99"/>
      <c r="G1264" s="100"/>
      <c r="H1264" s="100"/>
    </row>
    <row r="1265" customHeight="1" spans="2:8">
      <c r="B1265" s="98"/>
      <c r="C1265" s="98"/>
      <c r="D1265" s="98"/>
      <c r="E1265" s="98"/>
      <c r="F1265" s="99"/>
      <c r="G1265" s="100"/>
      <c r="H1265" s="100"/>
    </row>
    <row r="1266" customHeight="1" spans="2:8">
      <c r="B1266" s="98"/>
      <c r="C1266" s="98"/>
      <c r="D1266" s="98"/>
      <c r="E1266" s="98"/>
      <c r="F1266" s="99"/>
      <c r="G1266" s="100"/>
      <c r="H1266" s="100"/>
    </row>
    <row r="1267" customHeight="1" spans="2:8">
      <c r="B1267" s="98"/>
      <c r="C1267" s="98"/>
      <c r="D1267" s="98"/>
      <c r="E1267" s="98"/>
      <c r="F1267" s="99"/>
      <c r="G1267" s="100"/>
      <c r="H1267" s="100"/>
    </row>
    <row r="1268" customHeight="1" spans="2:8">
      <c r="B1268" s="98"/>
      <c r="C1268" s="98"/>
      <c r="D1268" s="98"/>
      <c r="E1268" s="98"/>
      <c r="F1268" s="99"/>
      <c r="G1268" s="100"/>
      <c r="H1268" s="100"/>
    </row>
    <row r="1269" customHeight="1" spans="2:8">
      <c r="B1269" s="98"/>
      <c r="C1269" s="98"/>
      <c r="D1269" s="98"/>
      <c r="E1269" s="98"/>
      <c r="F1269" s="99"/>
      <c r="G1269" s="100"/>
      <c r="H1269" s="100"/>
    </row>
    <row r="1270" customHeight="1" spans="2:8">
      <c r="B1270" s="98"/>
      <c r="C1270" s="98"/>
      <c r="D1270" s="98"/>
      <c r="E1270" s="98"/>
      <c r="F1270" s="99"/>
      <c r="G1270" s="100"/>
      <c r="H1270" s="100"/>
    </row>
    <row r="1271" customHeight="1" spans="2:8">
      <c r="B1271" s="98"/>
      <c r="C1271" s="98"/>
      <c r="D1271" s="98"/>
      <c r="E1271" s="98"/>
      <c r="F1271" s="99"/>
      <c r="G1271" s="100"/>
      <c r="H1271" s="100"/>
    </row>
    <row r="1272" customHeight="1" spans="2:8">
      <c r="B1272" s="98"/>
      <c r="C1272" s="98"/>
      <c r="D1272" s="98"/>
      <c r="E1272" s="98"/>
      <c r="F1272" s="99"/>
      <c r="G1272" s="100"/>
      <c r="H1272" s="100"/>
    </row>
    <row r="1273" customHeight="1" spans="2:8">
      <c r="B1273" s="98"/>
      <c r="C1273" s="98"/>
      <c r="D1273" s="98"/>
      <c r="E1273" s="98"/>
      <c r="F1273" s="99"/>
      <c r="G1273" s="100"/>
      <c r="H1273" s="100"/>
    </row>
    <row r="1274" customHeight="1" spans="2:8">
      <c r="B1274" s="98"/>
      <c r="C1274" s="98"/>
      <c r="D1274" s="98"/>
      <c r="E1274" s="98"/>
      <c r="F1274" s="99"/>
      <c r="G1274" s="100"/>
      <c r="H1274" s="100"/>
    </row>
    <row r="1275" customHeight="1" spans="2:8">
      <c r="B1275" s="98"/>
      <c r="C1275" s="98"/>
      <c r="D1275" s="98"/>
      <c r="E1275" s="98"/>
      <c r="F1275" s="99"/>
      <c r="G1275" s="100"/>
      <c r="H1275" s="100"/>
    </row>
    <row r="1276" customHeight="1" spans="2:8">
      <c r="B1276" s="98"/>
      <c r="C1276" s="98"/>
      <c r="D1276" s="98"/>
      <c r="E1276" s="98"/>
      <c r="F1276" s="99"/>
      <c r="G1276" s="100"/>
      <c r="H1276" s="100"/>
    </row>
    <row r="1277" customHeight="1" spans="2:8">
      <c r="B1277" s="98"/>
      <c r="C1277" s="98"/>
      <c r="D1277" s="98"/>
      <c r="E1277" s="98"/>
      <c r="F1277" s="99"/>
      <c r="G1277" s="100"/>
      <c r="H1277" s="100"/>
    </row>
    <row r="1278" customHeight="1" spans="2:8">
      <c r="B1278" s="98"/>
      <c r="C1278" s="98"/>
      <c r="D1278" s="98"/>
      <c r="E1278" s="98"/>
      <c r="F1278" s="99"/>
      <c r="G1278" s="100"/>
      <c r="H1278" s="100"/>
    </row>
    <row r="1279" customHeight="1" spans="2:8">
      <c r="B1279" s="98"/>
      <c r="C1279" s="98"/>
      <c r="D1279" s="98"/>
      <c r="E1279" s="98"/>
      <c r="F1279" s="99"/>
      <c r="G1279" s="100"/>
      <c r="H1279" s="100"/>
    </row>
    <row r="1280" customHeight="1" spans="2:8">
      <c r="B1280" s="98"/>
      <c r="C1280" s="98"/>
      <c r="D1280" s="98"/>
      <c r="E1280" s="98"/>
      <c r="F1280" s="99"/>
      <c r="G1280" s="100"/>
      <c r="H1280" s="100"/>
    </row>
    <row r="1281" customHeight="1" spans="2:8">
      <c r="B1281" s="98"/>
      <c r="C1281" s="98"/>
      <c r="D1281" s="98"/>
      <c r="E1281" s="98"/>
      <c r="F1281" s="99"/>
      <c r="G1281" s="100"/>
      <c r="H1281" s="100"/>
    </row>
    <row r="1282" customHeight="1" spans="2:8">
      <c r="B1282" s="98"/>
      <c r="C1282" s="98"/>
      <c r="D1282" s="98"/>
      <c r="E1282" s="98"/>
      <c r="F1282" s="99"/>
      <c r="G1282" s="100"/>
      <c r="H1282" s="100"/>
    </row>
    <row r="1283" customHeight="1" spans="2:8">
      <c r="B1283" s="98"/>
      <c r="C1283" s="98"/>
      <c r="D1283" s="98"/>
      <c r="E1283" s="98"/>
      <c r="F1283" s="99"/>
      <c r="G1283" s="100"/>
      <c r="H1283" s="100"/>
    </row>
    <row r="1284" customHeight="1" spans="2:8">
      <c r="B1284" s="98"/>
      <c r="C1284" s="98"/>
      <c r="D1284" s="98"/>
      <c r="E1284" s="98"/>
      <c r="F1284" s="99"/>
      <c r="G1284" s="100"/>
      <c r="H1284" s="100"/>
    </row>
    <row r="1285" customHeight="1" spans="2:8">
      <c r="B1285" s="98"/>
      <c r="C1285" s="98"/>
      <c r="D1285" s="98"/>
      <c r="E1285" s="98"/>
      <c r="F1285" s="99"/>
      <c r="G1285" s="100"/>
      <c r="H1285" s="100"/>
    </row>
    <row r="1286" customHeight="1" spans="2:8">
      <c r="B1286" s="98"/>
      <c r="C1286" s="98"/>
      <c r="D1286" s="98"/>
      <c r="E1286" s="98"/>
      <c r="F1286" s="99"/>
      <c r="G1286" s="100"/>
      <c r="H1286" s="100"/>
    </row>
    <row r="1287" customHeight="1" spans="2:8">
      <c r="B1287" s="98"/>
      <c r="C1287" s="98"/>
      <c r="D1287" s="98"/>
      <c r="E1287" s="98"/>
      <c r="F1287" s="99"/>
      <c r="G1287" s="100"/>
      <c r="H1287" s="100"/>
    </row>
    <row r="1288" customHeight="1" spans="2:8">
      <c r="B1288" s="98"/>
      <c r="C1288" s="98"/>
      <c r="D1288" s="98"/>
      <c r="E1288" s="98"/>
      <c r="F1288" s="99"/>
      <c r="G1288" s="100"/>
      <c r="H1288" s="100"/>
    </row>
    <row r="1289" customHeight="1" spans="2:8">
      <c r="B1289" s="98"/>
      <c r="C1289" s="98"/>
      <c r="D1289" s="98"/>
      <c r="E1289" s="98"/>
      <c r="F1289" s="99"/>
      <c r="G1289" s="100"/>
      <c r="H1289" s="100"/>
    </row>
    <row r="1290" customHeight="1" spans="2:8">
      <c r="B1290" s="98"/>
      <c r="C1290" s="98"/>
      <c r="D1290" s="98"/>
      <c r="E1290" s="98"/>
      <c r="F1290" s="99"/>
      <c r="G1290" s="100"/>
      <c r="H1290" s="100"/>
    </row>
    <row r="1291" customHeight="1" spans="2:8">
      <c r="B1291" s="98"/>
      <c r="C1291" s="98"/>
      <c r="D1291" s="98"/>
      <c r="E1291" s="98"/>
      <c r="F1291" s="99"/>
      <c r="G1291" s="100"/>
      <c r="H1291" s="100"/>
    </row>
    <row r="1292" customHeight="1" spans="2:8">
      <c r="B1292" s="98"/>
      <c r="C1292" s="98"/>
      <c r="D1292" s="98"/>
      <c r="E1292" s="98"/>
      <c r="F1292" s="99"/>
      <c r="G1292" s="100"/>
      <c r="H1292" s="100"/>
    </row>
    <row r="1293" customHeight="1" spans="2:8">
      <c r="B1293" s="98"/>
      <c r="C1293" s="98"/>
      <c r="D1293" s="98"/>
      <c r="E1293" s="98"/>
      <c r="F1293" s="99"/>
      <c r="G1293" s="100"/>
      <c r="H1293" s="100"/>
    </row>
    <row r="1294" customHeight="1" spans="2:8">
      <c r="B1294" s="98"/>
      <c r="C1294" s="98"/>
      <c r="D1294" s="98"/>
      <c r="E1294" s="98"/>
      <c r="F1294" s="99"/>
      <c r="G1294" s="100"/>
      <c r="H1294" s="100"/>
    </row>
    <row r="1295" customHeight="1" spans="2:8">
      <c r="B1295" s="98"/>
      <c r="C1295" s="98"/>
      <c r="D1295" s="98"/>
      <c r="E1295" s="98"/>
      <c r="F1295" s="99"/>
      <c r="G1295" s="100"/>
      <c r="H1295" s="100"/>
    </row>
    <row r="1296" customHeight="1" spans="2:8">
      <c r="B1296" s="98"/>
      <c r="C1296" s="98"/>
      <c r="D1296" s="98"/>
      <c r="E1296" s="98"/>
      <c r="F1296" s="99"/>
      <c r="G1296" s="100"/>
      <c r="H1296" s="100"/>
    </row>
    <row r="1297" customHeight="1" spans="2:8">
      <c r="B1297" s="98"/>
      <c r="C1297" s="98"/>
      <c r="D1297" s="98"/>
      <c r="E1297" s="98"/>
      <c r="F1297" s="99"/>
      <c r="G1297" s="100"/>
      <c r="H1297" s="100"/>
    </row>
    <row r="1298" customHeight="1" spans="2:8">
      <c r="B1298" s="98"/>
      <c r="C1298" s="98"/>
      <c r="D1298" s="98"/>
      <c r="E1298" s="98"/>
      <c r="F1298" s="99"/>
      <c r="G1298" s="100"/>
      <c r="H1298" s="100"/>
    </row>
    <row r="1299" customHeight="1" spans="2:8">
      <c r="B1299" s="98"/>
      <c r="C1299" s="98"/>
      <c r="D1299" s="98"/>
      <c r="E1299" s="98"/>
      <c r="F1299" s="99"/>
      <c r="G1299" s="100"/>
      <c r="H1299" s="100"/>
    </row>
    <row r="1300" customHeight="1" spans="2:8">
      <c r="B1300" s="98"/>
      <c r="C1300" s="98"/>
      <c r="D1300" s="98"/>
      <c r="E1300" s="98"/>
      <c r="F1300" s="99"/>
      <c r="G1300" s="100"/>
      <c r="H1300" s="100"/>
    </row>
    <row r="1301" customHeight="1" spans="2:8">
      <c r="B1301" s="98"/>
      <c r="C1301" s="98"/>
      <c r="D1301" s="98"/>
      <c r="E1301" s="98"/>
      <c r="F1301" s="99"/>
      <c r="G1301" s="100"/>
      <c r="H1301" s="100"/>
    </row>
    <row r="1302" customHeight="1" spans="2:8">
      <c r="B1302" s="98"/>
      <c r="C1302" s="98"/>
      <c r="D1302" s="98"/>
      <c r="E1302" s="98"/>
      <c r="F1302" s="99"/>
      <c r="G1302" s="100"/>
      <c r="H1302" s="100"/>
    </row>
    <row r="1303" customHeight="1" spans="2:8">
      <c r="B1303" s="98"/>
      <c r="C1303" s="98"/>
      <c r="D1303" s="98"/>
      <c r="E1303" s="98"/>
      <c r="F1303" s="99"/>
      <c r="G1303" s="100"/>
      <c r="H1303" s="100"/>
    </row>
    <row r="1304" customHeight="1" spans="2:8">
      <c r="B1304" s="98"/>
      <c r="C1304" s="98"/>
      <c r="D1304" s="98"/>
      <c r="E1304" s="98"/>
      <c r="F1304" s="99"/>
      <c r="G1304" s="100"/>
      <c r="H1304" s="100"/>
    </row>
    <row r="1305" customHeight="1" spans="2:8">
      <c r="B1305" s="98"/>
      <c r="C1305" s="98"/>
      <c r="D1305" s="98"/>
      <c r="E1305" s="98"/>
      <c r="F1305" s="99"/>
      <c r="G1305" s="100"/>
      <c r="H1305" s="100"/>
    </row>
    <row r="1306" customHeight="1" spans="2:8">
      <c r="B1306" s="98"/>
      <c r="C1306" s="98"/>
      <c r="D1306" s="98"/>
      <c r="E1306" s="98"/>
      <c r="F1306" s="99"/>
      <c r="G1306" s="100"/>
      <c r="H1306" s="100"/>
    </row>
    <row r="1307" customHeight="1" spans="2:8">
      <c r="B1307" s="98"/>
      <c r="C1307" s="98"/>
      <c r="D1307" s="98"/>
      <c r="E1307" s="98"/>
      <c r="F1307" s="99"/>
      <c r="G1307" s="100"/>
      <c r="H1307" s="100"/>
    </row>
    <row r="1308" customHeight="1" spans="2:8">
      <c r="B1308" s="98"/>
      <c r="C1308" s="98"/>
      <c r="D1308" s="98"/>
      <c r="E1308" s="98"/>
      <c r="F1308" s="99"/>
      <c r="G1308" s="100"/>
      <c r="H1308" s="100"/>
    </row>
    <row r="1309" customHeight="1" spans="2:8">
      <c r="B1309" s="98"/>
      <c r="C1309" s="98"/>
      <c r="D1309" s="98"/>
      <c r="E1309" s="98"/>
      <c r="F1309" s="99"/>
      <c r="G1309" s="100"/>
      <c r="H1309" s="100"/>
    </row>
    <row r="1310" customHeight="1" spans="2:8">
      <c r="B1310" s="98"/>
      <c r="C1310" s="98"/>
      <c r="D1310" s="98"/>
      <c r="E1310" s="98"/>
      <c r="F1310" s="99"/>
      <c r="G1310" s="100"/>
      <c r="H1310" s="100"/>
    </row>
    <row r="1311" customHeight="1" spans="2:8">
      <c r="B1311" s="98"/>
      <c r="C1311" s="98"/>
      <c r="D1311" s="98"/>
      <c r="E1311" s="98"/>
      <c r="F1311" s="99"/>
      <c r="G1311" s="100"/>
      <c r="H1311" s="100"/>
    </row>
    <row r="1312" customHeight="1" spans="2:8">
      <c r="B1312" s="98"/>
      <c r="C1312" s="98"/>
      <c r="D1312" s="98"/>
      <c r="E1312" s="98"/>
      <c r="F1312" s="99"/>
      <c r="G1312" s="100"/>
      <c r="H1312" s="100"/>
    </row>
    <row r="1313" customHeight="1" spans="2:8">
      <c r="B1313" s="98"/>
      <c r="C1313" s="98"/>
      <c r="D1313" s="98"/>
      <c r="E1313" s="98"/>
      <c r="F1313" s="99"/>
      <c r="G1313" s="100"/>
      <c r="H1313" s="100"/>
    </row>
    <row r="1314" customHeight="1" spans="2:8">
      <c r="B1314" s="98"/>
      <c r="C1314" s="98"/>
      <c r="D1314" s="98"/>
      <c r="E1314" s="98"/>
      <c r="F1314" s="99"/>
      <c r="G1314" s="100"/>
      <c r="H1314" s="100"/>
    </row>
    <row r="1315" customHeight="1" spans="2:8">
      <c r="B1315" s="98"/>
      <c r="C1315" s="98"/>
      <c r="D1315" s="98"/>
      <c r="E1315" s="98"/>
      <c r="F1315" s="99"/>
      <c r="G1315" s="100"/>
      <c r="H1315" s="100"/>
    </row>
    <row r="1316" customHeight="1" spans="2:8">
      <c r="B1316" s="98"/>
      <c r="C1316" s="98"/>
      <c r="D1316" s="98"/>
      <c r="E1316" s="98"/>
      <c r="F1316" s="99"/>
      <c r="G1316" s="100"/>
      <c r="H1316" s="100"/>
    </row>
    <row r="1317" customHeight="1" spans="2:8">
      <c r="B1317" s="98"/>
      <c r="C1317" s="98"/>
      <c r="D1317" s="98"/>
      <c r="E1317" s="98"/>
      <c r="F1317" s="99"/>
      <c r="G1317" s="100"/>
      <c r="H1317" s="100"/>
    </row>
    <row r="1318" customHeight="1" spans="2:8">
      <c r="B1318" s="98"/>
      <c r="C1318" s="98"/>
      <c r="D1318" s="98"/>
      <c r="E1318" s="98"/>
      <c r="F1318" s="99"/>
      <c r="G1318" s="100"/>
      <c r="H1318" s="100"/>
    </row>
    <row r="1319" customHeight="1" spans="2:8">
      <c r="B1319" s="98"/>
      <c r="C1319" s="98"/>
      <c r="D1319" s="98"/>
      <c r="E1319" s="98"/>
      <c r="F1319" s="99"/>
      <c r="G1319" s="100"/>
      <c r="H1319" s="100"/>
    </row>
    <row r="1320" customHeight="1" spans="2:8">
      <c r="B1320" s="98"/>
      <c r="C1320" s="98"/>
      <c r="D1320" s="98"/>
      <c r="E1320" s="98"/>
      <c r="F1320" s="99"/>
      <c r="G1320" s="100"/>
      <c r="H1320" s="100"/>
    </row>
    <row r="1321" customHeight="1" spans="2:8">
      <c r="B1321" s="98"/>
      <c r="C1321" s="98"/>
      <c r="D1321" s="98"/>
      <c r="E1321" s="98"/>
      <c r="F1321" s="99"/>
      <c r="G1321" s="100"/>
      <c r="H1321" s="100"/>
    </row>
    <row r="1322" customHeight="1" spans="2:8">
      <c r="B1322" s="98"/>
      <c r="C1322" s="98"/>
      <c r="D1322" s="98"/>
      <c r="E1322" s="98"/>
      <c r="F1322" s="99"/>
      <c r="G1322" s="100"/>
      <c r="H1322" s="100"/>
    </row>
    <row r="1323" customHeight="1" spans="2:8">
      <c r="B1323" s="98"/>
      <c r="C1323" s="98"/>
      <c r="D1323" s="98"/>
      <c r="E1323" s="98"/>
      <c r="F1323" s="99"/>
      <c r="G1323" s="100"/>
      <c r="H1323" s="100"/>
    </row>
    <row r="1324" customHeight="1" spans="2:8">
      <c r="B1324" s="98"/>
      <c r="C1324" s="98"/>
      <c r="D1324" s="98"/>
      <c r="E1324" s="98"/>
      <c r="F1324" s="99"/>
      <c r="G1324" s="100"/>
      <c r="H1324" s="100"/>
    </row>
    <row r="1325" customHeight="1" spans="2:8">
      <c r="B1325" s="98"/>
      <c r="C1325" s="98"/>
      <c r="D1325" s="98"/>
      <c r="E1325" s="98"/>
      <c r="F1325" s="99"/>
      <c r="G1325" s="100"/>
      <c r="H1325" s="100"/>
    </row>
    <row r="1326" customHeight="1" spans="2:8">
      <c r="B1326" s="98"/>
      <c r="C1326" s="98"/>
      <c r="D1326" s="98"/>
      <c r="E1326" s="98"/>
      <c r="F1326" s="99"/>
      <c r="G1326" s="100"/>
      <c r="H1326" s="100"/>
    </row>
    <row r="1327" customHeight="1" spans="2:8">
      <c r="B1327" s="98"/>
      <c r="C1327" s="98"/>
      <c r="D1327" s="98"/>
      <c r="E1327" s="98"/>
      <c r="F1327" s="99"/>
      <c r="G1327" s="100"/>
      <c r="H1327" s="100"/>
    </row>
    <row r="1328" customHeight="1" spans="2:8">
      <c r="B1328" s="98"/>
      <c r="C1328" s="98"/>
      <c r="D1328" s="98"/>
      <c r="E1328" s="98"/>
      <c r="F1328" s="99"/>
      <c r="G1328" s="100"/>
      <c r="H1328" s="100"/>
    </row>
    <row r="1329" customHeight="1" spans="2:8">
      <c r="B1329" s="98"/>
      <c r="C1329" s="98"/>
      <c r="D1329" s="98"/>
      <c r="E1329" s="98"/>
      <c r="F1329" s="99"/>
      <c r="G1329" s="100"/>
      <c r="H1329" s="100"/>
    </row>
    <row r="1330" customHeight="1" spans="2:8">
      <c r="B1330" s="98"/>
      <c r="C1330" s="98"/>
      <c r="D1330" s="98"/>
      <c r="E1330" s="98"/>
      <c r="F1330" s="99"/>
      <c r="G1330" s="100"/>
      <c r="H1330" s="100"/>
    </row>
    <row r="1331" customHeight="1" spans="2:8">
      <c r="B1331" s="98"/>
      <c r="C1331" s="98"/>
      <c r="D1331" s="98"/>
      <c r="E1331" s="98"/>
      <c r="F1331" s="99"/>
      <c r="G1331" s="100"/>
      <c r="H1331" s="100"/>
    </row>
    <row r="1332" customHeight="1" spans="2:8">
      <c r="B1332" s="98"/>
      <c r="C1332" s="98"/>
      <c r="D1332" s="98"/>
      <c r="E1332" s="98"/>
      <c r="F1332" s="99"/>
      <c r="G1332" s="100"/>
      <c r="H1332" s="100"/>
    </row>
    <row r="1333" customHeight="1" spans="2:8">
      <c r="B1333" s="98"/>
      <c r="C1333" s="98"/>
      <c r="D1333" s="98"/>
      <c r="E1333" s="98"/>
      <c r="F1333" s="99"/>
      <c r="G1333" s="100"/>
      <c r="H1333" s="100"/>
    </row>
    <row r="1334" customHeight="1" spans="2:8">
      <c r="B1334" s="98"/>
      <c r="C1334" s="98"/>
      <c r="D1334" s="98"/>
      <c r="E1334" s="98"/>
      <c r="F1334" s="99"/>
      <c r="G1334" s="100"/>
      <c r="H1334" s="100"/>
    </row>
    <row r="1335" customHeight="1" spans="2:8">
      <c r="B1335" s="98"/>
      <c r="C1335" s="98"/>
      <c r="D1335" s="98"/>
      <c r="E1335" s="98"/>
      <c r="F1335" s="99"/>
      <c r="G1335" s="100"/>
      <c r="H1335" s="100"/>
    </row>
    <row r="1336" customHeight="1" spans="2:8">
      <c r="B1336" s="98"/>
      <c r="C1336" s="98"/>
      <c r="D1336" s="98"/>
      <c r="E1336" s="98"/>
      <c r="F1336" s="99"/>
      <c r="G1336" s="100"/>
      <c r="H1336" s="100"/>
    </row>
    <row r="1337" customHeight="1" spans="2:8">
      <c r="B1337" s="98"/>
      <c r="C1337" s="98"/>
      <c r="D1337" s="98"/>
      <c r="E1337" s="98"/>
      <c r="F1337" s="99"/>
      <c r="G1337" s="100"/>
      <c r="H1337" s="100"/>
    </row>
    <row r="1338" customHeight="1" spans="2:8">
      <c r="B1338" s="98"/>
      <c r="C1338" s="98"/>
      <c r="D1338" s="98"/>
      <c r="E1338" s="98"/>
      <c r="F1338" s="99"/>
      <c r="G1338" s="100"/>
      <c r="H1338" s="100"/>
    </row>
    <row r="1339" customHeight="1" spans="2:8">
      <c r="B1339" s="98"/>
      <c r="C1339" s="98"/>
      <c r="D1339" s="98"/>
      <c r="E1339" s="98"/>
      <c r="F1339" s="99"/>
      <c r="G1339" s="100"/>
      <c r="H1339" s="100"/>
    </row>
    <row r="1340" customHeight="1" spans="2:8">
      <c r="B1340" s="98"/>
      <c r="C1340" s="98"/>
      <c r="D1340" s="98"/>
      <c r="E1340" s="98"/>
      <c r="F1340" s="99"/>
      <c r="G1340" s="100"/>
      <c r="H1340" s="100"/>
    </row>
    <row r="1341" customHeight="1" spans="2:8">
      <c r="B1341" s="98"/>
      <c r="C1341" s="98"/>
      <c r="D1341" s="98"/>
      <c r="E1341" s="98"/>
      <c r="F1341" s="99"/>
      <c r="G1341" s="100"/>
      <c r="H1341" s="100"/>
    </row>
    <row r="1342" customHeight="1" spans="2:8">
      <c r="B1342" s="98"/>
      <c r="C1342" s="98"/>
      <c r="D1342" s="98"/>
      <c r="E1342" s="98"/>
      <c r="F1342" s="99"/>
      <c r="G1342" s="100"/>
      <c r="H1342" s="100"/>
    </row>
    <row r="1343" customHeight="1" spans="2:8">
      <c r="B1343" s="98"/>
      <c r="C1343" s="98"/>
      <c r="D1343" s="98"/>
      <c r="E1343" s="98"/>
      <c r="F1343" s="99"/>
      <c r="G1343" s="100"/>
      <c r="H1343" s="100"/>
    </row>
    <row r="1344" customHeight="1" spans="2:8">
      <c r="B1344" s="98"/>
      <c r="C1344" s="98"/>
      <c r="D1344" s="98"/>
      <c r="E1344" s="98"/>
      <c r="F1344" s="99"/>
      <c r="G1344" s="100"/>
      <c r="H1344" s="100"/>
    </row>
    <row r="1345" customHeight="1" spans="2:8">
      <c r="B1345" s="98"/>
      <c r="C1345" s="98"/>
      <c r="D1345" s="98"/>
      <c r="E1345" s="98"/>
      <c r="F1345" s="99"/>
      <c r="G1345" s="100"/>
      <c r="H1345" s="100"/>
    </row>
    <row r="1346" customHeight="1" spans="2:8">
      <c r="B1346" s="98"/>
      <c r="C1346" s="98"/>
      <c r="D1346" s="98"/>
      <c r="E1346" s="98"/>
      <c r="F1346" s="99"/>
      <c r="G1346" s="100"/>
      <c r="H1346" s="100"/>
    </row>
    <row r="1347" customHeight="1" spans="2:8">
      <c r="B1347" s="98"/>
      <c r="C1347" s="98"/>
      <c r="D1347" s="98"/>
      <c r="E1347" s="98"/>
      <c r="F1347" s="99"/>
      <c r="G1347" s="100"/>
      <c r="H1347" s="100"/>
    </row>
    <row r="1348" customHeight="1" spans="2:8">
      <c r="B1348" s="98"/>
      <c r="C1348" s="98"/>
      <c r="D1348" s="98"/>
      <c r="E1348" s="98"/>
      <c r="F1348" s="99"/>
      <c r="G1348" s="100"/>
      <c r="H1348" s="100"/>
    </row>
    <row r="1349" customHeight="1" spans="2:8">
      <c r="B1349" s="98"/>
      <c r="C1349" s="98"/>
      <c r="D1349" s="98"/>
      <c r="E1349" s="98"/>
      <c r="F1349" s="99"/>
      <c r="G1349" s="100"/>
      <c r="H1349" s="100"/>
    </row>
    <row r="1350" customHeight="1" spans="2:8">
      <c r="B1350" s="98"/>
      <c r="C1350" s="98"/>
      <c r="D1350" s="98"/>
      <c r="E1350" s="98"/>
      <c r="F1350" s="99"/>
      <c r="G1350" s="100"/>
      <c r="H1350" s="100"/>
    </row>
    <row r="1351" customHeight="1" spans="2:8">
      <c r="B1351" s="98"/>
      <c r="C1351" s="98"/>
      <c r="D1351" s="98"/>
      <c r="E1351" s="98"/>
      <c r="F1351" s="99"/>
      <c r="G1351" s="100"/>
      <c r="H1351" s="100"/>
    </row>
    <row r="1352" customHeight="1" spans="2:8">
      <c r="B1352" s="98"/>
      <c r="C1352" s="98"/>
      <c r="D1352" s="98"/>
      <c r="E1352" s="98"/>
      <c r="F1352" s="99"/>
      <c r="G1352" s="100"/>
      <c r="H1352" s="100"/>
    </row>
    <row r="1353" customHeight="1" spans="2:8">
      <c r="B1353" s="98"/>
      <c r="C1353" s="98"/>
      <c r="D1353" s="98"/>
      <c r="E1353" s="98"/>
      <c r="F1353" s="99"/>
      <c r="G1353" s="100"/>
      <c r="H1353" s="100"/>
    </row>
    <row r="1354" customHeight="1" spans="2:8">
      <c r="B1354" s="98"/>
      <c r="C1354" s="98"/>
      <c r="D1354" s="98"/>
      <c r="E1354" s="98"/>
      <c r="F1354" s="99"/>
      <c r="G1354" s="100"/>
      <c r="H1354" s="100"/>
    </row>
    <row r="1355" customHeight="1" spans="2:8">
      <c r="B1355" s="98"/>
      <c r="C1355" s="98"/>
      <c r="D1355" s="98"/>
      <c r="E1355" s="98"/>
      <c r="F1355" s="99"/>
      <c r="G1355" s="100"/>
      <c r="H1355" s="100"/>
    </row>
    <row r="1356" customHeight="1" spans="2:8">
      <c r="B1356" s="98"/>
      <c r="C1356" s="98"/>
      <c r="D1356" s="98"/>
      <c r="E1356" s="98"/>
      <c r="F1356" s="99"/>
      <c r="G1356" s="100"/>
      <c r="H1356" s="100"/>
    </row>
    <row r="1357" customHeight="1" spans="2:8">
      <c r="B1357" s="98"/>
      <c r="C1357" s="98"/>
      <c r="D1357" s="98"/>
      <c r="E1357" s="98"/>
      <c r="F1357" s="99"/>
      <c r="G1357" s="100"/>
      <c r="H1357" s="100"/>
    </row>
    <row r="1358" customHeight="1" spans="2:8">
      <c r="B1358" s="98"/>
      <c r="C1358" s="98"/>
      <c r="D1358" s="98"/>
      <c r="E1358" s="98"/>
      <c r="F1358" s="99"/>
      <c r="G1358" s="100"/>
      <c r="H1358" s="100"/>
    </row>
    <row r="1359" customHeight="1" spans="2:8">
      <c r="B1359" s="98"/>
      <c r="C1359" s="98"/>
      <c r="D1359" s="98"/>
      <c r="E1359" s="98"/>
      <c r="F1359" s="99"/>
      <c r="G1359" s="100"/>
      <c r="H1359" s="100"/>
    </row>
    <row r="1360" customHeight="1" spans="2:8">
      <c r="B1360" s="98"/>
      <c r="C1360" s="98"/>
      <c r="D1360" s="98"/>
      <c r="E1360" s="98"/>
      <c r="F1360" s="99"/>
      <c r="G1360" s="100"/>
      <c r="H1360" s="100"/>
    </row>
    <row r="1361" customHeight="1" spans="2:8">
      <c r="B1361" s="98"/>
      <c r="C1361" s="98"/>
      <c r="D1361" s="98"/>
      <c r="E1361" s="98"/>
      <c r="F1361" s="99"/>
      <c r="G1361" s="100"/>
      <c r="H1361" s="100"/>
    </row>
    <row r="1362" customHeight="1" spans="2:8">
      <c r="B1362" s="98"/>
      <c r="C1362" s="98"/>
      <c r="D1362" s="98"/>
      <c r="E1362" s="98"/>
      <c r="F1362" s="99"/>
      <c r="G1362" s="100"/>
      <c r="H1362" s="100"/>
    </row>
    <row r="1363" customHeight="1" spans="2:8">
      <c r="B1363" s="98"/>
      <c r="C1363" s="98"/>
      <c r="D1363" s="98"/>
      <c r="E1363" s="98"/>
      <c r="F1363" s="99"/>
      <c r="G1363" s="100"/>
      <c r="H1363" s="100"/>
    </row>
    <row r="1364" customHeight="1" spans="2:8">
      <c r="B1364" s="98"/>
      <c r="C1364" s="98"/>
      <c r="D1364" s="98"/>
      <c r="E1364" s="98"/>
      <c r="F1364" s="99"/>
      <c r="G1364" s="100"/>
      <c r="H1364" s="100"/>
    </row>
    <row r="1365" customHeight="1" spans="2:8">
      <c r="B1365" s="98"/>
      <c r="C1365" s="98"/>
      <c r="D1365" s="98"/>
      <c r="E1365" s="98"/>
      <c r="F1365" s="99"/>
      <c r="G1365" s="100"/>
      <c r="H1365" s="100"/>
    </row>
    <row r="1366" customHeight="1" spans="2:8">
      <c r="B1366" s="98"/>
      <c r="C1366" s="98"/>
      <c r="D1366" s="98"/>
      <c r="E1366" s="98"/>
      <c r="F1366" s="99"/>
      <c r="G1366" s="100"/>
      <c r="H1366" s="100"/>
    </row>
    <row r="1367" customHeight="1" spans="2:8">
      <c r="B1367" s="98"/>
      <c r="C1367" s="98"/>
      <c r="D1367" s="98"/>
      <c r="E1367" s="98"/>
      <c r="F1367" s="99"/>
      <c r="G1367" s="100"/>
      <c r="H1367" s="100"/>
    </row>
    <row r="1368" customHeight="1" spans="2:8">
      <c r="B1368" s="98"/>
      <c r="C1368" s="98"/>
      <c r="D1368" s="98"/>
      <c r="E1368" s="98"/>
      <c r="F1368" s="99"/>
      <c r="G1368" s="100"/>
      <c r="H1368" s="100"/>
    </row>
    <row r="1369" customHeight="1" spans="2:8">
      <c r="B1369" s="98"/>
      <c r="C1369" s="98"/>
      <c r="D1369" s="98"/>
      <c r="E1369" s="98"/>
      <c r="F1369" s="99"/>
      <c r="G1369" s="100"/>
      <c r="H1369" s="100"/>
    </row>
    <row r="1370" customHeight="1" spans="2:8">
      <c r="B1370" s="98"/>
      <c r="C1370" s="98"/>
      <c r="D1370" s="98"/>
      <c r="E1370" s="98"/>
      <c r="F1370" s="99"/>
      <c r="G1370" s="100"/>
      <c r="H1370" s="100"/>
    </row>
    <row r="1371" customHeight="1" spans="2:8">
      <c r="B1371" s="98"/>
      <c r="C1371" s="98"/>
      <c r="D1371" s="98"/>
      <c r="E1371" s="98"/>
      <c r="F1371" s="99"/>
      <c r="G1371" s="100"/>
      <c r="H1371" s="100"/>
    </row>
    <row r="1372" customHeight="1" spans="2:8">
      <c r="B1372" s="98"/>
      <c r="C1372" s="98"/>
      <c r="D1372" s="98"/>
      <c r="E1372" s="98"/>
      <c r="F1372" s="99"/>
      <c r="G1372" s="100"/>
      <c r="H1372" s="100"/>
    </row>
    <row r="1373" customHeight="1" spans="2:8">
      <c r="B1373" s="98"/>
      <c r="C1373" s="98"/>
      <c r="D1373" s="98"/>
      <c r="E1373" s="98"/>
      <c r="F1373" s="99"/>
      <c r="G1373" s="100"/>
      <c r="H1373" s="100"/>
    </row>
    <row r="1374" customHeight="1" spans="2:8">
      <c r="B1374" s="98"/>
      <c r="C1374" s="98"/>
      <c r="D1374" s="98"/>
      <c r="E1374" s="98"/>
      <c r="F1374" s="99"/>
      <c r="G1374" s="100"/>
      <c r="H1374" s="100"/>
    </row>
    <row r="1375" customHeight="1" spans="2:8">
      <c r="B1375" s="98"/>
      <c r="C1375" s="98"/>
      <c r="D1375" s="98"/>
      <c r="E1375" s="98"/>
      <c r="F1375" s="99"/>
      <c r="G1375" s="100"/>
      <c r="H1375" s="100"/>
    </row>
    <row r="1376" customHeight="1" spans="2:8">
      <c r="B1376" s="98"/>
      <c r="C1376" s="98"/>
      <c r="D1376" s="98"/>
      <c r="E1376" s="98"/>
      <c r="F1376" s="99"/>
      <c r="G1376" s="100"/>
      <c r="H1376" s="100"/>
    </row>
    <row r="1377" customHeight="1" spans="2:8">
      <c r="B1377" s="98"/>
      <c r="C1377" s="98"/>
      <c r="D1377" s="98"/>
      <c r="E1377" s="98"/>
      <c r="F1377" s="99"/>
      <c r="G1377" s="100"/>
      <c r="H1377" s="100"/>
    </row>
    <row r="1378" customHeight="1" spans="2:8">
      <c r="B1378" s="98"/>
      <c r="C1378" s="98"/>
      <c r="D1378" s="98"/>
      <c r="E1378" s="98"/>
      <c r="F1378" s="99"/>
      <c r="G1378" s="100"/>
      <c r="H1378" s="100"/>
    </row>
    <row r="1379" customHeight="1" spans="2:8">
      <c r="B1379" s="98"/>
      <c r="C1379" s="98"/>
      <c r="D1379" s="98"/>
      <c r="E1379" s="98"/>
      <c r="F1379" s="99"/>
      <c r="G1379" s="100"/>
      <c r="H1379" s="100"/>
    </row>
    <row r="1380" customHeight="1" spans="2:8">
      <c r="B1380" s="98"/>
      <c r="C1380" s="98"/>
      <c r="D1380" s="98"/>
      <c r="E1380" s="98"/>
      <c r="F1380" s="99"/>
      <c r="G1380" s="100"/>
      <c r="H1380" s="100"/>
    </row>
    <row r="1381" customHeight="1" spans="2:8">
      <c r="B1381" s="98"/>
      <c r="C1381" s="98"/>
      <c r="D1381" s="98"/>
      <c r="E1381" s="98"/>
      <c r="F1381" s="99"/>
      <c r="G1381" s="100"/>
      <c r="H1381" s="100"/>
    </row>
    <row r="1382" customHeight="1" spans="2:8">
      <c r="B1382" s="98"/>
      <c r="C1382" s="98"/>
      <c r="D1382" s="98"/>
      <c r="E1382" s="98"/>
      <c r="F1382" s="99"/>
      <c r="G1382" s="100"/>
      <c r="H1382" s="100"/>
    </row>
    <row r="1383" customHeight="1" spans="2:8">
      <c r="B1383" s="98"/>
      <c r="C1383" s="98"/>
      <c r="D1383" s="98"/>
      <c r="E1383" s="98"/>
      <c r="F1383" s="99"/>
      <c r="G1383" s="100"/>
      <c r="H1383" s="100"/>
    </row>
    <row r="1384" customHeight="1" spans="2:8">
      <c r="B1384" s="98"/>
      <c r="C1384" s="98"/>
      <c r="D1384" s="98"/>
      <c r="E1384" s="98"/>
      <c r="F1384" s="99"/>
      <c r="G1384" s="100"/>
      <c r="H1384" s="100"/>
    </row>
    <row r="1385" customHeight="1" spans="2:8">
      <c r="B1385" s="98"/>
      <c r="C1385" s="98"/>
      <c r="D1385" s="98"/>
      <c r="E1385" s="98"/>
      <c r="F1385" s="99"/>
      <c r="G1385" s="100"/>
      <c r="H1385" s="100"/>
    </row>
    <row r="1386" customHeight="1" spans="2:8">
      <c r="B1386" s="98"/>
      <c r="C1386" s="98"/>
      <c r="D1386" s="98"/>
      <c r="E1386" s="98"/>
      <c r="F1386" s="99"/>
      <c r="G1386" s="100"/>
      <c r="H1386" s="100"/>
    </row>
    <row r="1387" customHeight="1" spans="2:8">
      <c r="B1387" s="98"/>
      <c r="C1387" s="98"/>
      <c r="D1387" s="98"/>
      <c r="E1387" s="98"/>
      <c r="F1387" s="99"/>
      <c r="G1387" s="100"/>
      <c r="H1387" s="100"/>
    </row>
    <row r="1388" customHeight="1" spans="2:8">
      <c r="B1388" s="98"/>
      <c r="C1388" s="98"/>
      <c r="D1388" s="98"/>
      <c r="E1388" s="98"/>
      <c r="F1388" s="99"/>
      <c r="G1388" s="100"/>
      <c r="H1388" s="100"/>
    </row>
    <row r="1389" customHeight="1" spans="2:8">
      <c r="B1389" s="98"/>
      <c r="C1389" s="98"/>
      <c r="D1389" s="98"/>
      <c r="E1389" s="98"/>
      <c r="F1389" s="99"/>
      <c r="G1389" s="100"/>
      <c r="H1389" s="100"/>
    </row>
    <row r="1390" customHeight="1" spans="2:8">
      <c r="B1390" s="98"/>
      <c r="C1390" s="98"/>
      <c r="D1390" s="98"/>
      <c r="E1390" s="98"/>
      <c r="F1390" s="99"/>
      <c r="G1390" s="100"/>
      <c r="H1390" s="100"/>
    </row>
    <row r="1391" customHeight="1" spans="2:8">
      <c r="B1391" s="98"/>
      <c r="C1391" s="98"/>
      <c r="D1391" s="98"/>
      <c r="E1391" s="98"/>
      <c r="F1391" s="99"/>
      <c r="G1391" s="100"/>
      <c r="H1391" s="100"/>
    </row>
    <row r="1392" customHeight="1" spans="2:8">
      <c r="B1392" s="98"/>
      <c r="C1392" s="98"/>
      <c r="D1392" s="98"/>
      <c r="E1392" s="98"/>
      <c r="F1392" s="99"/>
      <c r="G1392" s="100"/>
      <c r="H1392" s="100"/>
    </row>
    <row r="1393" customHeight="1" spans="2:8">
      <c r="B1393" s="98"/>
      <c r="C1393" s="98"/>
      <c r="D1393" s="98"/>
      <c r="E1393" s="98"/>
      <c r="F1393" s="99"/>
      <c r="G1393" s="100"/>
      <c r="H1393" s="100"/>
    </row>
    <row r="1394" customHeight="1" spans="2:8">
      <c r="B1394" s="98"/>
      <c r="C1394" s="98"/>
      <c r="D1394" s="98"/>
      <c r="E1394" s="98"/>
      <c r="F1394" s="99"/>
      <c r="G1394" s="100"/>
      <c r="H1394" s="100"/>
    </row>
    <row r="1395" customHeight="1" spans="2:8">
      <c r="B1395" s="98"/>
      <c r="C1395" s="98"/>
      <c r="D1395" s="98"/>
      <c r="E1395" s="98"/>
      <c r="F1395" s="99"/>
      <c r="G1395" s="100"/>
      <c r="H1395" s="100"/>
    </row>
    <row r="1396" customHeight="1" spans="2:8">
      <c r="B1396" s="98"/>
      <c r="C1396" s="98"/>
      <c r="D1396" s="98"/>
      <c r="E1396" s="98"/>
      <c r="F1396" s="99"/>
      <c r="G1396" s="100"/>
      <c r="H1396" s="100"/>
    </row>
    <row r="1397" customHeight="1" spans="2:8">
      <c r="B1397" s="98"/>
      <c r="C1397" s="98"/>
      <c r="D1397" s="98"/>
      <c r="E1397" s="98"/>
      <c r="F1397" s="99"/>
      <c r="G1397" s="100"/>
      <c r="H1397" s="100"/>
    </row>
    <row r="1398" customHeight="1" spans="2:8">
      <c r="B1398" s="98"/>
      <c r="C1398" s="98"/>
      <c r="D1398" s="98"/>
      <c r="E1398" s="98"/>
      <c r="F1398" s="99"/>
      <c r="G1398" s="100"/>
      <c r="H1398" s="100"/>
    </row>
    <row r="1399" customHeight="1" spans="2:8">
      <c r="B1399" s="98"/>
      <c r="C1399" s="98"/>
      <c r="D1399" s="98"/>
      <c r="E1399" s="98"/>
      <c r="F1399" s="99"/>
      <c r="G1399" s="100"/>
      <c r="H1399" s="100"/>
    </row>
    <row r="1400" customHeight="1" spans="2:8">
      <c r="B1400" s="98"/>
      <c r="C1400" s="98"/>
      <c r="D1400" s="98"/>
      <c r="E1400" s="98"/>
      <c r="F1400" s="99"/>
      <c r="G1400" s="100"/>
      <c r="H1400" s="100"/>
    </row>
    <row r="1401" customHeight="1" spans="2:8">
      <c r="B1401" s="98"/>
      <c r="C1401" s="98"/>
      <c r="D1401" s="98"/>
      <c r="E1401" s="98"/>
      <c r="F1401" s="99"/>
      <c r="G1401" s="100"/>
      <c r="H1401" s="100"/>
    </row>
    <row r="1402" customHeight="1" spans="2:8">
      <c r="B1402" s="98"/>
      <c r="C1402" s="98"/>
      <c r="D1402" s="98"/>
      <c r="E1402" s="98"/>
      <c r="F1402" s="99"/>
      <c r="G1402" s="100"/>
      <c r="H1402" s="100"/>
    </row>
    <row r="1403" customHeight="1" spans="2:8">
      <c r="B1403" s="98"/>
      <c r="C1403" s="98"/>
      <c r="D1403" s="98"/>
      <c r="E1403" s="98"/>
      <c r="F1403" s="99"/>
      <c r="G1403" s="100"/>
      <c r="H1403" s="100"/>
    </row>
    <row r="1404" customHeight="1" spans="2:8">
      <c r="B1404" s="98"/>
      <c r="C1404" s="98"/>
      <c r="D1404" s="98"/>
      <c r="E1404" s="98"/>
      <c r="F1404" s="99"/>
      <c r="G1404" s="100"/>
      <c r="H1404" s="100"/>
    </row>
    <row r="1405" customHeight="1" spans="2:8">
      <c r="B1405" s="98"/>
      <c r="C1405" s="98"/>
      <c r="D1405" s="98"/>
      <c r="E1405" s="98"/>
      <c r="F1405" s="99"/>
      <c r="G1405" s="100"/>
      <c r="H1405" s="100"/>
    </row>
    <row r="1406" customHeight="1" spans="2:8">
      <c r="B1406" s="98"/>
      <c r="C1406" s="98"/>
      <c r="D1406" s="98"/>
      <c r="E1406" s="98"/>
      <c r="F1406" s="99"/>
      <c r="G1406" s="100"/>
      <c r="H1406" s="100"/>
    </row>
    <row r="1407" customHeight="1" spans="2:8">
      <c r="B1407" s="98"/>
      <c r="C1407" s="98"/>
      <c r="D1407" s="98"/>
      <c r="E1407" s="98"/>
      <c r="F1407" s="99"/>
      <c r="G1407" s="100"/>
      <c r="H1407" s="100"/>
    </row>
    <row r="1408" customHeight="1" spans="2:8">
      <c r="B1408" s="98"/>
      <c r="C1408" s="98"/>
      <c r="D1408" s="98"/>
      <c r="E1408" s="98"/>
      <c r="F1408" s="99"/>
      <c r="G1408" s="100"/>
      <c r="H1408" s="100"/>
    </row>
    <row r="1409" customHeight="1" spans="2:8">
      <c r="B1409" s="98"/>
      <c r="C1409" s="98"/>
      <c r="D1409" s="98"/>
      <c r="E1409" s="98"/>
      <c r="F1409" s="99"/>
      <c r="G1409" s="100"/>
      <c r="H1409" s="100"/>
    </row>
    <row r="1410" customHeight="1" spans="2:8">
      <c r="B1410" s="98"/>
      <c r="C1410" s="98"/>
      <c r="D1410" s="98"/>
      <c r="E1410" s="98"/>
      <c r="F1410" s="99"/>
      <c r="G1410" s="100"/>
      <c r="H1410" s="100"/>
    </row>
    <row r="1411" customHeight="1" spans="2:8">
      <c r="B1411" s="98"/>
      <c r="C1411" s="98"/>
      <c r="D1411" s="98"/>
      <c r="E1411" s="98"/>
      <c r="F1411" s="99"/>
      <c r="G1411" s="100"/>
      <c r="H1411" s="100"/>
    </row>
    <row r="1412" customHeight="1" spans="2:8">
      <c r="B1412" s="98"/>
      <c r="C1412" s="98"/>
      <c r="D1412" s="98"/>
      <c r="E1412" s="98"/>
      <c r="F1412" s="99"/>
      <c r="G1412" s="100"/>
      <c r="H1412" s="100"/>
    </row>
    <row r="1413" customHeight="1" spans="2:8">
      <c r="B1413" s="98"/>
      <c r="C1413" s="98"/>
      <c r="D1413" s="98"/>
      <c r="E1413" s="98"/>
      <c r="F1413" s="99"/>
      <c r="G1413" s="100"/>
      <c r="H1413" s="100"/>
    </row>
    <row r="1414" customHeight="1" spans="2:8">
      <c r="B1414" s="98"/>
      <c r="C1414" s="98"/>
      <c r="D1414" s="98"/>
      <c r="E1414" s="98"/>
      <c r="F1414" s="99"/>
      <c r="G1414" s="100"/>
      <c r="H1414" s="100"/>
    </row>
    <row r="1415" customHeight="1" spans="2:8">
      <c r="B1415" s="98"/>
      <c r="C1415" s="98"/>
      <c r="D1415" s="98"/>
      <c r="E1415" s="98"/>
      <c r="F1415" s="99"/>
      <c r="G1415" s="100"/>
      <c r="H1415" s="100"/>
    </row>
    <row r="1416" customHeight="1" spans="2:8">
      <c r="B1416" s="98"/>
      <c r="C1416" s="98"/>
      <c r="D1416" s="98"/>
      <c r="E1416" s="98"/>
      <c r="F1416" s="99"/>
      <c r="G1416" s="100"/>
      <c r="H1416" s="100"/>
    </row>
    <row r="1417" customHeight="1" spans="2:8">
      <c r="B1417" s="98"/>
      <c r="C1417" s="98"/>
      <c r="D1417" s="98"/>
      <c r="E1417" s="98"/>
      <c r="F1417" s="99"/>
      <c r="G1417" s="100"/>
      <c r="H1417" s="100"/>
    </row>
    <row r="1418" customHeight="1" spans="2:8">
      <c r="B1418" s="98"/>
      <c r="C1418" s="98"/>
      <c r="D1418" s="98"/>
      <c r="E1418" s="98"/>
      <c r="F1418" s="99"/>
      <c r="G1418" s="100"/>
      <c r="H1418" s="100"/>
    </row>
    <row r="1419" customHeight="1" spans="2:8">
      <c r="B1419" s="98"/>
      <c r="C1419" s="98"/>
      <c r="D1419" s="98"/>
      <c r="E1419" s="98"/>
      <c r="F1419" s="99"/>
      <c r="G1419" s="100"/>
      <c r="H1419" s="100"/>
    </row>
    <row r="1420" customHeight="1" spans="2:8">
      <c r="B1420" s="98"/>
      <c r="C1420" s="98"/>
      <c r="D1420" s="98"/>
      <c r="E1420" s="98"/>
      <c r="F1420" s="99"/>
      <c r="G1420" s="100"/>
      <c r="H1420" s="100"/>
    </row>
    <row r="1421" customHeight="1" spans="2:8">
      <c r="B1421" s="98"/>
      <c r="C1421" s="98"/>
      <c r="D1421" s="98"/>
      <c r="E1421" s="98"/>
      <c r="F1421" s="99"/>
      <c r="G1421" s="100"/>
      <c r="H1421" s="100"/>
    </row>
    <row r="1422" customHeight="1" spans="2:8">
      <c r="B1422" s="98"/>
      <c r="C1422" s="98"/>
      <c r="D1422" s="98"/>
      <c r="E1422" s="98"/>
      <c r="F1422" s="99"/>
      <c r="G1422" s="100"/>
      <c r="H1422" s="100"/>
    </row>
    <row r="1423" customHeight="1" spans="2:8">
      <c r="B1423" s="98"/>
      <c r="C1423" s="98"/>
      <c r="D1423" s="98"/>
      <c r="E1423" s="98"/>
      <c r="F1423" s="99"/>
      <c r="G1423" s="100"/>
      <c r="H1423" s="100"/>
    </row>
    <row r="1424" customHeight="1" spans="2:8">
      <c r="B1424" s="98"/>
      <c r="C1424" s="98"/>
      <c r="D1424" s="98"/>
      <c r="E1424" s="98"/>
      <c r="F1424" s="99"/>
      <c r="G1424" s="100"/>
      <c r="H1424" s="100"/>
    </row>
    <row r="1425" customHeight="1" spans="2:8">
      <c r="B1425" s="98"/>
      <c r="C1425" s="98"/>
      <c r="D1425" s="98"/>
      <c r="E1425" s="98"/>
      <c r="F1425" s="99"/>
      <c r="G1425" s="100"/>
      <c r="H1425" s="100"/>
    </row>
    <row r="1426" customHeight="1" spans="2:8">
      <c r="B1426" s="98"/>
      <c r="C1426" s="98"/>
      <c r="D1426" s="98"/>
      <c r="E1426" s="98"/>
      <c r="F1426" s="99"/>
      <c r="G1426" s="100"/>
      <c r="H1426" s="100"/>
    </row>
    <row r="1427" customHeight="1" spans="2:8">
      <c r="B1427" s="98"/>
      <c r="C1427" s="98"/>
      <c r="D1427" s="98"/>
      <c r="E1427" s="98"/>
      <c r="F1427" s="99"/>
      <c r="G1427" s="100"/>
      <c r="H1427" s="100"/>
    </row>
    <row r="1428" customHeight="1" spans="2:8">
      <c r="B1428" s="98"/>
      <c r="C1428" s="98"/>
      <c r="D1428" s="98"/>
      <c r="E1428" s="98"/>
      <c r="F1428" s="99"/>
      <c r="G1428" s="100"/>
      <c r="H1428" s="100"/>
    </row>
    <row r="1429" customHeight="1" spans="2:8">
      <c r="B1429" s="98"/>
      <c r="C1429" s="98"/>
      <c r="D1429" s="98"/>
      <c r="E1429" s="98"/>
      <c r="F1429" s="99"/>
      <c r="G1429" s="100"/>
      <c r="H1429" s="100"/>
    </row>
    <row r="1430" customHeight="1" spans="2:8">
      <c r="B1430" s="98"/>
      <c r="C1430" s="98"/>
      <c r="D1430" s="98"/>
      <c r="E1430" s="98"/>
      <c r="F1430" s="99"/>
      <c r="G1430" s="100"/>
      <c r="H1430" s="100"/>
    </row>
    <row r="1431" customHeight="1" spans="2:8">
      <c r="B1431" s="98"/>
      <c r="C1431" s="98"/>
      <c r="D1431" s="98"/>
      <c r="E1431" s="98"/>
      <c r="F1431" s="99"/>
      <c r="G1431" s="100"/>
      <c r="H1431" s="100"/>
    </row>
    <row r="1432" customHeight="1" spans="2:8">
      <c r="B1432" s="98"/>
      <c r="C1432" s="98"/>
      <c r="D1432" s="98"/>
      <c r="E1432" s="98"/>
      <c r="F1432" s="99"/>
      <c r="G1432" s="100"/>
      <c r="H1432" s="100"/>
    </row>
    <row r="1433" customHeight="1" spans="2:8">
      <c r="B1433" s="98"/>
      <c r="C1433" s="98"/>
      <c r="D1433" s="98"/>
      <c r="E1433" s="98"/>
      <c r="F1433" s="99"/>
      <c r="G1433" s="100"/>
      <c r="H1433" s="100"/>
    </row>
    <row r="1434" customHeight="1" spans="2:8">
      <c r="B1434" s="98"/>
      <c r="C1434" s="98"/>
      <c r="D1434" s="98"/>
      <c r="E1434" s="98"/>
      <c r="F1434" s="99"/>
      <c r="G1434" s="100"/>
      <c r="H1434" s="100"/>
    </row>
    <row r="1435" customHeight="1" spans="2:8">
      <c r="B1435" s="98"/>
      <c r="C1435" s="98"/>
      <c r="D1435" s="98"/>
      <c r="E1435" s="98"/>
      <c r="F1435" s="99"/>
      <c r="G1435" s="100"/>
      <c r="H1435" s="100"/>
    </row>
    <row r="1436" customHeight="1" spans="2:8">
      <c r="B1436" s="98"/>
      <c r="C1436" s="98"/>
      <c r="D1436" s="98"/>
      <c r="E1436" s="98"/>
      <c r="F1436" s="99"/>
      <c r="G1436" s="100"/>
      <c r="H1436" s="100"/>
    </row>
    <row r="1437" customHeight="1" spans="2:8">
      <c r="B1437" s="98"/>
      <c r="C1437" s="98"/>
      <c r="D1437" s="98"/>
      <c r="E1437" s="98"/>
      <c r="F1437" s="99"/>
      <c r="G1437" s="100"/>
      <c r="H1437" s="100"/>
    </row>
    <row r="1438" customHeight="1" spans="2:8">
      <c r="B1438" s="98"/>
      <c r="C1438" s="98"/>
      <c r="D1438" s="98"/>
      <c r="E1438" s="98"/>
      <c r="F1438" s="99"/>
      <c r="G1438" s="100"/>
      <c r="H1438" s="100"/>
    </row>
    <row r="1439" customHeight="1" spans="2:8">
      <c r="B1439" s="98"/>
      <c r="C1439" s="98"/>
      <c r="D1439" s="98"/>
      <c r="E1439" s="98"/>
      <c r="F1439" s="99"/>
      <c r="G1439" s="100"/>
      <c r="H1439" s="100"/>
    </row>
    <row r="1440" customHeight="1" spans="2:8">
      <c r="B1440" s="98"/>
      <c r="C1440" s="98"/>
      <c r="D1440" s="98"/>
      <c r="E1440" s="98"/>
      <c r="F1440" s="99"/>
      <c r="G1440" s="100"/>
      <c r="H1440" s="100"/>
    </row>
    <row r="1441" customHeight="1" spans="2:8">
      <c r="B1441" s="98"/>
      <c r="C1441" s="98"/>
      <c r="D1441" s="98"/>
      <c r="E1441" s="98"/>
      <c r="F1441" s="99"/>
      <c r="G1441" s="100"/>
      <c r="H1441" s="100"/>
    </row>
    <row r="1442" customHeight="1" spans="2:8">
      <c r="B1442" s="98"/>
      <c r="C1442" s="98"/>
      <c r="D1442" s="98"/>
      <c r="E1442" s="98"/>
      <c r="F1442" s="99"/>
      <c r="G1442" s="100"/>
      <c r="H1442" s="100"/>
    </row>
    <row r="1443" customHeight="1" spans="2:8">
      <c r="B1443" s="98"/>
      <c r="C1443" s="98"/>
      <c r="D1443" s="98"/>
      <c r="E1443" s="98"/>
      <c r="F1443" s="99"/>
      <c r="G1443" s="100"/>
      <c r="H1443" s="100"/>
    </row>
    <row r="1444" customHeight="1" spans="2:8">
      <c r="B1444" s="98"/>
      <c r="C1444" s="98"/>
      <c r="D1444" s="98"/>
      <c r="E1444" s="98"/>
      <c r="F1444" s="99"/>
      <c r="G1444" s="100"/>
      <c r="H1444" s="100"/>
    </row>
    <row r="1445" customHeight="1" spans="2:8">
      <c r="B1445" s="98"/>
      <c r="C1445" s="98"/>
      <c r="D1445" s="98"/>
      <c r="E1445" s="98"/>
      <c r="F1445" s="99"/>
      <c r="G1445" s="100"/>
      <c r="H1445" s="100"/>
    </row>
    <row r="1446" customHeight="1" spans="2:8">
      <c r="B1446" s="98"/>
      <c r="C1446" s="98"/>
      <c r="D1446" s="98"/>
      <c r="E1446" s="98"/>
      <c r="F1446" s="99"/>
      <c r="G1446" s="100"/>
      <c r="H1446" s="100"/>
    </row>
    <row r="1447" customHeight="1" spans="2:8">
      <c r="B1447" s="98"/>
      <c r="C1447" s="98"/>
      <c r="D1447" s="98"/>
      <c r="E1447" s="98"/>
      <c r="F1447" s="99"/>
      <c r="G1447" s="100"/>
      <c r="H1447" s="100"/>
    </row>
    <row r="1448" customHeight="1" spans="2:8">
      <c r="B1448" s="98"/>
      <c r="C1448" s="98"/>
      <c r="D1448" s="98"/>
      <c r="E1448" s="98"/>
      <c r="F1448" s="99"/>
      <c r="G1448" s="100"/>
      <c r="H1448" s="100"/>
    </row>
    <row r="1449" customHeight="1" spans="2:8">
      <c r="B1449" s="98"/>
      <c r="C1449" s="98"/>
      <c r="D1449" s="98"/>
      <c r="E1449" s="98"/>
      <c r="F1449" s="99"/>
      <c r="G1449" s="100"/>
      <c r="H1449" s="100"/>
    </row>
    <row r="1450" customHeight="1" spans="2:8">
      <c r="B1450" s="98"/>
      <c r="C1450" s="98"/>
      <c r="D1450" s="98"/>
      <c r="E1450" s="98"/>
      <c r="F1450" s="99"/>
      <c r="G1450" s="100"/>
      <c r="H1450" s="100"/>
    </row>
    <row r="1451" customHeight="1" spans="2:8">
      <c r="B1451" s="98"/>
      <c r="C1451" s="98"/>
      <c r="D1451" s="98"/>
      <c r="E1451" s="98"/>
      <c r="F1451" s="99"/>
      <c r="G1451" s="100"/>
      <c r="H1451" s="100"/>
    </row>
    <row r="1452" customHeight="1" spans="2:8">
      <c r="B1452" s="98"/>
      <c r="C1452" s="98"/>
      <c r="D1452" s="98"/>
      <c r="E1452" s="98"/>
      <c r="F1452" s="99"/>
      <c r="G1452" s="100"/>
      <c r="H1452" s="100"/>
    </row>
    <row r="1453" customHeight="1" spans="2:8">
      <c r="B1453" s="98"/>
      <c r="C1453" s="98"/>
      <c r="D1453" s="98"/>
      <c r="E1453" s="98"/>
      <c r="F1453" s="99"/>
      <c r="G1453" s="100"/>
      <c r="H1453" s="100"/>
    </row>
    <row r="1454" customHeight="1" spans="2:8">
      <c r="B1454" s="98"/>
      <c r="C1454" s="98"/>
      <c r="D1454" s="98"/>
      <c r="E1454" s="98"/>
      <c r="F1454" s="99"/>
      <c r="G1454" s="100"/>
      <c r="H1454" s="100"/>
    </row>
    <row r="1455" customHeight="1" spans="2:8">
      <c r="B1455" s="98"/>
      <c r="C1455" s="98"/>
      <c r="D1455" s="98"/>
      <c r="E1455" s="98"/>
      <c r="F1455" s="99"/>
      <c r="G1455" s="100"/>
      <c r="H1455" s="100"/>
    </row>
    <row r="1456" customHeight="1" spans="2:8">
      <c r="B1456" s="98"/>
      <c r="C1456" s="98"/>
      <c r="D1456" s="98"/>
      <c r="E1456" s="98"/>
      <c r="F1456" s="99"/>
      <c r="G1456" s="100"/>
      <c r="H1456" s="100"/>
    </row>
    <row r="1457" customHeight="1" spans="2:8">
      <c r="B1457" s="98"/>
      <c r="C1457" s="98"/>
      <c r="D1457" s="98"/>
      <c r="E1457" s="98"/>
      <c r="F1457" s="99"/>
      <c r="G1457" s="100"/>
      <c r="H1457" s="100"/>
    </row>
    <row r="1458" customHeight="1" spans="2:8">
      <c r="B1458" s="98"/>
      <c r="C1458" s="98"/>
      <c r="D1458" s="98"/>
      <c r="E1458" s="98"/>
      <c r="F1458" s="99"/>
      <c r="G1458" s="100"/>
      <c r="H1458" s="100"/>
    </row>
    <row r="1459" customHeight="1" spans="2:8">
      <c r="B1459" s="98"/>
      <c r="C1459" s="98"/>
      <c r="D1459" s="98"/>
      <c r="E1459" s="98"/>
      <c r="F1459" s="99"/>
      <c r="G1459" s="100"/>
      <c r="H1459" s="100"/>
    </row>
    <row r="1460" customHeight="1" spans="2:8">
      <c r="B1460" s="98"/>
      <c r="C1460" s="98"/>
      <c r="D1460" s="98"/>
      <c r="E1460" s="98"/>
      <c r="F1460" s="99"/>
      <c r="G1460" s="100"/>
      <c r="H1460" s="100"/>
    </row>
    <row r="1461" customHeight="1" spans="2:8">
      <c r="B1461" s="98"/>
      <c r="C1461" s="98"/>
      <c r="D1461" s="98"/>
      <c r="E1461" s="98"/>
      <c r="F1461" s="99"/>
      <c r="G1461" s="100"/>
      <c r="H1461" s="100"/>
    </row>
    <row r="1462" customHeight="1" spans="2:8">
      <c r="B1462" s="98"/>
      <c r="C1462" s="98"/>
      <c r="D1462" s="98"/>
      <c r="E1462" s="98"/>
      <c r="F1462" s="99"/>
      <c r="G1462" s="100"/>
      <c r="H1462" s="100"/>
    </row>
    <row r="1463" customHeight="1" spans="2:8">
      <c r="B1463" s="98"/>
      <c r="C1463" s="98"/>
      <c r="D1463" s="98"/>
      <c r="E1463" s="98"/>
      <c r="F1463" s="99"/>
      <c r="G1463" s="100"/>
      <c r="H1463" s="100"/>
    </row>
    <row r="1464" customHeight="1" spans="2:8">
      <c r="B1464" s="98"/>
      <c r="C1464" s="98"/>
      <c r="D1464" s="98"/>
      <c r="E1464" s="98"/>
      <c r="F1464" s="99"/>
      <c r="G1464" s="100"/>
      <c r="H1464" s="100"/>
    </row>
    <row r="1465" customHeight="1" spans="2:8">
      <c r="B1465" s="98"/>
      <c r="C1465" s="98"/>
      <c r="D1465" s="98"/>
      <c r="E1465" s="98"/>
      <c r="F1465" s="99"/>
      <c r="G1465" s="100"/>
      <c r="H1465" s="100"/>
    </row>
    <row r="1466" customHeight="1" spans="2:8">
      <c r="B1466" s="98"/>
      <c r="C1466" s="98"/>
      <c r="D1466" s="98"/>
      <c r="E1466" s="98"/>
      <c r="F1466" s="99"/>
      <c r="G1466" s="100"/>
      <c r="H1466" s="100"/>
    </row>
    <row r="1467" customHeight="1" spans="2:8">
      <c r="B1467" s="98"/>
      <c r="C1467" s="98"/>
      <c r="D1467" s="98"/>
      <c r="E1467" s="98"/>
      <c r="F1467" s="99"/>
      <c r="G1467" s="100"/>
      <c r="H1467" s="100"/>
    </row>
    <row r="1468" customHeight="1" spans="2:8">
      <c r="B1468" s="98"/>
      <c r="C1468" s="98"/>
      <c r="D1468" s="98"/>
      <c r="E1468" s="98"/>
      <c r="F1468" s="99"/>
      <c r="G1468" s="100"/>
      <c r="H1468" s="100"/>
    </row>
    <row r="1469" customHeight="1" spans="2:8">
      <c r="B1469" s="98"/>
      <c r="C1469" s="98"/>
      <c r="D1469" s="98"/>
      <c r="E1469" s="98"/>
      <c r="F1469" s="99"/>
      <c r="G1469" s="100"/>
      <c r="H1469" s="100"/>
    </row>
    <row r="1470" customHeight="1" spans="2:8">
      <c r="B1470" s="98"/>
      <c r="C1470" s="98"/>
      <c r="D1470" s="98"/>
      <c r="E1470" s="98"/>
      <c r="F1470" s="99"/>
      <c r="G1470" s="100"/>
      <c r="H1470" s="100"/>
    </row>
    <row r="1471" customHeight="1" spans="2:8">
      <c r="B1471" s="98"/>
      <c r="C1471" s="98"/>
      <c r="D1471" s="98"/>
      <c r="E1471" s="98"/>
      <c r="F1471" s="99"/>
      <c r="G1471" s="100"/>
      <c r="H1471" s="100"/>
    </row>
    <row r="1472" customHeight="1" spans="2:8">
      <c r="B1472" s="98"/>
      <c r="C1472" s="98"/>
      <c r="D1472" s="98"/>
      <c r="E1472" s="98"/>
      <c r="F1472" s="99"/>
      <c r="G1472" s="100"/>
      <c r="H1472" s="100"/>
    </row>
    <row r="1473" customHeight="1" spans="2:8">
      <c r="B1473" s="98"/>
      <c r="C1473" s="98"/>
      <c r="D1473" s="98"/>
      <c r="E1473" s="98"/>
      <c r="F1473" s="99"/>
      <c r="G1473" s="100"/>
      <c r="H1473" s="100"/>
    </row>
    <row r="1474" customHeight="1" spans="2:8">
      <c r="B1474" s="98"/>
      <c r="C1474" s="98"/>
      <c r="D1474" s="98"/>
      <c r="E1474" s="98"/>
      <c r="F1474" s="99"/>
      <c r="G1474" s="100"/>
      <c r="H1474" s="100"/>
    </row>
    <row r="1475" customHeight="1" spans="2:8">
      <c r="B1475" s="98"/>
      <c r="C1475" s="98"/>
      <c r="D1475" s="98"/>
      <c r="E1475" s="98"/>
      <c r="F1475" s="99"/>
      <c r="G1475" s="100"/>
      <c r="H1475" s="100"/>
    </row>
    <row r="1476" customHeight="1" spans="2:8">
      <c r="B1476" s="98"/>
      <c r="C1476" s="98"/>
      <c r="D1476" s="98"/>
      <c r="E1476" s="98"/>
      <c r="F1476" s="99"/>
      <c r="G1476" s="100"/>
      <c r="H1476" s="100"/>
    </row>
    <row r="1477" customHeight="1" spans="2:8">
      <c r="B1477" s="98"/>
      <c r="C1477" s="98"/>
      <c r="D1477" s="98"/>
      <c r="E1477" s="98"/>
      <c r="F1477" s="99"/>
      <c r="G1477" s="100"/>
      <c r="H1477" s="100"/>
    </row>
    <row r="1478" customHeight="1" spans="2:8">
      <c r="B1478" s="98"/>
      <c r="C1478" s="98"/>
      <c r="D1478" s="98"/>
      <c r="E1478" s="98"/>
      <c r="F1478" s="99"/>
      <c r="G1478" s="100"/>
      <c r="H1478" s="100"/>
    </row>
    <row r="1479" customHeight="1" spans="2:8">
      <c r="B1479" s="98"/>
      <c r="C1479" s="98"/>
      <c r="D1479" s="98"/>
      <c r="E1479" s="98"/>
      <c r="F1479" s="99"/>
      <c r="G1479" s="100"/>
      <c r="H1479" s="100"/>
    </row>
    <row r="1480" customHeight="1" spans="2:8">
      <c r="B1480" s="98"/>
      <c r="C1480" s="98"/>
      <c r="D1480" s="98"/>
      <c r="E1480" s="98"/>
      <c r="F1480" s="99"/>
      <c r="G1480" s="100"/>
      <c r="H1480" s="100"/>
    </row>
    <row r="1481" customHeight="1" spans="2:8">
      <c r="B1481" s="98"/>
      <c r="C1481" s="98"/>
      <c r="D1481" s="98"/>
      <c r="E1481" s="98"/>
      <c r="F1481" s="99"/>
      <c r="G1481" s="100"/>
      <c r="H1481" s="100"/>
    </row>
    <row r="1482" customHeight="1" spans="2:8">
      <c r="B1482" s="98"/>
      <c r="C1482" s="98"/>
      <c r="D1482" s="98"/>
      <c r="E1482" s="98"/>
      <c r="F1482" s="99"/>
      <c r="G1482" s="100"/>
      <c r="H1482" s="100"/>
    </row>
    <row r="1483" customHeight="1" spans="2:8">
      <c r="B1483" s="98"/>
      <c r="C1483" s="98"/>
      <c r="D1483" s="98"/>
      <c r="E1483" s="98"/>
      <c r="F1483" s="99"/>
      <c r="G1483" s="100"/>
      <c r="H1483" s="100"/>
    </row>
    <row r="1484" customHeight="1" spans="2:8">
      <c r="B1484" s="98"/>
      <c r="C1484" s="98"/>
      <c r="D1484" s="98"/>
      <c r="E1484" s="98"/>
      <c r="F1484" s="99"/>
      <c r="G1484" s="100"/>
      <c r="H1484" s="100"/>
    </row>
    <row r="1485" customHeight="1" spans="2:8">
      <c r="B1485" s="98"/>
      <c r="C1485" s="98"/>
      <c r="D1485" s="98"/>
      <c r="E1485" s="98"/>
      <c r="F1485" s="99"/>
      <c r="G1485" s="100"/>
      <c r="H1485" s="100"/>
    </row>
    <row r="1486" customHeight="1" spans="2:8">
      <c r="B1486" s="98"/>
      <c r="C1486" s="98"/>
      <c r="D1486" s="98"/>
      <c r="E1486" s="98"/>
      <c r="F1486" s="99"/>
      <c r="G1486" s="100"/>
      <c r="H1486" s="100"/>
    </row>
    <row r="1487" customHeight="1" spans="2:8">
      <c r="B1487" s="98"/>
      <c r="C1487" s="98"/>
      <c r="D1487" s="98"/>
      <c r="E1487" s="98"/>
      <c r="F1487" s="99"/>
      <c r="G1487" s="100"/>
      <c r="H1487" s="100"/>
    </row>
    <row r="1488" customHeight="1" spans="2:8">
      <c r="B1488" s="98"/>
      <c r="C1488" s="98"/>
      <c r="D1488" s="98"/>
      <c r="E1488" s="98"/>
      <c r="F1488" s="99"/>
      <c r="G1488" s="100"/>
      <c r="H1488" s="100"/>
    </row>
    <row r="1489" customHeight="1" spans="2:8">
      <c r="B1489" s="98"/>
      <c r="C1489" s="98"/>
      <c r="D1489" s="98"/>
      <c r="E1489" s="98"/>
      <c r="F1489" s="99"/>
      <c r="G1489" s="100"/>
      <c r="H1489" s="100"/>
    </row>
    <row r="1490" customHeight="1" spans="2:8">
      <c r="B1490" s="98"/>
      <c r="C1490" s="98"/>
      <c r="D1490" s="98"/>
      <c r="E1490" s="98"/>
      <c r="F1490" s="99"/>
      <c r="G1490" s="100"/>
      <c r="H1490" s="100"/>
    </row>
    <row r="1491" customHeight="1" spans="2:8">
      <c r="B1491" s="98"/>
      <c r="C1491" s="98"/>
      <c r="D1491" s="98"/>
      <c r="E1491" s="98"/>
      <c r="F1491" s="99"/>
      <c r="G1491" s="100"/>
      <c r="H1491" s="100"/>
    </row>
    <row r="1492" customHeight="1" spans="2:8">
      <c r="B1492" s="98"/>
      <c r="C1492" s="98"/>
      <c r="D1492" s="98"/>
      <c r="E1492" s="98"/>
      <c r="F1492" s="99"/>
      <c r="G1492" s="100"/>
      <c r="H1492" s="100"/>
    </row>
    <row r="1493" customHeight="1" spans="2:8">
      <c r="B1493" s="98"/>
      <c r="C1493" s="98"/>
      <c r="D1493" s="98"/>
      <c r="E1493" s="98"/>
      <c r="F1493" s="99"/>
      <c r="G1493" s="100"/>
      <c r="H1493" s="100"/>
    </row>
    <row r="1494" customHeight="1" spans="2:8">
      <c r="B1494" s="98"/>
      <c r="C1494" s="98"/>
      <c r="D1494" s="98"/>
      <c r="E1494" s="98"/>
      <c r="F1494" s="99"/>
      <c r="G1494" s="100"/>
      <c r="H1494" s="100"/>
    </row>
    <row r="1495" customHeight="1" spans="2:8">
      <c r="B1495" s="98"/>
      <c r="C1495" s="98"/>
      <c r="D1495" s="98"/>
      <c r="E1495" s="98"/>
      <c r="F1495" s="99"/>
      <c r="G1495" s="100"/>
      <c r="H1495" s="100"/>
    </row>
    <row r="1496" customHeight="1" spans="2:8">
      <c r="B1496" s="98"/>
      <c r="C1496" s="98"/>
      <c r="D1496" s="98"/>
      <c r="E1496" s="98"/>
      <c r="F1496" s="99"/>
      <c r="G1496" s="100"/>
      <c r="H1496" s="100"/>
    </row>
    <row r="1497" customHeight="1" spans="2:8">
      <c r="B1497" s="98"/>
      <c r="C1497" s="98"/>
      <c r="D1497" s="98"/>
      <c r="E1497" s="98"/>
      <c r="F1497" s="99"/>
      <c r="G1497" s="100"/>
      <c r="H1497" s="100"/>
    </row>
    <row r="1498" customHeight="1" spans="2:8">
      <c r="B1498" s="98"/>
      <c r="C1498" s="98"/>
      <c r="D1498" s="98"/>
      <c r="E1498" s="98"/>
      <c r="F1498" s="99"/>
      <c r="G1498" s="100"/>
      <c r="H1498" s="100"/>
    </row>
    <row r="1499" customHeight="1" spans="2:8">
      <c r="B1499" s="98"/>
      <c r="C1499" s="98"/>
      <c r="D1499" s="98"/>
      <c r="E1499" s="98"/>
      <c r="F1499" s="99"/>
      <c r="G1499" s="100"/>
      <c r="H1499" s="100"/>
    </row>
    <row r="1500" customHeight="1" spans="2:8">
      <c r="B1500" s="98"/>
      <c r="C1500" s="98"/>
      <c r="D1500" s="98"/>
      <c r="E1500" s="98"/>
      <c r="F1500" s="99"/>
      <c r="G1500" s="100"/>
      <c r="H1500" s="100"/>
    </row>
    <row r="1501" customHeight="1" spans="2:8">
      <c r="B1501" s="98"/>
      <c r="C1501" s="98"/>
      <c r="D1501" s="98"/>
      <c r="E1501" s="98"/>
      <c r="F1501" s="99"/>
      <c r="G1501" s="100"/>
      <c r="H1501" s="100"/>
    </row>
    <row r="1502" customHeight="1" spans="2:8">
      <c r="B1502" s="98"/>
      <c r="C1502" s="98"/>
      <c r="D1502" s="98"/>
      <c r="E1502" s="98"/>
      <c r="F1502" s="99"/>
      <c r="G1502" s="100"/>
      <c r="H1502" s="100"/>
    </row>
    <row r="1503" customHeight="1" spans="2:8">
      <c r="B1503" s="98"/>
      <c r="C1503" s="98"/>
      <c r="D1503" s="98"/>
      <c r="E1503" s="98"/>
      <c r="F1503" s="99"/>
      <c r="G1503" s="100"/>
      <c r="H1503" s="100"/>
    </row>
    <row r="1504" customHeight="1" spans="2:8">
      <c r="B1504" s="98"/>
      <c r="C1504" s="98"/>
      <c r="D1504" s="98"/>
      <c r="E1504" s="98"/>
      <c r="F1504" s="99"/>
      <c r="G1504" s="100"/>
      <c r="H1504" s="100"/>
    </row>
    <row r="1505" customHeight="1" spans="2:8">
      <c r="B1505" s="98"/>
      <c r="C1505" s="98"/>
      <c r="D1505" s="98"/>
      <c r="E1505" s="98"/>
      <c r="F1505" s="99"/>
      <c r="G1505" s="100"/>
      <c r="H1505" s="100"/>
    </row>
    <row r="1506" customHeight="1" spans="2:8">
      <c r="B1506" s="98"/>
      <c r="C1506" s="98"/>
      <c r="D1506" s="98"/>
      <c r="E1506" s="98"/>
      <c r="F1506" s="99"/>
      <c r="G1506" s="100"/>
      <c r="H1506" s="100"/>
    </row>
    <row r="1507" customHeight="1" spans="2:8">
      <c r="B1507" s="98"/>
      <c r="C1507" s="98"/>
      <c r="D1507" s="98"/>
      <c r="E1507" s="98"/>
      <c r="F1507" s="99"/>
      <c r="G1507" s="100"/>
      <c r="H1507" s="100"/>
    </row>
    <row r="1508" customHeight="1" spans="2:8">
      <c r="B1508" s="98"/>
      <c r="C1508" s="98"/>
      <c r="D1508" s="98"/>
      <c r="E1508" s="98"/>
      <c r="F1508" s="99"/>
      <c r="G1508" s="100"/>
      <c r="H1508" s="100"/>
    </row>
    <row r="1509" customHeight="1" spans="2:8">
      <c r="B1509" s="98"/>
      <c r="C1509" s="98"/>
      <c r="D1509" s="98"/>
      <c r="E1509" s="98"/>
      <c r="F1509" s="99"/>
      <c r="G1509" s="100"/>
      <c r="H1509" s="100"/>
    </row>
    <row r="1510" customHeight="1" spans="2:8">
      <c r="B1510" s="98"/>
      <c r="C1510" s="98"/>
      <c r="D1510" s="98"/>
      <c r="E1510" s="98"/>
      <c r="F1510" s="99"/>
      <c r="G1510" s="100"/>
      <c r="H1510" s="100"/>
    </row>
    <row r="1511" customHeight="1" spans="2:8">
      <c r="B1511" s="98"/>
      <c r="C1511" s="98"/>
      <c r="D1511" s="98"/>
      <c r="E1511" s="98"/>
      <c r="F1511" s="99"/>
      <c r="G1511" s="100"/>
      <c r="H1511" s="100"/>
    </row>
    <row r="1512" customHeight="1" spans="2:8">
      <c r="B1512" s="98"/>
      <c r="C1512" s="98"/>
      <c r="D1512" s="98"/>
      <c r="E1512" s="98"/>
      <c r="F1512" s="99"/>
      <c r="G1512" s="100"/>
      <c r="H1512" s="100"/>
    </row>
    <row r="1513" customHeight="1" spans="2:8">
      <c r="B1513" s="98"/>
      <c r="C1513" s="98"/>
      <c r="D1513" s="98"/>
      <c r="E1513" s="98"/>
      <c r="F1513" s="99"/>
      <c r="G1513" s="100"/>
      <c r="H1513" s="100"/>
    </row>
    <row r="1514" customHeight="1" spans="2:8">
      <c r="B1514" s="98"/>
      <c r="C1514" s="98"/>
      <c r="D1514" s="98"/>
      <c r="E1514" s="98"/>
      <c r="F1514" s="99"/>
      <c r="G1514" s="100"/>
      <c r="H1514" s="100"/>
    </row>
    <row r="1515" customHeight="1" spans="2:8">
      <c r="B1515" s="98"/>
      <c r="C1515" s="98"/>
      <c r="D1515" s="98"/>
      <c r="E1515" s="98"/>
      <c r="F1515" s="99"/>
      <c r="G1515" s="100"/>
      <c r="H1515" s="100"/>
    </row>
    <row r="1516" customHeight="1" spans="2:8">
      <c r="B1516" s="98"/>
      <c r="C1516" s="98"/>
      <c r="D1516" s="98"/>
      <c r="E1516" s="98"/>
      <c r="F1516" s="99"/>
      <c r="G1516" s="100"/>
      <c r="H1516" s="100"/>
    </row>
    <row r="1517" customHeight="1" spans="2:8">
      <c r="B1517" s="98"/>
      <c r="C1517" s="98"/>
      <c r="D1517" s="98"/>
      <c r="E1517" s="98"/>
      <c r="F1517" s="99"/>
      <c r="G1517" s="100"/>
      <c r="H1517" s="100"/>
    </row>
    <row r="1518" customHeight="1" spans="2:8">
      <c r="B1518" s="98"/>
      <c r="C1518" s="98"/>
      <c r="D1518" s="98"/>
      <c r="E1518" s="98"/>
      <c r="F1518" s="99"/>
      <c r="G1518" s="100"/>
      <c r="H1518" s="100"/>
    </row>
    <row r="1519" customHeight="1" spans="2:8">
      <c r="B1519" s="98"/>
      <c r="C1519" s="98"/>
      <c r="D1519" s="98"/>
      <c r="E1519" s="98"/>
      <c r="F1519" s="99"/>
      <c r="G1519" s="100"/>
      <c r="H1519" s="100"/>
    </row>
    <row r="1520" customHeight="1" spans="2:8">
      <c r="B1520" s="98"/>
      <c r="C1520" s="98"/>
      <c r="D1520" s="98"/>
      <c r="E1520" s="98"/>
      <c r="F1520" s="99"/>
      <c r="G1520" s="100"/>
      <c r="H1520" s="100"/>
    </row>
    <row r="1521" customHeight="1" spans="2:8">
      <c r="B1521" s="98"/>
      <c r="C1521" s="98"/>
      <c r="D1521" s="98"/>
      <c r="E1521" s="98"/>
      <c r="F1521" s="99"/>
      <c r="G1521" s="100"/>
      <c r="H1521" s="100"/>
    </row>
    <row r="1522" customHeight="1" spans="2:8">
      <c r="B1522" s="98"/>
      <c r="C1522" s="98"/>
      <c r="D1522" s="98"/>
      <c r="E1522" s="98"/>
      <c r="F1522" s="99"/>
      <c r="G1522" s="100"/>
      <c r="H1522" s="100"/>
    </row>
    <row r="1523" customHeight="1" spans="2:8">
      <c r="B1523" s="98"/>
      <c r="C1523" s="98"/>
      <c r="D1523" s="98"/>
      <c r="E1523" s="98"/>
      <c r="F1523" s="99"/>
      <c r="G1523" s="100"/>
      <c r="H1523" s="100"/>
    </row>
    <row r="1524" customHeight="1" spans="2:8">
      <c r="B1524" s="98"/>
      <c r="C1524" s="98"/>
      <c r="D1524" s="98"/>
      <c r="E1524" s="98"/>
      <c r="F1524" s="99"/>
      <c r="G1524" s="100"/>
      <c r="H1524" s="100"/>
    </row>
    <row r="1525" customHeight="1" spans="2:8">
      <c r="B1525" s="98"/>
      <c r="C1525" s="98"/>
      <c r="D1525" s="98"/>
      <c r="E1525" s="98"/>
      <c r="F1525" s="99"/>
      <c r="G1525" s="100"/>
      <c r="H1525" s="100"/>
    </row>
    <row r="1526" customHeight="1" spans="2:8">
      <c r="B1526" s="98"/>
      <c r="C1526" s="98"/>
      <c r="D1526" s="98"/>
      <c r="E1526" s="98"/>
      <c r="F1526" s="99"/>
      <c r="G1526" s="100"/>
      <c r="H1526" s="100"/>
    </row>
    <row r="1527" customHeight="1" spans="2:8">
      <c r="B1527" s="98"/>
      <c r="C1527" s="98"/>
      <c r="D1527" s="98"/>
      <c r="E1527" s="98"/>
      <c r="F1527" s="99"/>
      <c r="G1527" s="100"/>
      <c r="H1527" s="100"/>
    </row>
    <row r="1528" customHeight="1" spans="2:8">
      <c r="B1528" s="98"/>
      <c r="C1528" s="98"/>
      <c r="D1528" s="98"/>
      <c r="E1528" s="98"/>
      <c r="F1528" s="99"/>
      <c r="G1528" s="100"/>
      <c r="H1528" s="100"/>
    </row>
    <row r="1529" customHeight="1" spans="2:8">
      <c r="B1529" s="98"/>
      <c r="C1529" s="98"/>
      <c r="D1529" s="98"/>
      <c r="E1529" s="98"/>
      <c r="F1529" s="99"/>
      <c r="G1529" s="100"/>
      <c r="H1529" s="100"/>
    </row>
    <row r="1530" customHeight="1" spans="2:8">
      <c r="B1530" s="98"/>
      <c r="C1530" s="98"/>
      <c r="D1530" s="98"/>
      <c r="E1530" s="98"/>
      <c r="F1530" s="99"/>
      <c r="G1530" s="100"/>
      <c r="H1530" s="100"/>
    </row>
    <row r="1531" customHeight="1" spans="2:8">
      <c r="B1531" s="98"/>
      <c r="C1531" s="98"/>
      <c r="D1531" s="98"/>
      <c r="E1531" s="98"/>
      <c r="F1531" s="99"/>
      <c r="G1531" s="100"/>
      <c r="H1531" s="100"/>
    </row>
    <row r="1532" customHeight="1" spans="2:8">
      <c r="B1532" s="98"/>
      <c r="C1532" s="98"/>
      <c r="D1532" s="98"/>
      <c r="E1532" s="98"/>
      <c r="F1532" s="99"/>
      <c r="G1532" s="100"/>
      <c r="H1532" s="100"/>
    </row>
    <row r="1533" customHeight="1" spans="2:8">
      <c r="B1533" s="98"/>
      <c r="C1533" s="98"/>
      <c r="D1533" s="98"/>
      <c r="E1533" s="98"/>
      <c r="F1533" s="99"/>
      <c r="G1533" s="100"/>
      <c r="H1533" s="100"/>
    </row>
    <row r="1534" customHeight="1" spans="2:8">
      <c r="B1534" s="98"/>
      <c r="C1534" s="98"/>
      <c r="D1534" s="98"/>
      <c r="E1534" s="98"/>
      <c r="F1534" s="99"/>
      <c r="G1534" s="100"/>
      <c r="H1534" s="100"/>
    </row>
    <row r="1535" customHeight="1" spans="2:8">
      <c r="B1535" s="98"/>
      <c r="C1535" s="98"/>
      <c r="D1535" s="98"/>
      <c r="E1535" s="98"/>
      <c r="F1535" s="99"/>
      <c r="G1535" s="100"/>
      <c r="H1535" s="100"/>
    </row>
    <row r="1536" customHeight="1" spans="2:8">
      <c r="B1536" s="98"/>
      <c r="C1536" s="98"/>
      <c r="D1536" s="98"/>
      <c r="E1536" s="98"/>
      <c r="F1536" s="99"/>
      <c r="G1536" s="100"/>
      <c r="H1536" s="100"/>
    </row>
    <row r="1537" customHeight="1" spans="2:8">
      <c r="B1537" s="98"/>
      <c r="C1537" s="98"/>
      <c r="D1537" s="98"/>
      <c r="E1537" s="98"/>
      <c r="F1537" s="99"/>
      <c r="G1537" s="100"/>
      <c r="H1537" s="100"/>
    </row>
    <row r="1538" customHeight="1" spans="2:8">
      <c r="B1538" s="98"/>
      <c r="C1538" s="98"/>
      <c r="D1538" s="98"/>
      <c r="E1538" s="98"/>
      <c r="F1538" s="99"/>
      <c r="G1538" s="100"/>
      <c r="H1538" s="100"/>
    </row>
    <row r="1539" customHeight="1" spans="2:8">
      <c r="B1539" s="98"/>
      <c r="C1539" s="98"/>
      <c r="D1539" s="98"/>
      <c r="E1539" s="98"/>
      <c r="F1539" s="99"/>
      <c r="G1539" s="100"/>
      <c r="H1539" s="100"/>
    </row>
    <row r="1540" customHeight="1" spans="2:8">
      <c r="B1540" s="98"/>
      <c r="C1540" s="98"/>
      <c r="D1540" s="98"/>
      <c r="E1540" s="98"/>
      <c r="F1540" s="99"/>
      <c r="G1540" s="100"/>
      <c r="H1540" s="100"/>
    </row>
    <row r="1541" customHeight="1" spans="2:8">
      <c r="B1541" s="98"/>
      <c r="C1541" s="98"/>
      <c r="D1541" s="98"/>
      <c r="E1541" s="98"/>
      <c r="F1541" s="99"/>
      <c r="G1541" s="100"/>
      <c r="H1541" s="100"/>
    </row>
    <row r="1542" customHeight="1" spans="2:8">
      <c r="B1542" s="98"/>
      <c r="C1542" s="98"/>
      <c r="D1542" s="98"/>
      <c r="E1542" s="98"/>
      <c r="F1542" s="99"/>
      <c r="G1542" s="100"/>
      <c r="H1542" s="100"/>
    </row>
    <row r="1543" customHeight="1" spans="2:8">
      <c r="B1543" s="98"/>
      <c r="C1543" s="98"/>
      <c r="D1543" s="98"/>
      <c r="E1543" s="98"/>
      <c r="F1543" s="99"/>
      <c r="G1543" s="100"/>
      <c r="H1543" s="100"/>
    </row>
    <row r="1544" customHeight="1" spans="2:8">
      <c r="B1544" s="98"/>
      <c r="C1544" s="98"/>
      <c r="D1544" s="98"/>
      <c r="E1544" s="98"/>
      <c r="F1544" s="99"/>
      <c r="G1544" s="100"/>
      <c r="H1544" s="100"/>
    </row>
    <row r="1545" customHeight="1" spans="2:8">
      <c r="B1545" s="98"/>
      <c r="C1545" s="98"/>
      <c r="D1545" s="98"/>
      <c r="E1545" s="98"/>
      <c r="F1545" s="99"/>
      <c r="G1545" s="100"/>
      <c r="H1545" s="100"/>
    </row>
    <row r="1546" customHeight="1" spans="2:8">
      <c r="B1546" s="98"/>
      <c r="C1546" s="98"/>
      <c r="D1546" s="98"/>
      <c r="E1546" s="98"/>
      <c r="F1546" s="99"/>
      <c r="G1546" s="100"/>
      <c r="H1546" s="100"/>
    </row>
    <row r="1547" customHeight="1" spans="2:8">
      <c r="B1547" s="98"/>
      <c r="C1547" s="98"/>
      <c r="D1547" s="98"/>
      <c r="E1547" s="98"/>
      <c r="F1547" s="99"/>
      <c r="G1547" s="100"/>
      <c r="H1547" s="100"/>
    </row>
    <row r="1548" customHeight="1" spans="2:8">
      <c r="B1548" s="98"/>
      <c r="C1548" s="98"/>
      <c r="D1548" s="98"/>
      <c r="E1548" s="98"/>
      <c r="F1548" s="99"/>
      <c r="G1548" s="100"/>
      <c r="H1548" s="100"/>
    </row>
    <row r="1549" customHeight="1" spans="2:8">
      <c r="B1549" s="98"/>
      <c r="C1549" s="98"/>
      <c r="D1549" s="98"/>
      <c r="E1549" s="98"/>
      <c r="F1549" s="99"/>
      <c r="G1549" s="100"/>
      <c r="H1549" s="100"/>
    </row>
    <row r="1550" customHeight="1" spans="2:8">
      <c r="B1550" s="98"/>
      <c r="C1550" s="98"/>
      <c r="D1550" s="98"/>
      <c r="E1550" s="98"/>
      <c r="F1550" s="99"/>
      <c r="G1550" s="100"/>
      <c r="H1550" s="100"/>
    </row>
    <row r="1551" customHeight="1" spans="2:8">
      <c r="B1551" s="98"/>
      <c r="C1551" s="98"/>
      <c r="D1551" s="98"/>
      <c r="E1551" s="98"/>
      <c r="F1551" s="99"/>
      <c r="G1551" s="100"/>
      <c r="H1551" s="100"/>
    </row>
    <row r="1552" customHeight="1" spans="2:8">
      <c r="B1552" s="98"/>
      <c r="C1552" s="98"/>
      <c r="D1552" s="98"/>
      <c r="E1552" s="98"/>
      <c r="F1552" s="99"/>
      <c r="G1552" s="100"/>
      <c r="H1552" s="100"/>
    </row>
    <row r="1553" customHeight="1" spans="2:8">
      <c r="B1553" s="98"/>
      <c r="C1553" s="98"/>
      <c r="D1553" s="98"/>
      <c r="E1553" s="98"/>
      <c r="F1553" s="99"/>
      <c r="G1553" s="100"/>
      <c r="H1553" s="100"/>
    </row>
    <row r="1554" customHeight="1" spans="2:8">
      <c r="B1554" s="98"/>
      <c r="C1554" s="98"/>
      <c r="D1554" s="98"/>
      <c r="E1554" s="98"/>
      <c r="F1554" s="99"/>
      <c r="G1554" s="100"/>
      <c r="H1554" s="100"/>
    </row>
    <row r="1555" customHeight="1" spans="2:8">
      <c r="B1555" s="98"/>
      <c r="C1555" s="98"/>
      <c r="D1555" s="98"/>
      <c r="E1555" s="98"/>
      <c r="F1555" s="99"/>
      <c r="G1555" s="100"/>
      <c r="H1555" s="100"/>
    </row>
    <row r="1556" customHeight="1" spans="2:8">
      <c r="B1556" s="98"/>
      <c r="C1556" s="98"/>
      <c r="D1556" s="98"/>
      <c r="E1556" s="98"/>
      <c r="F1556" s="99"/>
      <c r="G1556" s="100"/>
      <c r="H1556" s="100"/>
    </row>
    <row r="1557" customHeight="1" spans="2:8">
      <c r="B1557" s="98"/>
      <c r="C1557" s="98"/>
      <c r="D1557" s="98"/>
      <c r="E1557" s="98"/>
      <c r="F1557" s="99"/>
      <c r="G1557" s="100"/>
      <c r="H1557" s="100"/>
    </row>
    <row r="1558" customHeight="1" spans="2:8">
      <c r="B1558" s="98"/>
      <c r="C1558" s="98"/>
      <c r="D1558" s="98"/>
      <c r="E1558" s="98"/>
      <c r="F1558" s="99"/>
      <c r="G1558" s="100"/>
      <c r="H1558" s="100"/>
    </row>
    <row r="1559" customHeight="1" spans="2:8">
      <c r="B1559" s="98"/>
      <c r="C1559" s="98"/>
      <c r="D1559" s="98"/>
      <c r="E1559" s="98"/>
      <c r="F1559" s="99"/>
      <c r="G1559" s="100"/>
      <c r="H1559" s="100"/>
    </row>
    <row r="1560" customHeight="1" spans="2:8">
      <c r="B1560" s="98"/>
      <c r="C1560" s="98"/>
      <c r="D1560" s="98"/>
      <c r="E1560" s="98"/>
      <c r="F1560" s="99"/>
      <c r="G1560" s="100"/>
      <c r="H1560" s="100"/>
    </row>
    <row r="1561" customHeight="1" spans="2:8">
      <c r="B1561" s="98"/>
      <c r="C1561" s="98"/>
      <c r="D1561" s="98"/>
      <c r="E1561" s="98"/>
      <c r="F1561" s="99"/>
      <c r="G1561" s="100"/>
      <c r="H1561" s="100"/>
    </row>
    <row r="1562" customHeight="1" spans="2:8">
      <c r="B1562" s="98"/>
      <c r="C1562" s="98"/>
      <c r="D1562" s="98"/>
      <c r="E1562" s="98"/>
      <c r="F1562" s="99"/>
      <c r="G1562" s="100"/>
      <c r="H1562" s="100"/>
    </row>
    <row r="1563" customHeight="1" spans="2:8">
      <c r="B1563" s="98"/>
      <c r="C1563" s="98"/>
      <c r="D1563" s="98"/>
      <c r="E1563" s="98"/>
      <c r="F1563" s="99"/>
      <c r="G1563" s="100"/>
      <c r="H1563" s="100"/>
    </row>
    <row r="1564" customHeight="1" spans="2:8">
      <c r="B1564" s="98"/>
      <c r="C1564" s="98"/>
      <c r="D1564" s="98"/>
      <c r="E1564" s="98"/>
      <c r="F1564" s="99"/>
      <c r="G1564" s="100"/>
      <c r="H1564" s="100"/>
    </row>
    <row r="1565" customHeight="1" spans="2:8">
      <c r="B1565" s="98"/>
      <c r="C1565" s="98"/>
      <c r="D1565" s="98"/>
      <c r="E1565" s="98"/>
      <c r="F1565" s="99"/>
      <c r="G1565" s="100"/>
      <c r="H1565" s="100"/>
    </row>
    <row r="1566" customHeight="1" spans="2:8">
      <c r="B1566" s="98"/>
      <c r="C1566" s="98"/>
      <c r="D1566" s="98"/>
      <c r="E1566" s="98"/>
      <c r="F1566" s="99"/>
      <c r="G1566" s="100"/>
      <c r="H1566" s="100"/>
    </row>
    <row r="1567" customHeight="1" spans="2:8">
      <c r="B1567" s="98"/>
      <c r="C1567" s="98"/>
      <c r="D1567" s="98"/>
      <c r="E1567" s="98"/>
      <c r="F1567" s="99"/>
      <c r="G1567" s="100"/>
      <c r="H1567" s="100"/>
    </row>
    <row r="1568" customHeight="1" spans="2:8">
      <c r="B1568" s="98"/>
      <c r="C1568" s="98"/>
      <c r="D1568" s="98"/>
      <c r="E1568" s="98"/>
      <c r="F1568" s="99"/>
      <c r="G1568" s="100"/>
      <c r="H1568" s="100"/>
    </row>
    <row r="1569" customHeight="1" spans="2:8">
      <c r="B1569" s="98"/>
      <c r="C1569" s="98"/>
      <c r="D1569" s="98"/>
      <c r="E1569" s="98"/>
      <c r="F1569" s="99"/>
      <c r="G1569" s="100"/>
      <c r="H1569" s="100"/>
    </row>
    <row r="1570" customHeight="1" spans="2:8">
      <c r="B1570" s="98"/>
      <c r="C1570" s="98"/>
      <c r="D1570" s="98"/>
      <c r="E1570" s="98"/>
      <c r="F1570" s="99"/>
      <c r="G1570" s="100"/>
      <c r="H1570" s="100"/>
    </row>
    <row r="1571" customHeight="1" spans="2:8">
      <c r="B1571" s="98"/>
      <c r="C1571" s="98"/>
      <c r="D1571" s="98"/>
      <c r="E1571" s="98"/>
      <c r="F1571" s="99"/>
      <c r="G1571" s="100"/>
      <c r="H1571" s="100"/>
    </row>
    <row r="1572" customHeight="1" spans="2:8">
      <c r="B1572" s="98"/>
      <c r="C1572" s="98"/>
      <c r="D1572" s="98"/>
      <c r="E1572" s="98"/>
      <c r="F1572" s="99"/>
      <c r="G1572" s="100"/>
      <c r="H1572" s="100"/>
    </row>
    <row r="1573" customHeight="1" spans="2:8">
      <c r="B1573" s="98"/>
      <c r="C1573" s="98"/>
      <c r="D1573" s="98"/>
      <c r="E1573" s="98"/>
      <c r="F1573" s="99"/>
      <c r="G1573" s="100"/>
      <c r="H1573" s="100"/>
    </row>
    <row r="1574" customHeight="1" spans="2:8">
      <c r="B1574" s="98"/>
      <c r="C1574" s="98"/>
      <c r="D1574" s="98"/>
      <c r="E1574" s="98"/>
      <c r="F1574" s="99"/>
      <c r="G1574" s="100"/>
      <c r="H1574" s="100"/>
    </row>
    <row r="1575" customHeight="1" spans="2:8">
      <c r="B1575" s="98"/>
      <c r="C1575" s="98"/>
      <c r="D1575" s="98"/>
      <c r="E1575" s="98"/>
      <c r="F1575" s="99"/>
      <c r="G1575" s="100"/>
      <c r="H1575" s="100"/>
    </row>
    <row r="1576" customHeight="1" spans="2:8">
      <c r="B1576" s="98"/>
      <c r="C1576" s="98"/>
      <c r="D1576" s="98"/>
      <c r="E1576" s="98"/>
      <c r="F1576" s="99"/>
      <c r="G1576" s="100"/>
      <c r="H1576" s="100"/>
    </row>
    <row r="1577" customHeight="1" spans="2:8">
      <c r="B1577" s="98"/>
      <c r="C1577" s="98"/>
      <c r="D1577" s="98"/>
      <c r="E1577" s="98"/>
      <c r="F1577" s="99"/>
      <c r="G1577" s="100"/>
      <c r="H1577" s="100"/>
    </row>
    <row r="1578" customHeight="1" spans="2:8">
      <c r="B1578" s="98"/>
      <c r="C1578" s="98"/>
      <c r="D1578" s="98"/>
      <c r="E1578" s="98"/>
      <c r="F1578" s="99"/>
      <c r="G1578" s="100"/>
      <c r="H1578" s="100"/>
    </row>
    <row r="1579" customHeight="1" spans="2:8">
      <c r="B1579" s="98"/>
      <c r="C1579" s="98"/>
      <c r="D1579" s="98"/>
      <c r="E1579" s="98"/>
      <c r="F1579" s="99"/>
      <c r="G1579" s="100"/>
      <c r="H1579" s="100"/>
    </row>
    <row r="1580" customHeight="1" spans="2:8">
      <c r="B1580" s="98"/>
      <c r="C1580" s="98"/>
      <c r="D1580" s="98"/>
      <c r="E1580" s="98"/>
      <c r="F1580" s="99"/>
      <c r="G1580" s="100"/>
      <c r="H1580" s="100"/>
    </row>
    <row r="1581" customHeight="1" spans="2:8">
      <c r="B1581" s="98"/>
      <c r="C1581" s="98"/>
      <c r="D1581" s="98"/>
      <c r="E1581" s="98"/>
      <c r="F1581" s="99"/>
      <c r="G1581" s="100"/>
      <c r="H1581" s="100"/>
    </row>
    <row r="1582" customHeight="1" spans="2:8">
      <c r="B1582" s="98"/>
      <c r="C1582" s="98"/>
      <c r="D1582" s="98"/>
      <c r="E1582" s="98"/>
      <c r="F1582" s="99"/>
      <c r="G1582" s="100"/>
      <c r="H1582" s="100"/>
    </row>
    <row r="1583" customHeight="1" spans="2:8">
      <c r="B1583" s="98"/>
      <c r="C1583" s="98"/>
      <c r="D1583" s="98"/>
      <c r="E1583" s="98"/>
      <c r="F1583" s="99"/>
      <c r="G1583" s="100"/>
      <c r="H1583" s="100"/>
    </row>
    <row r="1584" customHeight="1" spans="2:8">
      <c r="B1584" s="98"/>
      <c r="C1584" s="98"/>
      <c r="D1584" s="98"/>
      <c r="E1584" s="98"/>
      <c r="F1584" s="99"/>
      <c r="G1584" s="100"/>
      <c r="H1584" s="100"/>
    </row>
    <row r="1585" customHeight="1" spans="2:8">
      <c r="B1585" s="98"/>
      <c r="C1585" s="98"/>
      <c r="D1585" s="98"/>
      <c r="E1585" s="98"/>
      <c r="F1585" s="99"/>
      <c r="G1585" s="100"/>
      <c r="H1585" s="100"/>
    </row>
    <row r="1586" customHeight="1" spans="2:8">
      <c r="B1586" s="98"/>
      <c r="C1586" s="98"/>
      <c r="D1586" s="98"/>
      <c r="E1586" s="98"/>
      <c r="F1586" s="99"/>
      <c r="G1586" s="100"/>
      <c r="H1586" s="100"/>
    </row>
    <row r="1587" customHeight="1" spans="2:8">
      <c r="B1587" s="98"/>
      <c r="C1587" s="98"/>
      <c r="D1587" s="98"/>
      <c r="E1587" s="98"/>
      <c r="F1587" s="99"/>
      <c r="G1587" s="100"/>
      <c r="H1587" s="100"/>
    </row>
    <row r="1588" customHeight="1" spans="2:8">
      <c r="B1588" s="98"/>
      <c r="C1588" s="98"/>
      <c r="D1588" s="98"/>
      <c r="E1588" s="98"/>
      <c r="F1588" s="99"/>
      <c r="G1588" s="100"/>
      <c r="H1588" s="100"/>
    </row>
    <row r="1589" customHeight="1" spans="2:8">
      <c r="B1589" s="98"/>
      <c r="C1589" s="98"/>
      <c r="D1589" s="98"/>
      <c r="E1589" s="98"/>
      <c r="F1589" s="99"/>
      <c r="G1589" s="100"/>
      <c r="H1589" s="100"/>
    </row>
    <row r="1590" customHeight="1" spans="2:8">
      <c r="B1590" s="98"/>
      <c r="C1590" s="98"/>
      <c r="D1590" s="98"/>
      <c r="E1590" s="98"/>
      <c r="F1590" s="99"/>
      <c r="G1590" s="100"/>
      <c r="H1590" s="100"/>
    </row>
    <row r="1591" customHeight="1" spans="2:8">
      <c r="B1591" s="98"/>
      <c r="C1591" s="98"/>
      <c r="D1591" s="98"/>
      <c r="E1591" s="98"/>
      <c r="F1591" s="99"/>
      <c r="G1591" s="100"/>
      <c r="H1591" s="100"/>
    </row>
    <row r="1592" customHeight="1" spans="2:8">
      <c r="B1592" s="98"/>
      <c r="C1592" s="98"/>
      <c r="D1592" s="98"/>
      <c r="E1592" s="98"/>
      <c r="F1592" s="99"/>
      <c r="G1592" s="100"/>
      <c r="H1592" s="100"/>
    </row>
    <row r="1593" customHeight="1" spans="2:8">
      <c r="B1593" s="98"/>
      <c r="C1593" s="98"/>
      <c r="D1593" s="98"/>
      <c r="E1593" s="98"/>
      <c r="F1593" s="99"/>
      <c r="G1593" s="100"/>
      <c r="H1593" s="100"/>
    </row>
    <row r="1594" customHeight="1" spans="2:8">
      <c r="B1594" s="98"/>
      <c r="C1594" s="98"/>
      <c r="D1594" s="98"/>
      <c r="E1594" s="98"/>
      <c r="F1594" s="99"/>
      <c r="G1594" s="100"/>
      <c r="H1594" s="100"/>
    </row>
    <row r="1595" customHeight="1" spans="2:8">
      <c r="B1595" s="98"/>
      <c r="C1595" s="98"/>
      <c r="D1595" s="98"/>
      <c r="E1595" s="98"/>
      <c r="F1595" s="99"/>
      <c r="G1595" s="100"/>
      <c r="H1595" s="100"/>
    </row>
    <row r="1596" customHeight="1" spans="2:8">
      <c r="B1596" s="98"/>
      <c r="C1596" s="98"/>
      <c r="D1596" s="98"/>
      <c r="E1596" s="98"/>
      <c r="F1596" s="99"/>
      <c r="G1596" s="100"/>
      <c r="H1596" s="100"/>
    </row>
    <row r="1597" customHeight="1" spans="2:8">
      <c r="B1597" s="98"/>
      <c r="C1597" s="98"/>
      <c r="D1597" s="98"/>
      <c r="E1597" s="98"/>
      <c r="F1597" s="99"/>
      <c r="G1597" s="100"/>
      <c r="H1597" s="100"/>
    </row>
    <row r="1598" customHeight="1" spans="2:8">
      <c r="B1598" s="98"/>
      <c r="C1598" s="98"/>
      <c r="D1598" s="98"/>
      <c r="E1598" s="98"/>
      <c r="F1598" s="99"/>
      <c r="G1598" s="100"/>
      <c r="H1598" s="100"/>
    </row>
    <row r="1599" customHeight="1" spans="2:8">
      <c r="B1599" s="98"/>
      <c r="C1599" s="98"/>
      <c r="D1599" s="98"/>
      <c r="E1599" s="98"/>
      <c r="F1599" s="99"/>
      <c r="G1599" s="100"/>
      <c r="H1599" s="100"/>
    </row>
    <row r="1600" customHeight="1" spans="2:8">
      <c r="B1600" s="98"/>
      <c r="C1600" s="98"/>
      <c r="D1600" s="98"/>
      <c r="E1600" s="98"/>
      <c r="F1600" s="99"/>
      <c r="G1600" s="100"/>
      <c r="H1600" s="100"/>
    </row>
    <row r="1601" customHeight="1" spans="2:8">
      <c r="B1601" s="98"/>
      <c r="C1601" s="98"/>
      <c r="D1601" s="98"/>
      <c r="E1601" s="98"/>
      <c r="F1601" s="99"/>
      <c r="G1601" s="100"/>
      <c r="H1601" s="100"/>
    </row>
    <row r="1602" customHeight="1" spans="2:8">
      <c r="B1602" s="98"/>
      <c r="C1602" s="98"/>
      <c r="D1602" s="98"/>
      <c r="E1602" s="98"/>
      <c r="F1602" s="99"/>
      <c r="G1602" s="100"/>
      <c r="H1602" s="100"/>
    </row>
    <row r="1603" customHeight="1" spans="2:8">
      <c r="B1603" s="98"/>
      <c r="C1603" s="98"/>
      <c r="D1603" s="98"/>
      <c r="E1603" s="98"/>
      <c r="F1603" s="99"/>
      <c r="G1603" s="100"/>
      <c r="H1603" s="100"/>
    </row>
    <row r="1604" customHeight="1" spans="2:8">
      <c r="B1604" s="98"/>
      <c r="C1604" s="98"/>
      <c r="D1604" s="98"/>
      <c r="E1604" s="98"/>
      <c r="F1604" s="99"/>
      <c r="G1604" s="100"/>
      <c r="H1604" s="100"/>
    </row>
    <row r="1605" customHeight="1" spans="2:8">
      <c r="B1605" s="98"/>
      <c r="C1605" s="98"/>
      <c r="D1605" s="98"/>
      <c r="E1605" s="98"/>
      <c r="F1605" s="99"/>
      <c r="G1605" s="100"/>
      <c r="H1605" s="100"/>
    </row>
    <row r="1606" customHeight="1" spans="2:8">
      <c r="B1606" s="98"/>
      <c r="C1606" s="98"/>
      <c r="D1606" s="98"/>
      <c r="E1606" s="98"/>
      <c r="F1606" s="99"/>
      <c r="G1606" s="100"/>
      <c r="H1606" s="100"/>
    </row>
    <row r="1607" customHeight="1" spans="2:8">
      <c r="B1607" s="98"/>
      <c r="C1607" s="98"/>
      <c r="D1607" s="98"/>
      <c r="E1607" s="98"/>
      <c r="F1607" s="99"/>
      <c r="G1607" s="100"/>
      <c r="H1607" s="100"/>
    </row>
    <row r="1608" customHeight="1" spans="2:8">
      <c r="B1608" s="98"/>
      <c r="C1608" s="98"/>
      <c r="D1608" s="98"/>
      <c r="E1608" s="98"/>
      <c r="F1608" s="99"/>
      <c r="G1608" s="100"/>
      <c r="H1608" s="100"/>
    </row>
    <row r="1609" customHeight="1" spans="2:8">
      <c r="B1609" s="98"/>
      <c r="C1609" s="98"/>
      <c r="D1609" s="98"/>
      <c r="E1609" s="98"/>
      <c r="F1609" s="99"/>
      <c r="G1609" s="100"/>
      <c r="H1609" s="100"/>
    </row>
    <row r="1610" customHeight="1" spans="2:8">
      <c r="B1610" s="98"/>
      <c r="C1610" s="98"/>
      <c r="D1610" s="98"/>
      <c r="E1610" s="98"/>
      <c r="F1610" s="99"/>
      <c r="G1610" s="100"/>
      <c r="H1610" s="100"/>
    </row>
    <row r="1611" customHeight="1" spans="2:8">
      <c r="B1611" s="98"/>
      <c r="C1611" s="98"/>
      <c r="D1611" s="98"/>
      <c r="E1611" s="98"/>
      <c r="F1611" s="99"/>
      <c r="G1611" s="100"/>
      <c r="H1611" s="100"/>
    </row>
    <row r="1612" customHeight="1" spans="2:8">
      <c r="B1612" s="98"/>
      <c r="C1612" s="98"/>
      <c r="D1612" s="98"/>
      <c r="E1612" s="98"/>
      <c r="F1612" s="99"/>
      <c r="G1612" s="100"/>
      <c r="H1612" s="100"/>
    </row>
    <row r="1613" customHeight="1" spans="2:8">
      <c r="B1613" s="98"/>
      <c r="C1613" s="98"/>
      <c r="D1613" s="98"/>
      <c r="E1613" s="98"/>
      <c r="F1613" s="99"/>
      <c r="G1613" s="100"/>
      <c r="H1613" s="100"/>
    </row>
    <row r="1614" customHeight="1" spans="2:8">
      <c r="B1614" s="98"/>
      <c r="C1614" s="98"/>
      <c r="D1614" s="98"/>
      <c r="E1614" s="98"/>
      <c r="F1614" s="99"/>
      <c r="G1614" s="100"/>
      <c r="H1614" s="100"/>
    </row>
    <row r="1615" customHeight="1" spans="2:8">
      <c r="B1615" s="98"/>
      <c r="C1615" s="98"/>
      <c r="D1615" s="98"/>
      <c r="E1615" s="98"/>
      <c r="F1615" s="99"/>
      <c r="G1615" s="100"/>
      <c r="H1615" s="100"/>
    </row>
    <row r="1616" customHeight="1" spans="2:8">
      <c r="B1616" s="98"/>
      <c r="C1616" s="98"/>
      <c r="D1616" s="98"/>
      <c r="E1616" s="98"/>
      <c r="F1616" s="99"/>
      <c r="G1616" s="100"/>
      <c r="H1616" s="100"/>
    </row>
    <row r="1617" customHeight="1" spans="2:8">
      <c r="B1617" s="98"/>
      <c r="C1617" s="98"/>
      <c r="D1617" s="98"/>
      <c r="E1617" s="98"/>
      <c r="F1617" s="99"/>
      <c r="G1617" s="100"/>
      <c r="H1617" s="100"/>
    </row>
    <row r="1618" customHeight="1" spans="2:8">
      <c r="B1618" s="98"/>
      <c r="C1618" s="98"/>
      <c r="D1618" s="98"/>
      <c r="E1618" s="98"/>
      <c r="F1618" s="99"/>
      <c r="G1618" s="100"/>
      <c r="H1618" s="100"/>
    </row>
    <row r="1619" customHeight="1" spans="2:8">
      <c r="B1619" s="98"/>
      <c r="C1619" s="98"/>
      <c r="D1619" s="98"/>
      <c r="E1619" s="98"/>
      <c r="F1619" s="99"/>
      <c r="G1619" s="100"/>
      <c r="H1619" s="100"/>
    </row>
    <row r="1620" customHeight="1" spans="2:8">
      <c r="B1620" s="98"/>
      <c r="C1620" s="98"/>
      <c r="D1620" s="98"/>
      <c r="E1620" s="98"/>
      <c r="F1620" s="99"/>
      <c r="G1620" s="100"/>
      <c r="H1620" s="100"/>
    </row>
    <row r="1621" customHeight="1" spans="2:8">
      <c r="B1621" s="98"/>
      <c r="C1621" s="98"/>
      <c r="D1621" s="98"/>
      <c r="E1621" s="98"/>
      <c r="F1621" s="99"/>
      <c r="G1621" s="100"/>
      <c r="H1621" s="100"/>
    </row>
    <row r="1622" customHeight="1" spans="2:8">
      <c r="B1622" s="98"/>
      <c r="C1622" s="98"/>
      <c r="D1622" s="98"/>
      <c r="E1622" s="98"/>
      <c r="F1622" s="99"/>
      <c r="G1622" s="100"/>
      <c r="H1622" s="100"/>
    </row>
    <row r="1623" customHeight="1" spans="2:8">
      <c r="B1623" s="98"/>
      <c r="C1623" s="98"/>
      <c r="D1623" s="98"/>
      <c r="E1623" s="98"/>
      <c r="F1623" s="99"/>
      <c r="G1623" s="100"/>
      <c r="H1623" s="100"/>
    </row>
    <row r="1624" customHeight="1" spans="2:8">
      <c r="B1624" s="98"/>
      <c r="C1624" s="98"/>
      <c r="D1624" s="98"/>
      <c r="E1624" s="98"/>
      <c r="F1624" s="99"/>
      <c r="G1624" s="100"/>
      <c r="H1624" s="100"/>
    </row>
    <row r="1625" customHeight="1" spans="2:8">
      <c r="B1625" s="98"/>
      <c r="C1625" s="98"/>
      <c r="D1625" s="98"/>
      <c r="E1625" s="98"/>
      <c r="F1625" s="99"/>
      <c r="G1625" s="100"/>
      <c r="H1625" s="100"/>
    </row>
    <row r="1626" customHeight="1" spans="2:8">
      <c r="B1626" s="98"/>
      <c r="C1626" s="98"/>
      <c r="D1626" s="98"/>
      <c r="E1626" s="98"/>
      <c r="F1626" s="99"/>
      <c r="G1626" s="100"/>
      <c r="H1626" s="100"/>
    </row>
    <row r="1627" customHeight="1" spans="2:8">
      <c r="B1627" s="98"/>
      <c r="C1627" s="98"/>
      <c r="D1627" s="98"/>
      <c r="E1627" s="98"/>
      <c r="F1627" s="99"/>
      <c r="G1627" s="100"/>
      <c r="H1627" s="100"/>
    </row>
    <row r="1628" customHeight="1" spans="2:8">
      <c r="B1628" s="98"/>
      <c r="C1628" s="98"/>
      <c r="D1628" s="98"/>
      <c r="E1628" s="98"/>
      <c r="F1628" s="99"/>
      <c r="G1628" s="100"/>
      <c r="H1628" s="100"/>
    </row>
    <row r="1629" customHeight="1" spans="2:8">
      <c r="B1629" s="98"/>
      <c r="C1629" s="98"/>
      <c r="D1629" s="98"/>
      <c r="E1629" s="98"/>
      <c r="F1629" s="99"/>
      <c r="G1629" s="100"/>
      <c r="H1629" s="100"/>
    </row>
    <row r="1630" customHeight="1" spans="2:8">
      <c r="B1630" s="98"/>
      <c r="C1630" s="98"/>
      <c r="D1630" s="98"/>
      <c r="E1630" s="98"/>
      <c r="F1630" s="99"/>
      <c r="G1630" s="100"/>
      <c r="H1630" s="100"/>
    </row>
    <row r="1631" customHeight="1" spans="2:8">
      <c r="B1631" s="98"/>
      <c r="C1631" s="98"/>
      <c r="D1631" s="98"/>
      <c r="E1631" s="98"/>
      <c r="F1631" s="99"/>
      <c r="G1631" s="100"/>
      <c r="H1631" s="100"/>
    </row>
    <row r="1632" customHeight="1" spans="2:8">
      <c r="B1632" s="98"/>
      <c r="C1632" s="98"/>
      <c r="D1632" s="98"/>
      <c r="E1632" s="98"/>
      <c r="F1632" s="99"/>
      <c r="G1632" s="100"/>
      <c r="H1632" s="100"/>
    </row>
    <row r="1633" customHeight="1" spans="2:8">
      <c r="B1633" s="98"/>
      <c r="C1633" s="98"/>
      <c r="D1633" s="98"/>
      <c r="E1633" s="98"/>
      <c r="F1633" s="99"/>
      <c r="G1633" s="100"/>
      <c r="H1633" s="100"/>
    </row>
    <row r="1634" customHeight="1" spans="2:8">
      <c r="B1634" s="98"/>
      <c r="C1634" s="98"/>
      <c r="D1634" s="98"/>
      <c r="E1634" s="98"/>
      <c r="F1634" s="99"/>
      <c r="G1634" s="100"/>
      <c r="H1634" s="100"/>
    </row>
    <row r="1635" customHeight="1" spans="2:8">
      <c r="B1635" s="98"/>
      <c r="C1635" s="98"/>
      <c r="D1635" s="98"/>
      <c r="E1635" s="98"/>
      <c r="F1635" s="99"/>
      <c r="G1635" s="100"/>
      <c r="H1635" s="100"/>
    </row>
    <row r="1636" customHeight="1" spans="2:8">
      <c r="B1636" s="98"/>
      <c r="C1636" s="98"/>
      <c r="D1636" s="98"/>
      <c r="E1636" s="98"/>
      <c r="F1636" s="99"/>
      <c r="G1636" s="100"/>
      <c r="H1636" s="100"/>
    </row>
    <row r="1637" customHeight="1" spans="2:8">
      <c r="B1637" s="98"/>
      <c r="C1637" s="98"/>
      <c r="D1637" s="98"/>
      <c r="E1637" s="98"/>
      <c r="F1637" s="99"/>
      <c r="G1637" s="100"/>
      <c r="H1637" s="100"/>
    </row>
    <row r="1638" customHeight="1" spans="2:8">
      <c r="B1638" s="98"/>
      <c r="C1638" s="98"/>
      <c r="D1638" s="98"/>
      <c r="E1638" s="98"/>
      <c r="F1638" s="99"/>
      <c r="G1638" s="100"/>
      <c r="H1638" s="100"/>
    </row>
    <row r="1639" customHeight="1" spans="2:8">
      <c r="B1639" s="98"/>
      <c r="C1639" s="98"/>
      <c r="D1639" s="98"/>
      <c r="E1639" s="98"/>
      <c r="F1639" s="99"/>
      <c r="G1639" s="100"/>
      <c r="H1639" s="100"/>
    </row>
    <row r="1640" customHeight="1" spans="2:8">
      <c r="B1640" s="98"/>
      <c r="C1640" s="98"/>
      <c r="D1640" s="98"/>
      <c r="E1640" s="98"/>
      <c r="F1640" s="99"/>
      <c r="G1640" s="100"/>
      <c r="H1640" s="100"/>
    </row>
    <row r="1641" customHeight="1" spans="2:8">
      <c r="B1641" s="98"/>
      <c r="C1641" s="98"/>
      <c r="D1641" s="98"/>
      <c r="E1641" s="98"/>
      <c r="F1641" s="99"/>
      <c r="G1641" s="100"/>
      <c r="H1641" s="100"/>
    </row>
    <row r="1642" customHeight="1" spans="2:8">
      <c r="B1642" s="98"/>
      <c r="C1642" s="98"/>
      <c r="D1642" s="98"/>
      <c r="E1642" s="98"/>
      <c r="F1642" s="99"/>
      <c r="G1642" s="100"/>
      <c r="H1642" s="100"/>
    </row>
    <row r="1643" customHeight="1" spans="2:8">
      <c r="B1643" s="98"/>
      <c r="C1643" s="98"/>
      <c r="D1643" s="98"/>
      <c r="E1643" s="98"/>
      <c r="F1643" s="99"/>
      <c r="G1643" s="100"/>
      <c r="H1643" s="100"/>
    </row>
    <row r="1644" customHeight="1" spans="2:8">
      <c r="B1644" s="98"/>
      <c r="C1644" s="98"/>
      <c r="D1644" s="98"/>
      <c r="E1644" s="98"/>
      <c r="F1644" s="99"/>
      <c r="G1644" s="100"/>
      <c r="H1644" s="100"/>
    </row>
    <row r="1645" customHeight="1" spans="2:8">
      <c r="B1645" s="98"/>
      <c r="C1645" s="98"/>
      <c r="D1645" s="98"/>
      <c r="E1645" s="98"/>
      <c r="F1645" s="99"/>
      <c r="G1645" s="100"/>
      <c r="H1645" s="100"/>
    </row>
    <row r="1646" customHeight="1" spans="2:8">
      <c r="B1646" s="98"/>
      <c r="C1646" s="98"/>
      <c r="D1646" s="98"/>
      <c r="E1646" s="98"/>
      <c r="F1646" s="99"/>
      <c r="G1646" s="100"/>
      <c r="H1646" s="100"/>
    </row>
    <row r="1647" customHeight="1" spans="2:8">
      <c r="B1647" s="98"/>
      <c r="C1647" s="98"/>
      <c r="D1647" s="98"/>
      <c r="E1647" s="98"/>
      <c r="F1647" s="99"/>
      <c r="G1647" s="100"/>
      <c r="H1647" s="100"/>
    </row>
    <row r="1648" customHeight="1" spans="2:8">
      <c r="B1648" s="98"/>
      <c r="C1648" s="98"/>
      <c r="D1648" s="98"/>
      <c r="E1648" s="98"/>
      <c r="F1648" s="99"/>
      <c r="G1648" s="100"/>
      <c r="H1648" s="100"/>
    </row>
    <row r="1649" customHeight="1" spans="2:8">
      <c r="B1649" s="98"/>
      <c r="C1649" s="98"/>
      <c r="D1649" s="98"/>
      <c r="E1649" s="98"/>
      <c r="F1649" s="99"/>
      <c r="G1649" s="100"/>
      <c r="H1649" s="100"/>
    </row>
    <row r="1650" customHeight="1" spans="2:8">
      <c r="B1650" s="98"/>
      <c r="C1650" s="98"/>
      <c r="D1650" s="98"/>
      <c r="E1650" s="98"/>
      <c r="F1650" s="99"/>
      <c r="G1650" s="100"/>
      <c r="H1650" s="100"/>
    </row>
    <row r="1651" customHeight="1" spans="2:8">
      <c r="B1651" s="98"/>
      <c r="C1651" s="98"/>
      <c r="D1651" s="98"/>
      <c r="E1651" s="98"/>
      <c r="F1651" s="99"/>
      <c r="G1651" s="100"/>
      <c r="H1651" s="100"/>
    </row>
    <row r="1652" customHeight="1" spans="2:8">
      <c r="B1652" s="98"/>
      <c r="C1652" s="98"/>
      <c r="D1652" s="98"/>
      <c r="E1652" s="98"/>
      <c r="F1652" s="99"/>
      <c r="G1652" s="100"/>
      <c r="H1652" s="100"/>
    </row>
    <row r="1653" customHeight="1" spans="2:8">
      <c r="B1653" s="98"/>
      <c r="C1653" s="98"/>
      <c r="D1653" s="98"/>
      <c r="E1653" s="98"/>
      <c r="F1653" s="99"/>
      <c r="G1653" s="100"/>
      <c r="H1653" s="100"/>
    </row>
    <row r="1654" customHeight="1" spans="2:8">
      <c r="B1654" s="98"/>
      <c r="C1654" s="98"/>
      <c r="D1654" s="98"/>
      <c r="E1654" s="98"/>
      <c r="F1654" s="99"/>
      <c r="G1654" s="100"/>
      <c r="H1654" s="100"/>
    </row>
    <row r="1655" customHeight="1" spans="2:8">
      <c r="B1655" s="98"/>
      <c r="C1655" s="98"/>
      <c r="D1655" s="98"/>
      <c r="E1655" s="98"/>
      <c r="F1655" s="99"/>
      <c r="G1655" s="100"/>
      <c r="H1655" s="100"/>
    </row>
    <row r="1656" customHeight="1" spans="2:8">
      <c r="B1656" s="98"/>
      <c r="C1656" s="98"/>
      <c r="D1656" s="98"/>
      <c r="E1656" s="98"/>
      <c r="F1656" s="99"/>
      <c r="G1656" s="100"/>
      <c r="H1656" s="100"/>
    </row>
    <row r="1657" customHeight="1" spans="2:8">
      <c r="B1657" s="98"/>
      <c r="C1657" s="98"/>
      <c r="D1657" s="98"/>
      <c r="E1657" s="98"/>
      <c r="F1657" s="99"/>
      <c r="G1657" s="100"/>
      <c r="H1657" s="100"/>
    </row>
    <row r="1658" customHeight="1" spans="2:8">
      <c r="B1658" s="98"/>
      <c r="C1658" s="98"/>
      <c r="D1658" s="98"/>
      <c r="E1658" s="98"/>
      <c r="F1658" s="99"/>
      <c r="G1658" s="100"/>
      <c r="H1658" s="100"/>
    </row>
    <row r="1659" customHeight="1" spans="2:8">
      <c r="B1659" s="98"/>
      <c r="C1659" s="98"/>
      <c r="D1659" s="98"/>
      <c r="E1659" s="98"/>
      <c r="F1659" s="99"/>
      <c r="G1659" s="100"/>
      <c r="H1659" s="100"/>
    </row>
    <row r="1660" customHeight="1" spans="2:8">
      <c r="B1660" s="98"/>
      <c r="C1660" s="98"/>
      <c r="D1660" s="98"/>
      <c r="E1660" s="98"/>
      <c r="F1660" s="99"/>
      <c r="G1660" s="100"/>
      <c r="H1660" s="100"/>
    </row>
    <row r="1661" customHeight="1" spans="2:8">
      <c r="B1661" s="98"/>
      <c r="C1661" s="98"/>
      <c r="D1661" s="98"/>
      <c r="E1661" s="98"/>
      <c r="F1661" s="99"/>
      <c r="G1661" s="100"/>
      <c r="H1661" s="100"/>
    </row>
    <row r="1662" customHeight="1" spans="2:8">
      <c r="B1662" s="98"/>
      <c r="C1662" s="98"/>
      <c r="D1662" s="98"/>
      <c r="E1662" s="98"/>
      <c r="F1662" s="99"/>
      <c r="G1662" s="100"/>
      <c r="H1662" s="100"/>
    </row>
    <row r="1663" customHeight="1" spans="2:8">
      <c r="B1663" s="98"/>
      <c r="C1663" s="98"/>
      <c r="D1663" s="98"/>
      <c r="E1663" s="98"/>
      <c r="F1663" s="99"/>
      <c r="G1663" s="100"/>
      <c r="H1663" s="100"/>
    </row>
    <row r="1664" customHeight="1" spans="2:8">
      <c r="B1664" s="98"/>
      <c r="C1664" s="98"/>
      <c r="D1664" s="98"/>
      <c r="E1664" s="98"/>
      <c r="F1664" s="99"/>
      <c r="G1664" s="100"/>
      <c r="H1664" s="100"/>
    </row>
    <row r="1665" customHeight="1" spans="2:8">
      <c r="B1665" s="98"/>
      <c r="C1665" s="98"/>
      <c r="D1665" s="98"/>
      <c r="E1665" s="98"/>
      <c r="F1665" s="99"/>
      <c r="G1665" s="100"/>
      <c r="H1665" s="100"/>
    </row>
    <row r="1666" customHeight="1" spans="2:8">
      <c r="B1666" s="98"/>
      <c r="C1666" s="98"/>
      <c r="D1666" s="98"/>
      <c r="E1666" s="98"/>
      <c r="F1666" s="99"/>
      <c r="G1666" s="100"/>
      <c r="H1666" s="100"/>
    </row>
    <row r="1667" customHeight="1" spans="2:8">
      <c r="B1667" s="98"/>
      <c r="C1667" s="98"/>
      <c r="D1667" s="98"/>
      <c r="E1667" s="98"/>
      <c r="F1667" s="99"/>
      <c r="G1667" s="100"/>
      <c r="H1667" s="100"/>
    </row>
    <row r="1668" customHeight="1" spans="2:8">
      <c r="B1668" s="98"/>
      <c r="C1668" s="98"/>
      <c r="D1668" s="98"/>
      <c r="E1668" s="98"/>
      <c r="F1668" s="99"/>
      <c r="G1668" s="100"/>
      <c r="H1668" s="100"/>
    </row>
    <row r="1669" customHeight="1" spans="2:8">
      <c r="B1669" s="98"/>
      <c r="C1669" s="98"/>
      <c r="D1669" s="98"/>
      <c r="E1669" s="98"/>
      <c r="F1669" s="99"/>
      <c r="G1669" s="100"/>
      <c r="H1669" s="100"/>
    </row>
    <row r="1670" customHeight="1" spans="2:8">
      <c r="B1670" s="98"/>
      <c r="C1670" s="98"/>
      <c r="D1670" s="98"/>
      <c r="E1670" s="98"/>
      <c r="F1670" s="99"/>
      <c r="G1670" s="100"/>
      <c r="H1670" s="100"/>
    </row>
    <row r="1671" customHeight="1" spans="2:8">
      <c r="B1671" s="98"/>
      <c r="C1671" s="98"/>
      <c r="D1671" s="98"/>
      <c r="E1671" s="98"/>
      <c r="F1671" s="99"/>
      <c r="G1671" s="100"/>
      <c r="H1671" s="100"/>
    </row>
    <row r="1672" customHeight="1" spans="2:8">
      <c r="B1672" s="98"/>
      <c r="C1672" s="98"/>
      <c r="D1672" s="98"/>
      <c r="E1672" s="98"/>
      <c r="F1672" s="99"/>
      <c r="G1672" s="100"/>
      <c r="H1672" s="100"/>
    </row>
    <row r="1673" customHeight="1" spans="2:8">
      <c r="B1673" s="98"/>
      <c r="C1673" s="98"/>
      <c r="D1673" s="98"/>
      <c r="E1673" s="98"/>
      <c r="F1673" s="99"/>
      <c r="G1673" s="100"/>
      <c r="H1673" s="100"/>
    </row>
    <row r="1674" customHeight="1" spans="2:8">
      <c r="B1674" s="98"/>
      <c r="C1674" s="98"/>
      <c r="D1674" s="98"/>
      <c r="E1674" s="98"/>
      <c r="F1674" s="99"/>
      <c r="G1674" s="100"/>
      <c r="H1674" s="100"/>
    </row>
    <row r="1675" customHeight="1" spans="2:8">
      <c r="B1675" s="98"/>
      <c r="C1675" s="98"/>
      <c r="D1675" s="98"/>
      <c r="E1675" s="98"/>
      <c r="F1675" s="99"/>
      <c r="G1675" s="100"/>
      <c r="H1675" s="100"/>
    </row>
    <row r="1676" customHeight="1" spans="2:8">
      <c r="B1676" s="98"/>
      <c r="C1676" s="98"/>
      <c r="D1676" s="98"/>
      <c r="E1676" s="98"/>
      <c r="F1676" s="99"/>
      <c r="G1676" s="100"/>
      <c r="H1676" s="100"/>
    </row>
    <row r="1677" customHeight="1" spans="2:8">
      <c r="B1677" s="98"/>
      <c r="C1677" s="98"/>
      <c r="D1677" s="98"/>
      <c r="E1677" s="98"/>
      <c r="F1677" s="99"/>
      <c r="G1677" s="100"/>
      <c r="H1677" s="100"/>
    </row>
    <row r="1678" customHeight="1" spans="2:8">
      <c r="B1678" s="98"/>
      <c r="C1678" s="98"/>
      <c r="D1678" s="98"/>
      <c r="E1678" s="98"/>
      <c r="F1678" s="99"/>
      <c r="G1678" s="100"/>
      <c r="H1678" s="100"/>
    </row>
    <row r="1679" customHeight="1" spans="2:8">
      <c r="B1679" s="98"/>
      <c r="C1679" s="98"/>
      <c r="D1679" s="98"/>
      <c r="E1679" s="98"/>
      <c r="F1679" s="99"/>
      <c r="G1679" s="100"/>
      <c r="H1679" s="100"/>
    </row>
    <row r="1680" customHeight="1" spans="2:8">
      <c r="B1680" s="98"/>
      <c r="C1680" s="98"/>
      <c r="D1680" s="98"/>
      <c r="E1680" s="98"/>
      <c r="F1680" s="99"/>
      <c r="G1680" s="100"/>
      <c r="H1680" s="100"/>
    </row>
    <row r="1681" customHeight="1" spans="2:8">
      <c r="B1681" s="98"/>
      <c r="C1681" s="98"/>
      <c r="D1681" s="98"/>
      <c r="E1681" s="98"/>
      <c r="F1681" s="99"/>
      <c r="G1681" s="100"/>
      <c r="H1681" s="100"/>
    </row>
    <row r="1682" customHeight="1" spans="2:8">
      <c r="B1682" s="98"/>
      <c r="C1682" s="98"/>
      <c r="D1682" s="98"/>
      <c r="E1682" s="98"/>
      <c r="F1682" s="99"/>
      <c r="G1682" s="100"/>
      <c r="H1682" s="100"/>
    </row>
    <row r="1683" customHeight="1" spans="2:8">
      <c r="B1683" s="98"/>
      <c r="C1683" s="98"/>
      <c r="D1683" s="98"/>
      <c r="E1683" s="98"/>
      <c r="F1683" s="99"/>
      <c r="G1683" s="100"/>
      <c r="H1683" s="100"/>
    </row>
    <row r="1684" customHeight="1" spans="2:8">
      <c r="B1684" s="98"/>
      <c r="C1684" s="98"/>
      <c r="D1684" s="98"/>
      <c r="E1684" s="98"/>
      <c r="F1684" s="99"/>
      <c r="G1684" s="100"/>
      <c r="H1684" s="100"/>
    </row>
    <row r="1685" customHeight="1" spans="2:8">
      <c r="B1685" s="98"/>
      <c r="C1685" s="98"/>
      <c r="D1685" s="98"/>
      <c r="E1685" s="98"/>
      <c r="F1685" s="99"/>
      <c r="G1685" s="100"/>
      <c r="H1685" s="100"/>
    </row>
    <row r="1686" customHeight="1" spans="2:8">
      <c r="B1686" s="98"/>
      <c r="C1686" s="98"/>
      <c r="D1686" s="98"/>
      <c r="E1686" s="98"/>
      <c r="F1686" s="99"/>
      <c r="G1686" s="100"/>
      <c r="H1686" s="100"/>
    </row>
    <row r="1687" customHeight="1" spans="2:8">
      <c r="B1687" s="98"/>
      <c r="C1687" s="98"/>
      <c r="D1687" s="98"/>
      <c r="E1687" s="98"/>
      <c r="F1687" s="99"/>
      <c r="G1687" s="100"/>
      <c r="H1687" s="100"/>
    </row>
    <row r="1688" customHeight="1" spans="2:8">
      <c r="B1688" s="98"/>
      <c r="C1688" s="98"/>
      <c r="D1688" s="98"/>
      <c r="E1688" s="98"/>
      <c r="F1688" s="99"/>
      <c r="G1688" s="100"/>
      <c r="H1688" s="100"/>
    </row>
    <row r="1689" customHeight="1" spans="2:8">
      <c r="B1689" s="98"/>
      <c r="C1689" s="98"/>
      <c r="D1689" s="98"/>
      <c r="E1689" s="98"/>
      <c r="F1689" s="99"/>
      <c r="G1689" s="100"/>
      <c r="H1689" s="100"/>
    </row>
    <row r="1690" customHeight="1" spans="2:8">
      <c r="B1690" s="98"/>
      <c r="C1690" s="98"/>
      <c r="D1690" s="98"/>
      <c r="E1690" s="98"/>
      <c r="F1690" s="99"/>
      <c r="G1690" s="100"/>
      <c r="H1690" s="100"/>
    </row>
    <row r="1691" customHeight="1" spans="2:8">
      <c r="B1691" s="98"/>
      <c r="C1691" s="98"/>
      <c r="D1691" s="98"/>
      <c r="E1691" s="98"/>
      <c r="F1691" s="99"/>
      <c r="G1691" s="100"/>
      <c r="H1691" s="100"/>
    </row>
    <row r="1692" customHeight="1" spans="2:8">
      <c r="B1692" s="98"/>
      <c r="C1692" s="98"/>
      <c r="D1692" s="98"/>
      <c r="E1692" s="98"/>
      <c r="F1692" s="99"/>
      <c r="G1692" s="100"/>
      <c r="H1692" s="100"/>
    </row>
    <row r="1693" customHeight="1" spans="2:8">
      <c r="B1693" s="98"/>
      <c r="C1693" s="98"/>
      <c r="D1693" s="98"/>
      <c r="E1693" s="98"/>
      <c r="F1693" s="99"/>
      <c r="G1693" s="100"/>
      <c r="H1693" s="100"/>
    </row>
    <row r="1694" customHeight="1" spans="2:8">
      <c r="B1694" s="98"/>
      <c r="C1694" s="98"/>
      <c r="D1694" s="98"/>
      <c r="E1694" s="98"/>
      <c r="F1694" s="99"/>
      <c r="G1694" s="100"/>
      <c r="H1694" s="100"/>
    </row>
    <row r="1695" customHeight="1" spans="2:8">
      <c r="B1695" s="98"/>
      <c r="C1695" s="98"/>
      <c r="D1695" s="98"/>
      <c r="E1695" s="98"/>
      <c r="F1695" s="99"/>
      <c r="G1695" s="100"/>
      <c r="H1695" s="100"/>
    </row>
    <row r="1696" customHeight="1" spans="2:8">
      <c r="B1696" s="98"/>
      <c r="C1696" s="98"/>
      <c r="D1696" s="98"/>
      <c r="E1696" s="98"/>
      <c r="F1696" s="99"/>
      <c r="G1696" s="100"/>
      <c r="H1696" s="100"/>
    </row>
    <row r="1697" customHeight="1" spans="2:8">
      <c r="B1697" s="98"/>
      <c r="C1697" s="98"/>
      <c r="D1697" s="98"/>
      <c r="E1697" s="98"/>
      <c r="F1697" s="99"/>
      <c r="G1697" s="100"/>
      <c r="H1697" s="100"/>
    </row>
    <row r="1698" customHeight="1" spans="2:8">
      <c r="B1698" s="98"/>
      <c r="C1698" s="98"/>
      <c r="D1698" s="98"/>
      <c r="E1698" s="98"/>
      <c r="F1698" s="99"/>
      <c r="G1698" s="100"/>
      <c r="H1698" s="100"/>
    </row>
    <row r="1699" customHeight="1" spans="2:8">
      <c r="B1699" s="98"/>
      <c r="C1699" s="98"/>
      <c r="D1699" s="98"/>
      <c r="E1699" s="98"/>
      <c r="F1699" s="99"/>
      <c r="G1699" s="100"/>
      <c r="H1699" s="100"/>
    </row>
    <row r="1700" customHeight="1" spans="2:8">
      <c r="B1700" s="98"/>
      <c r="C1700" s="98"/>
      <c r="D1700" s="98"/>
      <c r="E1700" s="98"/>
      <c r="F1700" s="99"/>
      <c r="G1700" s="100"/>
      <c r="H1700" s="100"/>
    </row>
    <row r="1701" customHeight="1" spans="2:8">
      <c r="B1701" s="98"/>
      <c r="C1701" s="98"/>
      <c r="D1701" s="98"/>
      <c r="E1701" s="98"/>
      <c r="F1701" s="99"/>
      <c r="G1701" s="100"/>
      <c r="H1701" s="100"/>
    </row>
    <row r="1702" customHeight="1" spans="2:8">
      <c r="B1702" s="98"/>
      <c r="C1702" s="98"/>
      <c r="D1702" s="98"/>
      <c r="E1702" s="98"/>
      <c r="F1702" s="99"/>
      <c r="G1702" s="100"/>
      <c r="H1702" s="100"/>
    </row>
    <row r="1703" customHeight="1" spans="2:8">
      <c r="B1703" s="98"/>
      <c r="C1703" s="98"/>
      <c r="D1703" s="98"/>
      <c r="E1703" s="98"/>
      <c r="F1703" s="99"/>
      <c r="G1703" s="100"/>
      <c r="H1703" s="100"/>
    </row>
    <row r="1704" customHeight="1" spans="2:8">
      <c r="B1704" s="98"/>
      <c r="C1704" s="98"/>
      <c r="D1704" s="98"/>
      <c r="E1704" s="98"/>
      <c r="F1704" s="99"/>
      <c r="G1704" s="100"/>
      <c r="H1704" s="100"/>
    </row>
    <row r="1705" customHeight="1" spans="2:8">
      <c r="B1705" s="98"/>
      <c r="C1705" s="98"/>
      <c r="D1705" s="98"/>
      <c r="E1705" s="98"/>
      <c r="F1705" s="99"/>
      <c r="G1705" s="100"/>
      <c r="H1705" s="100"/>
    </row>
    <row r="1706" customHeight="1" spans="2:8">
      <c r="B1706" s="98"/>
      <c r="C1706" s="98"/>
      <c r="D1706" s="98"/>
      <c r="E1706" s="98"/>
      <c r="F1706" s="99"/>
      <c r="G1706" s="100"/>
      <c r="H1706" s="100"/>
    </row>
    <row r="1707" customHeight="1" spans="2:8">
      <c r="B1707" s="98"/>
      <c r="C1707" s="98"/>
      <c r="D1707" s="98"/>
      <c r="E1707" s="98"/>
      <c r="F1707" s="99"/>
      <c r="G1707" s="100"/>
      <c r="H1707" s="100"/>
    </row>
    <row r="1708" customHeight="1" spans="2:8">
      <c r="B1708" s="98"/>
      <c r="C1708" s="98"/>
      <c r="D1708" s="98"/>
      <c r="E1708" s="98"/>
      <c r="F1708" s="99"/>
      <c r="G1708" s="100"/>
      <c r="H1708" s="100"/>
    </row>
    <row r="1709" customHeight="1" spans="2:8">
      <c r="B1709" s="98"/>
      <c r="C1709" s="98"/>
      <c r="D1709" s="98"/>
      <c r="E1709" s="98"/>
      <c r="F1709" s="99"/>
      <c r="G1709" s="100"/>
      <c r="H1709" s="100"/>
    </row>
    <row r="1710" customHeight="1" spans="2:8">
      <c r="B1710" s="98"/>
      <c r="C1710" s="98"/>
      <c r="D1710" s="98"/>
      <c r="E1710" s="98"/>
      <c r="F1710" s="99"/>
      <c r="G1710" s="100"/>
      <c r="H1710" s="100"/>
    </row>
    <row r="1711" customHeight="1" spans="2:8">
      <c r="B1711" s="98"/>
      <c r="C1711" s="98"/>
      <c r="D1711" s="98"/>
      <c r="E1711" s="98"/>
      <c r="F1711" s="99"/>
      <c r="G1711" s="100"/>
      <c r="H1711" s="100"/>
    </row>
    <row r="1712" customHeight="1" spans="2:8">
      <c r="B1712" s="98"/>
      <c r="C1712" s="98"/>
      <c r="D1712" s="98"/>
      <c r="E1712" s="98"/>
      <c r="F1712" s="99"/>
      <c r="G1712" s="100"/>
      <c r="H1712" s="100"/>
    </row>
    <row r="1713" customHeight="1" spans="2:8">
      <c r="B1713" s="98"/>
      <c r="C1713" s="98"/>
      <c r="D1713" s="98"/>
      <c r="E1713" s="98"/>
      <c r="F1713" s="99"/>
      <c r="G1713" s="100"/>
      <c r="H1713" s="100"/>
    </row>
    <row r="1714" customHeight="1" spans="2:8">
      <c r="B1714" s="98"/>
      <c r="C1714" s="98"/>
      <c r="D1714" s="98"/>
      <c r="E1714" s="98"/>
      <c r="F1714" s="99"/>
      <c r="G1714" s="100"/>
      <c r="H1714" s="100"/>
    </row>
    <row r="1715" customHeight="1" spans="2:8">
      <c r="B1715" s="98"/>
      <c r="C1715" s="98"/>
      <c r="D1715" s="98"/>
      <c r="E1715" s="98"/>
      <c r="F1715" s="99"/>
      <c r="G1715" s="100"/>
      <c r="H1715" s="100"/>
    </row>
    <row r="1716" customHeight="1" spans="2:8">
      <c r="B1716" s="98"/>
      <c r="C1716" s="98"/>
      <c r="D1716" s="98"/>
      <c r="E1716" s="98"/>
      <c r="F1716" s="99"/>
      <c r="G1716" s="100"/>
      <c r="H1716" s="100"/>
    </row>
    <row r="1717" customHeight="1" spans="2:8">
      <c r="B1717" s="98"/>
      <c r="C1717" s="98"/>
      <c r="D1717" s="98"/>
      <c r="E1717" s="98"/>
      <c r="F1717" s="99"/>
      <c r="G1717" s="100"/>
      <c r="H1717" s="100"/>
    </row>
    <row r="1718" customHeight="1" spans="2:8">
      <c r="B1718" s="98"/>
      <c r="C1718" s="98"/>
      <c r="D1718" s="98"/>
      <c r="E1718" s="98"/>
      <c r="F1718" s="99"/>
      <c r="G1718" s="100"/>
      <c r="H1718" s="100"/>
    </row>
    <row r="1719" customHeight="1" spans="2:8">
      <c r="B1719" s="98"/>
      <c r="C1719" s="98"/>
      <c r="D1719" s="98"/>
      <c r="E1719" s="98"/>
      <c r="F1719" s="99"/>
      <c r="G1719" s="100"/>
      <c r="H1719" s="100"/>
    </row>
    <row r="1720" customHeight="1" spans="2:8">
      <c r="B1720" s="98"/>
      <c r="C1720" s="98"/>
      <c r="D1720" s="98"/>
      <c r="E1720" s="98"/>
      <c r="F1720" s="99"/>
      <c r="G1720" s="100"/>
      <c r="H1720" s="100"/>
    </row>
    <row r="1721" customHeight="1" spans="2:8">
      <c r="B1721" s="98"/>
      <c r="C1721" s="98"/>
      <c r="D1721" s="98"/>
      <c r="E1721" s="98"/>
      <c r="F1721" s="99"/>
      <c r="G1721" s="100"/>
      <c r="H1721" s="100"/>
    </row>
    <row r="1722" customHeight="1" spans="2:8">
      <c r="B1722" s="98"/>
      <c r="C1722" s="98"/>
      <c r="D1722" s="98"/>
      <c r="E1722" s="98"/>
      <c r="F1722" s="99"/>
      <c r="G1722" s="100"/>
      <c r="H1722" s="100"/>
    </row>
    <row r="1723" customHeight="1" spans="2:8">
      <c r="B1723" s="98"/>
      <c r="C1723" s="98"/>
      <c r="D1723" s="98"/>
      <c r="E1723" s="98"/>
      <c r="F1723" s="99"/>
      <c r="G1723" s="100"/>
      <c r="H1723" s="100"/>
    </row>
    <row r="1724" customHeight="1" spans="2:8">
      <c r="B1724" s="98"/>
      <c r="C1724" s="98"/>
      <c r="D1724" s="98"/>
      <c r="E1724" s="98"/>
      <c r="F1724" s="99"/>
      <c r="G1724" s="100"/>
      <c r="H1724" s="100"/>
    </row>
    <row r="1725" customHeight="1" spans="2:8">
      <c r="B1725" s="98"/>
      <c r="C1725" s="98"/>
      <c r="D1725" s="98"/>
      <c r="E1725" s="98"/>
      <c r="F1725" s="99"/>
      <c r="G1725" s="100"/>
      <c r="H1725" s="100"/>
    </row>
    <row r="1726" customHeight="1" spans="2:8">
      <c r="B1726" s="98"/>
      <c r="C1726" s="98"/>
      <c r="D1726" s="98"/>
      <c r="E1726" s="98"/>
      <c r="F1726" s="99"/>
      <c r="G1726" s="100"/>
      <c r="H1726" s="100"/>
    </row>
    <row r="1727" customHeight="1" spans="2:8">
      <c r="B1727" s="98"/>
      <c r="C1727" s="98"/>
      <c r="D1727" s="98"/>
      <c r="E1727" s="98"/>
      <c r="F1727" s="99"/>
      <c r="G1727" s="100"/>
      <c r="H1727" s="100"/>
    </row>
    <row r="1728" customHeight="1" spans="2:8">
      <c r="B1728" s="98"/>
      <c r="C1728" s="98"/>
      <c r="D1728" s="98"/>
      <c r="E1728" s="98"/>
      <c r="F1728" s="99"/>
      <c r="G1728" s="100"/>
      <c r="H1728" s="100"/>
    </row>
    <row r="1729" customHeight="1" spans="2:8">
      <c r="B1729" s="98"/>
      <c r="C1729" s="98"/>
      <c r="D1729" s="98"/>
      <c r="E1729" s="98"/>
      <c r="F1729" s="99"/>
      <c r="G1729" s="100"/>
      <c r="H1729" s="100"/>
    </row>
    <row r="1730" customHeight="1" spans="2:8">
      <c r="B1730" s="98"/>
      <c r="C1730" s="98"/>
      <c r="D1730" s="98"/>
      <c r="E1730" s="98"/>
      <c r="F1730" s="99"/>
      <c r="G1730" s="100"/>
      <c r="H1730" s="100"/>
    </row>
    <row r="1731" customHeight="1" spans="2:8">
      <c r="B1731" s="98"/>
      <c r="C1731" s="98"/>
      <c r="D1731" s="98"/>
      <c r="E1731" s="98"/>
      <c r="F1731" s="99"/>
      <c r="G1731" s="100"/>
      <c r="H1731" s="100"/>
    </row>
    <row r="1732" customHeight="1" spans="2:8">
      <c r="B1732" s="98"/>
      <c r="C1732" s="98"/>
      <c r="D1732" s="98"/>
      <c r="E1732" s="98"/>
      <c r="F1732" s="99"/>
      <c r="G1732" s="100"/>
      <c r="H1732" s="100"/>
    </row>
    <row r="1733" customHeight="1" spans="2:8">
      <c r="B1733" s="98"/>
      <c r="C1733" s="98"/>
      <c r="D1733" s="98"/>
      <c r="E1733" s="98"/>
      <c r="F1733" s="99"/>
      <c r="G1733" s="100"/>
      <c r="H1733" s="100"/>
    </row>
    <row r="1734" customHeight="1" spans="2:8">
      <c r="B1734" s="98"/>
      <c r="C1734" s="98"/>
      <c r="D1734" s="98"/>
      <c r="E1734" s="98"/>
      <c r="F1734" s="99"/>
      <c r="G1734" s="100"/>
      <c r="H1734" s="100"/>
    </row>
    <row r="1735" customHeight="1" spans="2:8">
      <c r="B1735" s="98"/>
      <c r="C1735" s="98"/>
      <c r="D1735" s="98"/>
      <c r="E1735" s="98"/>
      <c r="F1735" s="99"/>
      <c r="G1735" s="100"/>
      <c r="H1735" s="100"/>
    </row>
    <row r="1736" customHeight="1" spans="2:8">
      <c r="B1736" s="98"/>
      <c r="C1736" s="98"/>
      <c r="D1736" s="98"/>
      <c r="E1736" s="98"/>
      <c r="F1736" s="99"/>
      <c r="G1736" s="100"/>
      <c r="H1736" s="100"/>
    </row>
    <row r="1737" customHeight="1" spans="2:8">
      <c r="B1737" s="98"/>
      <c r="C1737" s="98"/>
      <c r="D1737" s="98"/>
      <c r="E1737" s="98"/>
      <c r="F1737" s="99"/>
      <c r="G1737" s="100"/>
      <c r="H1737" s="100"/>
    </row>
    <row r="1738" customHeight="1" spans="2:8">
      <c r="B1738" s="98"/>
      <c r="C1738" s="98"/>
      <c r="D1738" s="98"/>
      <c r="E1738" s="98"/>
      <c r="F1738" s="99"/>
      <c r="G1738" s="100"/>
      <c r="H1738" s="100"/>
    </row>
    <row r="1739" customHeight="1" spans="2:8">
      <c r="B1739" s="98"/>
      <c r="C1739" s="98"/>
      <c r="D1739" s="98"/>
      <c r="E1739" s="98"/>
      <c r="F1739" s="99"/>
      <c r="G1739" s="100"/>
      <c r="H1739" s="100"/>
    </row>
    <row r="1740" customHeight="1" spans="2:8">
      <c r="B1740" s="98"/>
      <c r="C1740" s="98"/>
      <c r="D1740" s="98"/>
      <c r="E1740" s="98"/>
      <c r="F1740" s="99"/>
      <c r="G1740" s="100"/>
      <c r="H1740" s="100"/>
    </row>
    <row r="1741" customHeight="1" spans="2:8">
      <c r="B1741" s="98"/>
      <c r="C1741" s="98"/>
      <c r="D1741" s="98"/>
      <c r="E1741" s="98"/>
      <c r="F1741" s="99"/>
      <c r="G1741" s="100"/>
      <c r="H1741" s="100"/>
    </row>
    <row r="1742" customHeight="1" spans="2:8">
      <c r="B1742" s="98"/>
      <c r="C1742" s="98"/>
      <c r="D1742" s="98"/>
      <c r="E1742" s="98"/>
      <c r="F1742" s="99"/>
      <c r="G1742" s="100"/>
      <c r="H1742" s="100"/>
    </row>
    <row r="1743" customHeight="1" spans="2:8">
      <c r="B1743" s="98"/>
      <c r="C1743" s="98"/>
      <c r="D1743" s="98"/>
      <c r="E1743" s="98"/>
      <c r="F1743" s="99"/>
      <c r="G1743" s="100"/>
      <c r="H1743" s="100"/>
    </row>
    <row r="1744" customHeight="1" spans="2:8">
      <c r="B1744" s="98"/>
      <c r="C1744" s="98"/>
      <c r="D1744" s="98"/>
      <c r="E1744" s="98"/>
      <c r="F1744" s="99"/>
      <c r="G1744" s="100"/>
      <c r="H1744" s="100"/>
    </row>
    <row r="1745" customHeight="1" spans="2:8">
      <c r="B1745" s="98"/>
      <c r="C1745" s="98"/>
      <c r="D1745" s="98"/>
      <c r="E1745" s="98"/>
      <c r="F1745" s="99"/>
      <c r="G1745" s="100"/>
      <c r="H1745" s="100"/>
    </row>
    <row r="1746" customHeight="1" spans="2:8">
      <c r="B1746" s="98"/>
      <c r="C1746" s="98"/>
      <c r="D1746" s="98"/>
      <c r="E1746" s="98"/>
      <c r="F1746" s="99"/>
      <c r="G1746" s="100"/>
      <c r="H1746" s="100"/>
    </row>
    <row r="1747" customHeight="1" spans="2:8">
      <c r="B1747" s="98"/>
      <c r="C1747" s="98"/>
      <c r="D1747" s="98"/>
      <c r="E1747" s="98"/>
      <c r="F1747" s="99"/>
      <c r="G1747" s="100"/>
      <c r="H1747" s="100"/>
    </row>
    <row r="1748" customHeight="1" spans="2:8">
      <c r="B1748" s="98"/>
      <c r="C1748" s="98"/>
      <c r="D1748" s="98"/>
      <c r="E1748" s="98"/>
      <c r="F1748" s="99"/>
      <c r="G1748" s="100"/>
      <c r="H1748" s="100"/>
    </row>
    <row r="1749" customHeight="1" spans="2:8">
      <c r="B1749" s="98"/>
      <c r="C1749" s="98"/>
      <c r="D1749" s="98"/>
      <c r="E1749" s="98"/>
      <c r="F1749" s="99"/>
      <c r="G1749" s="100"/>
      <c r="H1749" s="100"/>
    </row>
    <row r="1750" customHeight="1" spans="2:8">
      <c r="B1750" s="98"/>
      <c r="C1750" s="98"/>
      <c r="D1750" s="98"/>
      <c r="E1750" s="98"/>
      <c r="F1750" s="99"/>
      <c r="G1750" s="100"/>
      <c r="H1750" s="100"/>
    </row>
    <row r="1751" customHeight="1" spans="2:8">
      <c r="B1751" s="98"/>
      <c r="C1751" s="98"/>
      <c r="D1751" s="98"/>
      <c r="E1751" s="98"/>
      <c r="F1751" s="99"/>
      <c r="G1751" s="100"/>
      <c r="H1751" s="100"/>
    </row>
    <row r="1752" customHeight="1" spans="2:8">
      <c r="B1752" s="98"/>
      <c r="C1752" s="98"/>
      <c r="D1752" s="98"/>
      <c r="E1752" s="98"/>
      <c r="F1752" s="99"/>
      <c r="G1752" s="100"/>
      <c r="H1752" s="100"/>
    </row>
    <row r="1753" customHeight="1" spans="2:8">
      <c r="B1753" s="98"/>
      <c r="C1753" s="98"/>
      <c r="D1753" s="98"/>
      <c r="E1753" s="98"/>
      <c r="F1753" s="99"/>
      <c r="G1753" s="100"/>
      <c r="H1753" s="100"/>
    </row>
    <row r="1754" customHeight="1" spans="2:8">
      <c r="B1754" s="98"/>
      <c r="C1754" s="98"/>
      <c r="D1754" s="98"/>
      <c r="E1754" s="98"/>
      <c r="F1754" s="99"/>
      <c r="G1754" s="100"/>
      <c r="H1754" s="100"/>
    </row>
    <row r="1755" customHeight="1" spans="2:8">
      <c r="B1755" s="98"/>
      <c r="C1755" s="98"/>
      <c r="D1755" s="98"/>
      <c r="E1755" s="98"/>
      <c r="F1755" s="99"/>
      <c r="G1755" s="100"/>
      <c r="H1755" s="100"/>
    </row>
    <row r="1756" customHeight="1" spans="2:8">
      <c r="B1756" s="98"/>
      <c r="C1756" s="98"/>
      <c r="D1756" s="98"/>
      <c r="E1756" s="98"/>
      <c r="F1756" s="99"/>
      <c r="G1756" s="100"/>
      <c r="H1756" s="100"/>
    </row>
    <row r="1757" customHeight="1" spans="2:8">
      <c r="B1757" s="98"/>
      <c r="C1757" s="98"/>
      <c r="D1757" s="98"/>
      <c r="E1757" s="98"/>
      <c r="F1757" s="99"/>
      <c r="G1757" s="100"/>
      <c r="H1757" s="100"/>
    </row>
    <row r="1758" customHeight="1" spans="2:8">
      <c r="B1758" s="98"/>
      <c r="C1758" s="98"/>
      <c r="D1758" s="98"/>
      <c r="E1758" s="98"/>
      <c r="F1758" s="99"/>
      <c r="G1758" s="100"/>
      <c r="H1758" s="100"/>
    </row>
    <row r="1759" customHeight="1" spans="2:8">
      <c r="B1759" s="98"/>
      <c r="C1759" s="98"/>
      <c r="D1759" s="98"/>
      <c r="E1759" s="98"/>
      <c r="F1759" s="99"/>
      <c r="G1759" s="100"/>
      <c r="H1759" s="100"/>
    </row>
    <row r="1760" customHeight="1" spans="2:8">
      <c r="B1760" s="98"/>
      <c r="C1760" s="98"/>
      <c r="D1760" s="98"/>
      <c r="E1760" s="98"/>
      <c r="F1760" s="99"/>
      <c r="G1760" s="100"/>
      <c r="H1760" s="100"/>
    </row>
    <row r="1761" customHeight="1" spans="2:8">
      <c r="B1761" s="98"/>
      <c r="C1761" s="98"/>
      <c r="D1761" s="98"/>
      <c r="E1761" s="98"/>
      <c r="F1761" s="99"/>
      <c r="G1761" s="100"/>
      <c r="H1761" s="100"/>
    </row>
    <row r="1762" customHeight="1" spans="2:8">
      <c r="B1762" s="98"/>
      <c r="C1762" s="98"/>
      <c r="D1762" s="98"/>
      <c r="E1762" s="98"/>
      <c r="F1762" s="99"/>
      <c r="G1762" s="100"/>
      <c r="H1762" s="100"/>
    </row>
    <row r="1763" customHeight="1" spans="2:8">
      <c r="B1763" s="98"/>
      <c r="C1763" s="98"/>
      <c r="D1763" s="98"/>
      <c r="E1763" s="98"/>
      <c r="F1763" s="99"/>
      <c r="G1763" s="100"/>
      <c r="H1763" s="100"/>
    </row>
    <row r="1764" customHeight="1" spans="2:8">
      <c r="B1764" s="98"/>
      <c r="C1764" s="98"/>
      <c r="D1764" s="98"/>
      <c r="E1764" s="98"/>
      <c r="F1764" s="99"/>
      <c r="G1764" s="100"/>
      <c r="H1764" s="100"/>
    </row>
    <row r="1765" customHeight="1" spans="2:8">
      <c r="B1765" s="98"/>
      <c r="C1765" s="98"/>
      <c r="D1765" s="98"/>
      <c r="E1765" s="98"/>
      <c r="F1765" s="99"/>
      <c r="G1765" s="100"/>
      <c r="H1765" s="100"/>
    </row>
    <row r="1766" customHeight="1" spans="2:8">
      <c r="B1766" s="98"/>
      <c r="C1766" s="98"/>
      <c r="D1766" s="98"/>
      <c r="E1766" s="98"/>
      <c r="F1766" s="99"/>
      <c r="G1766" s="100"/>
      <c r="H1766" s="100"/>
    </row>
    <row r="1767" customHeight="1" spans="2:8">
      <c r="B1767" s="98"/>
      <c r="C1767" s="98"/>
      <c r="D1767" s="98"/>
      <c r="E1767" s="98"/>
      <c r="F1767" s="99"/>
      <c r="G1767" s="100"/>
      <c r="H1767" s="100"/>
    </row>
    <row r="1768" customHeight="1" spans="2:8">
      <c r="B1768" s="98"/>
      <c r="C1768" s="98"/>
      <c r="D1768" s="98"/>
      <c r="E1768" s="98"/>
      <c r="F1768" s="99"/>
      <c r="G1768" s="100"/>
      <c r="H1768" s="100"/>
    </row>
    <row r="1769" customHeight="1" spans="2:8">
      <c r="B1769" s="98"/>
      <c r="C1769" s="98"/>
      <c r="D1769" s="98"/>
      <c r="E1769" s="98"/>
      <c r="F1769" s="99"/>
      <c r="G1769" s="100"/>
      <c r="H1769" s="100"/>
    </row>
    <row r="1770" customHeight="1" spans="2:8">
      <c r="B1770" s="98"/>
      <c r="C1770" s="98"/>
      <c r="D1770" s="98"/>
      <c r="E1770" s="98"/>
      <c r="F1770" s="99"/>
      <c r="G1770" s="100"/>
      <c r="H1770" s="100"/>
    </row>
    <row r="1771" customHeight="1" spans="2:8">
      <c r="B1771" s="98"/>
      <c r="C1771" s="98"/>
      <c r="D1771" s="98"/>
      <c r="E1771" s="98"/>
      <c r="F1771" s="99"/>
      <c r="G1771" s="100"/>
      <c r="H1771" s="100"/>
    </row>
    <row r="1772" customHeight="1" spans="2:8">
      <c r="B1772" s="98"/>
      <c r="C1772" s="98"/>
      <c r="D1772" s="98"/>
      <c r="E1772" s="98"/>
      <c r="F1772" s="99"/>
      <c r="G1772" s="100"/>
      <c r="H1772" s="100"/>
    </row>
    <row r="1773" customHeight="1" spans="2:8">
      <c r="B1773" s="98"/>
      <c r="C1773" s="98"/>
      <c r="D1773" s="98"/>
      <c r="E1773" s="98"/>
      <c r="F1773" s="99"/>
      <c r="G1773" s="100"/>
      <c r="H1773" s="100"/>
    </row>
    <row r="1774" customHeight="1" spans="2:8">
      <c r="B1774" s="98"/>
      <c r="C1774" s="98"/>
      <c r="D1774" s="98"/>
      <c r="E1774" s="98"/>
      <c r="F1774" s="99"/>
      <c r="G1774" s="100"/>
      <c r="H1774" s="100"/>
    </row>
    <row r="1775" customHeight="1" spans="2:8">
      <c r="B1775" s="98"/>
      <c r="C1775" s="98"/>
      <c r="D1775" s="98"/>
      <c r="E1775" s="98"/>
      <c r="F1775" s="99"/>
      <c r="G1775" s="100"/>
      <c r="H1775" s="100"/>
    </row>
    <row r="1776" customHeight="1" spans="2:8">
      <c r="B1776" s="98"/>
      <c r="C1776" s="98"/>
      <c r="D1776" s="98"/>
      <c r="E1776" s="98"/>
      <c r="F1776" s="99"/>
      <c r="G1776" s="100"/>
      <c r="H1776" s="100"/>
    </row>
    <row r="1777" customHeight="1" spans="2:8">
      <c r="B1777" s="98"/>
      <c r="C1777" s="98"/>
      <c r="D1777" s="98"/>
      <c r="E1777" s="98"/>
      <c r="F1777" s="99"/>
      <c r="G1777" s="100"/>
      <c r="H1777" s="100"/>
    </row>
    <row r="1778" customHeight="1" spans="2:8">
      <c r="B1778" s="98"/>
      <c r="C1778" s="98"/>
      <c r="D1778" s="98"/>
      <c r="E1778" s="98"/>
      <c r="F1778" s="99"/>
      <c r="G1778" s="100"/>
      <c r="H1778" s="100"/>
    </row>
    <row r="1779" customHeight="1" spans="2:8">
      <c r="B1779" s="98"/>
      <c r="C1779" s="98"/>
      <c r="D1779" s="98"/>
      <c r="E1779" s="98"/>
      <c r="F1779" s="99"/>
      <c r="G1779" s="100"/>
      <c r="H1779" s="100"/>
    </row>
    <row r="1780" customHeight="1" spans="2:8">
      <c r="B1780" s="98"/>
      <c r="C1780" s="98"/>
      <c r="D1780" s="98"/>
      <c r="E1780" s="98"/>
      <c r="F1780" s="99"/>
      <c r="G1780" s="100"/>
      <c r="H1780" s="100"/>
    </row>
    <row r="1781" customHeight="1" spans="2:8">
      <c r="B1781" s="98"/>
      <c r="C1781" s="98"/>
      <c r="D1781" s="98"/>
      <c r="E1781" s="98"/>
      <c r="F1781" s="99"/>
      <c r="G1781" s="100"/>
      <c r="H1781" s="100"/>
    </row>
    <row r="1782" customHeight="1" spans="2:8">
      <c r="B1782" s="98"/>
      <c r="C1782" s="98"/>
      <c r="D1782" s="98"/>
      <c r="E1782" s="98"/>
      <c r="F1782" s="99"/>
      <c r="G1782" s="100"/>
      <c r="H1782" s="100"/>
    </row>
    <row r="1783" customHeight="1" spans="2:8">
      <c r="B1783" s="98"/>
      <c r="C1783" s="98"/>
      <c r="D1783" s="98"/>
      <c r="E1783" s="98"/>
      <c r="F1783" s="99"/>
      <c r="G1783" s="100"/>
      <c r="H1783" s="100"/>
    </row>
    <row r="1784" customHeight="1" spans="2:8">
      <c r="B1784" s="98"/>
      <c r="C1784" s="98"/>
      <c r="D1784" s="98"/>
      <c r="E1784" s="98"/>
      <c r="F1784" s="99"/>
      <c r="G1784" s="100"/>
      <c r="H1784" s="100"/>
    </row>
    <row r="1785" customHeight="1" spans="2:8">
      <c r="B1785" s="98"/>
      <c r="C1785" s="98"/>
      <c r="D1785" s="98"/>
      <c r="E1785" s="98"/>
      <c r="F1785" s="99"/>
      <c r="G1785" s="100"/>
      <c r="H1785" s="100"/>
    </row>
    <row r="1786" customHeight="1" spans="2:8">
      <c r="B1786" s="98"/>
      <c r="C1786" s="98"/>
      <c r="D1786" s="98"/>
      <c r="E1786" s="98"/>
      <c r="F1786" s="99"/>
      <c r="G1786" s="100"/>
      <c r="H1786" s="100"/>
    </row>
    <row r="1787" customHeight="1" spans="2:8">
      <c r="B1787" s="98"/>
      <c r="C1787" s="98"/>
      <c r="D1787" s="98"/>
      <c r="E1787" s="98"/>
      <c r="F1787" s="99"/>
      <c r="G1787" s="100"/>
      <c r="H1787" s="100"/>
    </row>
    <row r="1788" customHeight="1" spans="2:8">
      <c r="B1788" s="98"/>
      <c r="C1788" s="98"/>
      <c r="D1788" s="98"/>
      <c r="E1788" s="98"/>
      <c r="F1788" s="99"/>
      <c r="G1788" s="100"/>
      <c r="H1788" s="100"/>
    </row>
    <row r="1789" customHeight="1" spans="2:8">
      <c r="B1789" s="98"/>
      <c r="C1789" s="98"/>
      <c r="D1789" s="98"/>
      <c r="E1789" s="98"/>
      <c r="F1789" s="99"/>
      <c r="G1789" s="100"/>
      <c r="H1789" s="100"/>
    </row>
    <row r="1790" customHeight="1" spans="2:8">
      <c r="B1790" s="98"/>
      <c r="C1790" s="98"/>
      <c r="D1790" s="98"/>
      <c r="E1790" s="98"/>
      <c r="F1790" s="99"/>
      <c r="G1790" s="100"/>
      <c r="H1790" s="100"/>
    </row>
    <row r="1791" customHeight="1" spans="2:8">
      <c r="B1791" s="98"/>
      <c r="C1791" s="98"/>
      <c r="D1791" s="98"/>
      <c r="E1791" s="98"/>
      <c r="F1791" s="99"/>
      <c r="G1791" s="100"/>
      <c r="H1791" s="100"/>
    </row>
    <row r="1792" customHeight="1" spans="2:8">
      <c r="B1792" s="98"/>
      <c r="C1792" s="98"/>
      <c r="D1792" s="98"/>
      <c r="E1792" s="98"/>
      <c r="F1792" s="99"/>
      <c r="G1792" s="100"/>
      <c r="H1792" s="100"/>
    </row>
    <row r="1793" customHeight="1" spans="2:8">
      <c r="B1793" s="98"/>
      <c r="C1793" s="98"/>
      <c r="D1793" s="98"/>
      <c r="E1793" s="98"/>
      <c r="F1793" s="99"/>
      <c r="G1793" s="100"/>
      <c r="H1793" s="100"/>
    </row>
    <row r="1794" customHeight="1" spans="2:8">
      <c r="B1794" s="98"/>
      <c r="C1794" s="98"/>
      <c r="D1794" s="98"/>
      <c r="E1794" s="98"/>
      <c r="F1794" s="99"/>
      <c r="G1794" s="100"/>
      <c r="H1794" s="100"/>
    </row>
    <row r="1795" customHeight="1" spans="2:8">
      <c r="B1795" s="98"/>
      <c r="C1795" s="98"/>
      <c r="D1795" s="98"/>
      <c r="E1795" s="98"/>
      <c r="F1795" s="99"/>
      <c r="G1795" s="100"/>
      <c r="H1795" s="100"/>
    </row>
    <row r="1796" customHeight="1" spans="2:8">
      <c r="B1796" s="98"/>
      <c r="C1796" s="98"/>
      <c r="D1796" s="98"/>
      <c r="E1796" s="98"/>
      <c r="F1796" s="99"/>
      <c r="G1796" s="100"/>
      <c r="H1796" s="100"/>
    </row>
    <row r="1797" customHeight="1" spans="2:8">
      <c r="B1797" s="98"/>
      <c r="C1797" s="98"/>
      <c r="D1797" s="98"/>
      <c r="E1797" s="98"/>
      <c r="F1797" s="99"/>
      <c r="G1797" s="100"/>
      <c r="H1797" s="100"/>
    </row>
    <row r="1798" customHeight="1" spans="2:8">
      <c r="B1798" s="98"/>
      <c r="C1798" s="98"/>
      <c r="D1798" s="98"/>
      <c r="E1798" s="98"/>
      <c r="F1798" s="99"/>
      <c r="G1798" s="100"/>
      <c r="H1798" s="100"/>
    </row>
    <row r="1799" customHeight="1" spans="2:8">
      <c r="B1799" s="98"/>
      <c r="C1799" s="98"/>
      <c r="D1799" s="98"/>
      <c r="E1799" s="98"/>
      <c r="F1799" s="99"/>
      <c r="G1799" s="100"/>
      <c r="H1799" s="100"/>
    </row>
    <row r="1800" customHeight="1" spans="2:8">
      <c r="B1800" s="98"/>
      <c r="C1800" s="98"/>
      <c r="D1800" s="98"/>
      <c r="E1800" s="98"/>
      <c r="F1800" s="99"/>
      <c r="G1800" s="100"/>
      <c r="H1800" s="100"/>
    </row>
    <row r="1801" customHeight="1" spans="2:8">
      <c r="B1801" s="98"/>
      <c r="C1801" s="98"/>
      <c r="D1801" s="98"/>
      <c r="E1801" s="98"/>
      <c r="F1801" s="99"/>
      <c r="G1801" s="100"/>
      <c r="H1801" s="100"/>
    </row>
    <row r="1802" customHeight="1" spans="2:8">
      <c r="B1802" s="98"/>
      <c r="C1802" s="98"/>
      <c r="D1802" s="98"/>
      <c r="E1802" s="98"/>
      <c r="F1802" s="99"/>
      <c r="G1802" s="100"/>
      <c r="H1802" s="100"/>
    </row>
    <row r="1803" customHeight="1" spans="2:8">
      <c r="B1803" s="98"/>
      <c r="C1803" s="98"/>
      <c r="D1803" s="98"/>
      <c r="E1803" s="98"/>
      <c r="F1803" s="99"/>
      <c r="G1803" s="100"/>
      <c r="H1803" s="100"/>
    </row>
    <row r="1804" customHeight="1" spans="2:8">
      <c r="B1804" s="98"/>
      <c r="C1804" s="98"/>
      <c r="D1804" s="98"/>
      <c r="E1804" s="98"/>
      <c r="F1804" s="99"/>
      <c r="G1804" s="100"/>
      <c r="H1804" s="100"/>
    </row>
    <row r="1805" customHeight="1" spans="2:8">
      <c r="B1805" s="98"/>
      <c r="C1805" s="98"/>
      <c r="D1805" s="98"/>
      <c r="E1805" s="98"/>
      <c r="F1805" s="99"/>
      <c r="G1805" s="100"/>
      <c r="H1805" s="100"/>
    </row>
    <row r="1806" customHeight="1" spans="2:8">
      <c r="B1806" s="98"/>
      <c r="C1806" s="98"/>
      <c r="D1806" s="98"/>
      <c r="E1806" s="98"/>
      <c r="F1806" s="99"/>
      <c r="G1806" s="100"/>
      <c r="H1806" s="100"/>
    </row>
    <row r="1807" customHeight="1" spans="2:8">
      <c r="B1807" s="98"/>
      <c r="C1807" s="98"/>
      <c r="D1807" s="98"/>
      <c r="E1807" s="98"/>
      <c r="F1807" s="99"/>
      <c r="G1807" s="100"/>
      <c r="H1807" s="100"/>
    </row>
    <row r="1808" customHeight="1" spans="2:8">
      <c r="B1808" s="98"/>
      <c r="C1808" s="98"/>
      <c r="D1808" s="98"/>
      <c r="E1808" s="98"/>
      <c r="F1808" s="99"/>
      <c r="G1808" s="100"/>
      <c r="H1808" s="100"/>
    </row>
    <row r="1809" customHeight="1" spans="2:8">
      <c r="B1809" s="98"/>
      <c r="C1809" s="98"/>
      <c r="D1809" s="98"/>
      <c r="E1809" s="98"/>
      <c r="F1809" s="99"/>
      <c r="G1809" s="100"/>
      <c r="H1809" s="100"/>
    </row>
    <row r="1810" customHeight="1" spans="2:8">
      <c r="B1810" s="98"/>
      <c r="C1810" s="98"/>
      <c r="D1810" s="98"/>
      <c r="E1810" s="98"/>
      <c r="F1810" s="99"/>
      <c r="G1810" s="100"/>
      <c r="H1810" s="100"/>
    </row>
    <row r="1811" customHeight="1" spans="2:8">
      <c r="B1811" s="98"/>
      <c r="C1811" s="98"/>
      <c r="D1811" s="98"/>
      <c r="E1811" s="98"/>
      <c r="F1811" s="99"/>
      <c r="G1811" s="100"/>
      <c r="H1811" s="100"/>
    </row>
    <row r="1812" customHeight="1" spans="2:8">
      <c r="B1812" s="98"/>
      <c r="C1812" s="98"/>
      <c r="D1812" s="98"/>
      <c r="E1812" s="98"/>
      <c r="F1812" s="99"/>
      <c r="G1812" s="100"/>
      <c r="H1812" s="100"/>
    </row>
    <row r="1813" customHeight="1" spans="2:8">
      <c r="B1813" s="98"/>
      <c r="C1813" s="98"/>
      <c r="D1813" s="98"/>
      <c r="E1813" s="98"/>
      <c r="F1813" s="99"/>
      <c r="G1813" s="100"/>
      <c r="H1813" s="100"/>
    </row>
    <row r="1814" customHeight="1" spans="2:8">
      <c r="B1814" s="98"/>
      <c r="C1814" s="98"/>
      <c r="D1814" s="98"/>
      <c r="E1814" s="98"/>
      <c r="F1814" s="99"/>
      <c r="G1814" s="100"/>
      <c r="H1814" s="100"/>
    </row>
    <row r="1815" customHeight="1" spans="2:8">
      <c r="B1815" s="98"/>
      <c r="C1815" s="98"/>
      <c r="D1815" s="98"/>
      <c r="E1815" s="98"/>
      <c r="F1815" s="99"/>
      <c r="G1815" s="100"/>
      <c r="H1815" s="100"/>
    </row>
    <row r="1816" customHeight="1" spans="2:8">
      <c r="B1816" s="98"/>
      <c r="C1816" s="98"/>
      <c r="D1816" s="98"/>
      <c r="E1816" s="98"/>
      <c r="F1816" s="99"/>
      <c r="G1816" s="100"/>
      <c r="H1816" s="100"/>
    </row>
    <row r="1817" customHeight="1" spans="2:8">
      <c r="B1817" s="98"/>
      <c r="C1817" s="98"/>
      <c r="D1817" s="98"/>
      <c r="E1817" s="98"/>
      <c r="F1817" s="99"/>
      <c r="G1817" s="100"/>
      <c r="H1817" s="100"/>
    </row>
    <row r="1818" customHeight="1" spans="2:8">
      <c r="B1818" s="98"/>
      <c r="C1818" s="98"/>
      <c r="D1818" s="98"/>
      <c r="E1818" s="98"/>
      <c r="F1818" s="99"/>
      <c r="G1818" s="100"/>
      <c r="H1818" s="100"/>
    </row>
    <row r="1819" customHeight="1" spans="2:8">
      <c r="B1819" s="98"/>
      <c r="C1819" s="98"/>
      <c r="D1819" s="98"/>
      <c r="E1819" s="98"/>
      <c r="F1819" s="99"/>
      <c r="G1819" s="100"/>
      <c r="H1819" s="100"/>
    </row>
    <row r="1820" customHeight="1" spans="2:8">
      <c r="B1820" s="98"/>
      <c r="C1820" s="98"/>
      <c r="D1820" s="98"/>
      <c r="E1820" s="98"/>
      <c r="F1820" s="99"/>
      <c r="G1820" s="100"/>
      <c r="H1820" s="100"/>
    </row>
    <row r="1821" customHeight="1" spans="2:8">
      <c r="B1821" s="98"/>
      <c r="C1821" s="98"/>
      <c r="D1821" s="98"/>
      <c r="E1821" s="98"/>
      <c r="F1821" s="99"/>
      <c r="G1821" s="100"/>
      <c r="H1821" s="100"/>
    </row>
    <row r="1822" customHeight="1" spans="2:8">
      <c r="B1822" s="98"/>
      <c r="C1822" s="98"/>
      <c r="D1822" s="98"/>
      <c r="E1822" s="98"/>
      <c r="F1822" s="99"/>
      <c r="G1822" s="100"/>
      <c r="H1822" s="100"/>
    </row>
    <row r="1823" customHeight="1" spans="2:8">
      <c r="B1823" s="98"/>
      <c r="C1823" s="98"/>
      <c r="D1823" s="98"/>
      <c r="E1823" s="98"/>
      <c r="F1823" s="99"/>
      <c r="G1823" s="100"/>
      <c r="H1823" s="100"/>
    </row>
    <row r="1824" customHeight="1" spans="2:8">
      <c r="B1824" s="98"/>
      <c r="C1824" s="98"/>
      <c r="D1824" s="98"/>
      <c r="E1824" s="98"/>
      <c r="F1824" s="99"/>
      <c r="G1824" s="100"/>
      <c r="H1824" s="100"/>
    </row>
    <row r="1825" customHeight="1" spans="2:8">
      <c r="B1825" s="98"/>
      <c r="C1825" s="98"/>
      <c r="D1825" s="98"/>
      <c r="E1825" s="98"/>
      <c r="F1825" s="99"/>
      <c r="G1825" s="100"/>
      <c r="H1825" s="100"/>
    </row>
    <row r="1826" customHeight="1" spans="2:8">
      <c r="B1826" s="98"/>
      <c r="C1826" s="98"/>
      <c r="D1826" s="98"/>
      <c r="E1826" s="98"/>
      <c r="F1826" s="99"/>
      <c r="G1826" s="100"/>
      <c r="H1826" s="100"/>
    </row>
    <row r="1827" customHeight="1" spans="2:8">
      <c r="B1827" s="98"/>
      <c r="C1827" s="98"/>
      <c r="D1827" s="98"/>
      <c r="E1827" s="98"/>
      <c r="F1827" s="99"/>
      <c r="G1827" s="100"/>
      <c r="H1827" s="100"/>
    </row>
    <row r="1828" customHeight="1" spans="2:8">
      <c r="B1828" s="98"/>
      <c r="C1828" s="98"/>
      <c r="D1828" s="98"/>
      <c r="E1828" s="98"/>
      <c r="F1828" s="99"/>
      <c r="G1828" s="100"/>
      <c r="H1828" s="100"/>
    </row>
    <row r="1829" customHeight="1" spans="2:8">
      <c r="B1829" s="98"/>
      <c r="C1829" s="98"/>
      <c r="D1829" s="98"/>
      <c r="E1829" s="98"/>
      <c r="F1829" s="99"/>
      <c r="G1829" s="100"/>
      <c r="H1829" s="100"/>
    </row>
    <row r="1830" customHeight="1" spans="2:8">
      <c r="B1830" s="98"/>
      <c r="C1830" s="98"/>
      <c r="D1830" s="98"/>
      <c r="E1830" s="98"/>
      <c r="F1830" s="99"/>
      <c r="G1830" s="100"/>
      <c r="H1830" s="100"/>
    </row>
    <row r="1831" customHeight="1" spans="2:8">
      <c r="B1831" s="98"/>
      <c r="C1831" s="98"/>
      <c r="D1831" s="98"/>
      <c r="E1831" s="98"/>
      <c r="F1831" s="99"/>
      <c r="G1831" s="100"/>
      <c r="H1831" s="100"/>
    </row>
    <row r="1832" customHeight="1" spans="2:8">
      <c r="B1832" s="98"/>
      <c r="C1832" s="98"/>
      <c r="D1832" s="98"/>
      <c r="E1832" s="98"/>
      <c r="F1832" s="99"/>
      <c r="G1832" s="100"/>
      <c r="H1832" s="100"/>
    </row>
    <row r="1833" customHeight="1" spans="2:8">
      <c r="B1833" s="98"/>
      <c r="C1833" s="98"/>
      <c r="D1833" s="98"/>
      <c r="E1833" s="98"/>
      <c r="F1833" s="99"/>
      <c r="G1833" s="100"/>
      <c r="H1833" s="100"/>
    </row>
    <row r="1834" customHeight="1" spans="2:8">
      <c r="B1834" s="98"/>
      <c r="C1834" s="98"/>
      <c r="D1834" s="98"/>
      <c r="E1834" s="98"/>
      <c r="F1834" s="99"/>
      <c r="G1834" s="100"/>
      <c r="H1834" s="100"/>
    </row>
    <row r="1835" customHeight="1" spans="2:8">
      <c r="B1835" s="98"/>
      <c r="C1835" s="98"/>
      <c r="D1835" s="98"/>
      <c r="E1835" s="98"/>
      <c r="F1835" s="99"/>
      <c r="G1835" s="100"/>
      <c r="H1835" s="100"/>
    </row>
    <row r="1836" customHeight="1" spans="2:8">
      <c r="B1836" s="98"/>
      <c r="C1836" s="98"/>
      <c r="D1836" s="98"/>
      <c r="E1836" s="98"/>
      <c r="F1836" s="99"/>
      <c r="G1836" s="100"/>
      <c r="H1836" s="100"/>
    </row>
    <row r="1837" customHeight="1" spans="2:8">
      <c r="B1837" s="98"/>
      <c r="C1837" s="98"/>
      <c r="D1837" s="98"/>
      <c r="E1837" s="98"/>
      <c r="F1837" s="99"/>
      <c r="G1837" s="100"/>
      <c r="H1837" s="100"/>
    </row>
    <row r="1838" customHeight="1" spans="2:8">
      <c r="B1838" s="98"/>
      <c r="C1838" s="98"/>
      <c r="D1838" s="98"/>
      <c r="E1838" s="98"/>
      <c r="F1838" s="99"/>
      <c r="G1838" s="100"/>
      <c r="H1838" s="100"/>
    </row>
    <row r="1839" customHeight="1" spans="2:8">
      <c r="B1839" s="98"/>
      <c r="C1839" s="98"/>
      <c r="D1839" s="98"/>
      <c r="E1839" s="98"/>
      <c r="F1839" s="99"/>
      <c r="G1839" s="100"/>
      <c r="H1839" s="100"/>
    </row>
    <row r="1840" customHeight="1" spans="2:8">
      <c r="B1840" s="98"/>
      <c r="C1840" s="98"/>
      <c r="D1840" s="98"/>
      <c r="E1840" s="98"/>
      <c r="F1840" s="99"/>
      <c r="G1840" s="100"/>
      <c r="H1840" s="100"/>
    </row>
    <row r="1841" customHeight="1" spans="2:8">
      <c r="B1841" s="98"/>
      <c r="C1841" s="98"/>
      <c r="D1841" s="98"/>
      <c r="E1841" s="98"/>
      <c r="F1841" s="99"/>
      <c r="G1841" s="100"/>
      <c r="H1841" s="100"/>
    </row>
    <row r="1842" customHeight="1" spans="2:8">
      <c r="B1842" s="98"/>
      <c r="C1842" s="98"/>
      <c r="D1842" s="98"/>
      <c r="E1842" s="98"/>
      <c r="F1842" s="99"/>
      <c r="G1842" s="100"/>
      <c r="H1842" s="100"/>
    </row>
    <row r="1843" customHeight="1" spans="2:8">
      <c r="B1843" s="98"/>
      <c r="C1843" s="98"/>
      <c r="D1843" s="98"/>
      <c r="E1843" s="98"/>
      <c r="F1843" s="99"/>
      <c r="G1843" s="100"/>
      <c r="H1843" s="100"/>
    </row>
    <row r="1844" customHeight="1" spans="2:8">
      <c r="B1844" s="98"/>
      <c r="C1844" s="98"/>
      <c r="D1844" s="98"/>
      <c r="E1844" s="98"/>
      <c r="F1844" s="99"/>
      <c r="G1844" s="100"/>
      <c r="H1844" s="100"/>
    </row>
    <row r="1845" customHeight="1" spans="2:8">
      <c r="B1845" s="98"/>
      <c r="C1845" s="98"/>
      <c r="D1845" s="98"/>
      <c r="E1845" s="98"/>
      <c r="F1845" s="99"/>
      <c r="G1845" s="100"/>
      <c r="H1845" s="100"/>
    </row>
    <row r="1846" customHeight="1" spans="2:8">
      <c r="B1846" s="98"/>
      <c r="C1846" s="98"/>
      <c r="D1846" s="98"/>
      <c r="E1846" s="98"/>
      <c r="F1846" s="99"/>
      <c r="G1846" s="100"/>
      <c r="H1846" s="100"/>
    </row>
    <row r="1847" customHeight="1" spans="2:8">
      <c r="B1847" s="98"/>
      <c r="C1847" s="98"/>
      <c r="D1847" s="98"/>
      <c r="E1847" s="98"/>
      <c r="F1847" s="99"/>
      <c r="G1847" s="100"/>
      <c r="H1847" s="100"/>
    </row>
    <row r="1848" customHeight="1" spans="2:8">
      <c r="B1848" s="98"/>
      <c r="C1848" s="98"/>
      <c r="D1848" s="98"/>
      <c r="E1848" s="98"/>
      <c r="F1848" s="99"/>
      <c r="G1848" s="100"/>
      <c r="H1848" s="100"/>
    </row>
    <row r="1849" customHeight="1" spans="2:8">
      <c r="B1849" s="98"/>
      <c r="C1849" s="98"/>
      <c r="D1849" s="98"/>
      <c r="E1849" s="98"/>
      <c r="F1849" s="99"/>
      <c r="G1849" s="100"/>
      <c r="H1849" s="100"/>
    </row>
    <row r="1850" customHeight="1" spans="2:8">
      <c r="B1850" s="98"/>
      <c r="C1850" s="98"/>
      <c r="D1850" s="98"/>
      <c r="E1850" s="98"/>
      <c r="F1850" s="99"/>
      <c r="G1850" s="100"/>
      <c r="H1850" s="100"/>
    </row>
    <row r="1851" customHeight="1" spans="2:8">
      <c r="B1851" s="98"/>
      <c r="C1851" s="98"/>
      <c r="D1851" s="98"/>
      <c r="E1851" s="98"/>
      <c r="F1851" s="99"/>
      <c r="G1851" s="100"/>
      <c r="H1851" s="100"/>
    </row>
    <row r="1852" customHeight="1" spans="2:8">
      <c r="B1852" s="98"/>
      <c r="C1852" s="98"/>
      <c r="D1852" s="98"/>
      <c r="E1852" s="98"/>
      <c r="F1852" s="99"/>
      <c r="G1852" s="100"/>
      <c r="H1852" s="100"/>
    </row>
    <row r="1853" customHeight="1" spans="2:8">
      <c r="B1853" s="98"/>
      <c r="C1853" s="98"/>
      <c r="D1853" s="98"/>
      <c r="E1853" s="98"/>
      <c r="F1853" s="99"/>
      <c r="G1853" s="100"/>
      <c r="H1853" s="100"/>
    </row>
    <row r="1854" customHeight="1" spans="2:8">
      <c r="B1854" s="98"/>
      <c r="C1854" s="98"/>
      <c r="D1854" s="98"/>
      <c r="E1854" s="98"/>
      <c r="F1854" s="99"/>
      <c r="G1854" s="100"/>
      <c r="H1854" s="100"/>
    </row>
    <row r="1855" customHeight="1" spans="2:8">
      <c r="B1855" s="98"/>
      <c r="C1855" s="98"/>
      <c r="D1855" s="98"/>
      <c r="E1855" s="98"/>
      <c r="F1855" s="99"/>
      <c r="G1855" s="100"/>
      <c r="H1855" s="100"/>
    </row>
    <row r="1856" customHeight="1" spans="2:8">
      <c r="B1856" s="98"/>
      <c r="C1856" s="98"/>
      <c r="D1856" s="98"/>
      <c r="E1856" s="98"/>
      <c r="F1856" s="99"/>
      <c r="G1856" s="100"/>
      <c r="H1856" s="100"/>
    </row>
    <row r="1857" customHeight="1" spans="2:8">
      <c r="B1857" s="98"/>
      <c r="C1857" s="98"/>
      <c r="D1857" s="98"/>
      <c r="E1857" s="98"/>
      <c r="F1857" s="99"/>
      <c r="G1857" s="100"/>
      <c r="H1857" s="100"/>
    </row>
    <row r="1858" customHeight="1" spans="2:8">
      <c r="B1858" s="98"/>
      <c r="C1858" s="98"/>
      <c r="D1858" s="98"/>
      <c r="E1858" s="98"/>
      <c r="F1858" s="99"/>
      <c r="G1858" s="100"/>
      <c r="H1858" s="100"/>
    </row>
    <row r="1859" customHeight="1" spans="2:8">
      <c r="B1859" s="98"/>
      <c r="C1859" s="98"/>
      <c r="D1859" s="98"/>
      <c r="E1859" s="98"/>
      <c r="F1859" s="99"/>
      <c r="G1859" s="100"/>
      <c r="H1859" s="100"/>
    </row>
    <row r="1860" customHeight="1" spans="2:8">
      <c r="B1860" s="98"/>
      <c r="C1860" s="98"/>
      <c r="D1860" s="98"/>
      <c r="E1860" s="98"/>
      <c r="F1860" s="99"/>
      <c r="G1860" s="100"/>
      <c r="H1860" s="100"/>
    </row>
    <row r="1861" customHeight="1" spans="2:8">
      <c r="B1861" s="98"/>
      <c r="C1861" s="98"/>
      <c r="D1861" s="98"/>
      <c r="E1861" s="98"/>
      <c r="F1861" s="99"/>
      <c r="G1861" s="100"/>
      <c r="H1861" s="100"/>
    </row>
    <row r="1862" customHeight="1" spans="2:8">
      <c r="B1862" s="98"/>
      <c r="C1862" s="98"/>
      <c r="D1862" s="98"/>
      <c r="E1862" s="98"/>
      <c r="F1862" s="99"/>
      <c r="G1862" s="100"/>
      <c r="H1862" s="100"/>
    </row>
    <row r="1863" customHeight="1" spans="2:8">
      <c r="B1863" s="98"/>
      <c r="C1863" s="98"/>
      <c r="D1863" s="98"/>
      <c r="E1863" s="98"/>
      <c r="F1863" s="99"/>
      <c r="G1863" s="100"/>
      <c r="H1863" s="100"/>
    </row>
    <row r="1864" customHeight="1" spans="2:8">
      <c r="B1864" s="98"/>
      <c r="C1864" s="98"/>
      <c r="D1864" s="98"/>
      <c r="E1864" s="98"/>
      <c r="F1864" s="99"/>
      <c r="G1864" s="100"/>
      <c r="H1864" s="100"/>
    </row>
    <row r="1865" customHeight="1" spans="2:8">
      <c r="B1865" s="98"/>
      <c r="C1865" s="98"/>
      <c r="D1865" s="98"/>
      <c r="E1865" s="98"/>
      <c r="F1865" s="99"/>
      <c r="G1865" s="100"/>
      <c r="H1865" s="100"/>
    </row>
    <row r="1866" customHeight="1" spans="2:8">
      <c r="B1866" s="98"/>
      <c r="C1866" s="98"/>
      <c r="D1866" s="98"/>
      <c r="E1866" s="98"/>
      <c r="F1866" s="99"/>
      <c r="G1866" s="100"/>
      <c r="H1866" s="100"/>
    </row>
    <row r="1867" customHeight="1" spans="2:8">
      <c r="B1867" s="98"/>
      <c r="C1867" s="98"/>
      <c r="D1867" s="98"/>
      <c r="E1867" s="98"/>
      <c r="F1867" s="99"/>
      <c r="G1867" s="100"/>
      <c r="H1867" s="100"/>
    </row>
    <row r="1868" customHeight="1" spans="2:8">
      <c r="B1868" s="98"/>
      <c r="C1868" s="98"/>
      <c r="D1868" s="98"/>
      <c r="E1868" s="98"/>
      <c r="F1868" s="99"/>
      <c r="G1868" s="100"/>
      <c r="H1868" s="100"/>
    </row>
    <row r="1869" customHeight="1" spans="2:8">
      <c r="B1869" s="98"/>
      <c r="C1869" s="98"/>
      <c r="D1869" s="98"/>
      <c r="E1869" s="98"/>
      <c r="F1869" s="99"/>
      <c r="G1869" s="100"/>
      <c r="H1869" s="100"/>
    </row>
    <row r="1870" customHeight="1" spans="2:8">
      <c r="B1870" s="98"/>
      <c r="C1870" s="98"/>
      <c r="D1870" s="98"/>
      <c r="E1870" s="98"/>
      <c r="F1870" s="99"/>
      <c r="G1870" s="100"/>
      <c r="H1870" s="100"/>
    </row>
    <row r="1871" customHeight="1" spans="2:8">
      <c r="B1871" s="98"/>
      <c r="C1871" s="98"/>
      <c r="D1871" s="98"/>
      <c r="E1871" s="98"/>
      <c r="F1871" s="99"/>
      <c r="G1871" s="100"/>
      <c r="H1871" s="100"/>
    </row>
    <row r="1872" customHeight="1" spans="2:8">
      <c r="B1872" s="98"/>
      <c r="C1872" s="98"/>
      <c r="D1872" s="98"/>
      <c r="E1872" s="98"/>
      <c r="F1872" s="99"/>
      <c r="G1872" s="100"/>
      <c r="H1872" s="100"/>
    </row>
    <row r="1873" customHeight="1" spans="2:8">
      <c r="B1873" s="98"/>
      <c r="C1873" s="98"/>
      <c r="D1873" s="98"/>
      <c r="E1873" s="98"/>
      <c r="F1873" s="99"/>
      <c r="G1873" s="100"/>
      <c r="H1873" s="100"/>
    </row>
    <row r="1874" customHeight="1" spans="2:8">
      <c r="B1874" s="98"/>
      <c r="C1874" s="98"/>
      <c r="D1874" s="98"/>
      <c r="E1874" s="98"/>
      <c r="F1874" s="99"/>
      <c r="G1874" s="100"/>
      <c r="H1874" s="100"/>
    </row>
    <row r="1875" customHeight="1" spans="2:8">
      <c r="B1875" s="98"/>
      <c r="C1875" s="98"/>
      <c r="D1875" s="98"/>
      <c r="E1875" s="98"/>
      <c r="F1875" s="99"/>
      <c r="G1875" s="100"/>
      <c r="H1875" s="100"/>
    </row>
    <row r="1876" customHeight="1" spans="2:8">
      <c r="B1876" s="98"/>
      <c r="C1876" s="98"/>
      <c r="D1876" s="98"/>
      <c r="E1876" s="98"/>
      <c r="F1876" s="99"/>
      <c r="G1876" s="100"/>
      <c r="H1876" s="100"/>
    </row>
    <row r="1877" customHeight="1" spans="2:8">
      <c r="B1877" s="98"/>
      <c r="C1877" s="98"/>
      <c r="D1877" s="98"/>
      <c r="E1877" s="98"/>
      <c r="F1877" s="99"/>
      <c r="G1877" s="100"/>
      <c r="H1877" s="100"/>
    </row>
    <row r="1878" customHeight="1" spans="2:8">
      <c r="B1878" s="98"/>
      <c r="C1878" s="98"/>
      <c r="D1878" s="98"/>
      <c r="E1878" s="98"/>
      <c r="F1878" s="99"/>
      <c r="G1878" s="100"/>
      <c r="H1878" s="100"/>
    </row>
    <row r="1879" customHeight="1" spans="2:8">
      <c r="B1879" s="98"/>
      <c r="C1879" s="98"/>
      <c r="D1879" s="98"/>
      <c r="E1879" s="98"/>
      <c r="F1879" s="99"/>
      <c r="G1879" s="100"/>
      <c r="H1879" s="100"/>
    </row>
    <row r="1880" customHeight="1" spans="2:8">
      <c r="B1880" s="98"/>
      <c r="C1880" s="98"/>
      <c r="D1880" s="98"/>
      <c r="E1880" s="98"/>
      <c r="F1880" s="99"/>
      <c r="G1880" s="100"/>
      <c r="H1880" s="100"/>
    </row>
    <row r="1881" customHeight="1" spans="2:8">
      <c r="B1881" s="98"/>
      <c r="C1881" s="98"/>
      <c r="D1881" s="98"/>
      <c r="E1881" s="98"/>
      <c r="F1881" s="99"/>
      <c r="G1881" s="100"/>
      <c r="H1881" s="100"/>
    </row>
    <row r="1882" customHeight="1" spans="2:8">
      <c r="B1882" s="98"/>
      <c r="C1882" s="98"/>
      <c r="D1882" s="98"/>
      <c r="E1882" s="98"/>
      <c r="F1882" s="99"/>
      <c r="G1882" s="100"/>
      <c r="H1882" s="100"/>
    </row>
    <row r="1883" customHeight="1" spans="2:8">
      <c r="B1883" s="98"/>
      <c r="C1883" s="98"/>
      <c r="D1883" s="98"/>
      <c r="E1883" s="98"/>
      <c r="F1883" s="99"/>
      <c r="G1883" s="100"/>
      <c r="H1883" s="100"/>
    </row>
    <row r="1884" customHeight="1" spans="2:8">
      <c r="B1884" s="98"/>
      <c r="C1884" s="98"/>
      <c r="D1884" s="98"/>
      <c r="E1884" s="98"/>
      <c r="F1884" s="99"/>
      <c r="G1884" s="100"/>
      <c r="H1884" s="100"/>
    </row>
    <row r="1885" customHeight="1" spans="2:8">
      <c r="B1885" s="98"/>
      <c r="C1885" s="98"/>
      <c r="D1885" s="98"/>
      <c r="E1885" s="98"/>
      <c r="F1885" s="99"/>
      <c r="G1885" s="100"/>
      <c r="H1885" s="100"/>
    </row>
    <row r="1886" customHeight="1" spans="2:8">
      <c r="B1886" s="98"/>
      <c r="C1886" s="98"/>
      <c r="D1886" s="98"/>
      <c r="E1886" s="98"/>
      <c r="F1886" s="99"/>
      <c r="G1886" s="100"/>
      <c r="H1886" s="100"/>
    </row>
    <row r="1887" customHeight="1" spans="2:8">
      <c r="B1887" s="98"/>
      <c r="C1887" s="98"/>
      <c r="D1887" s="98"/>
      <c r="E1887" s="98"/>
      <c r="F1887" s="99"/>
      <c r="G1887" s="100"/>
      <c r="H1887" s="100"/>
    </row>
    <row r="1888" customHeight="1" spans="2:8">
      <c r="B1888" s="98"/>
      <c r="C1888" s="98"/>
      <c r="D1888" s="98"/>
      <c r="E1888" s="98"/>
      <c r="F1888" s="99"/>
      <c r="G1888" s="100"/>
      <c r="H1888" s="100"/>
    </row>
    <row r="1889" customHeight="1" spans="2:8">
      <c r="B1889" s="98"/>
      <c r="C1889" s="98"/>
      <c r="D1889" s="98"/>
      <c r="E1889" s="98"/>
      <c r="F1889" s="99"/>
      <c r="G1889" s="100"/>
      <c r="H1889" s="100"/>
    </row>
    <row r="1890" customHeight="1" spans="2:8">
      <c r="B1890" s="98"/>
      <c r="C1890" s="98"/>
      <c r="D1890" s="98"/>
      <c r="E1890" s="98"/>
      <c r="F1890" s="99"/>
      <c r="G1890" s="100"/>
      <c r="H1890" s="100"/>
    </row>
    <row r="1891" customHeight="1" spans="2:8">
      <c r="B1891" s="98"/>
      <c r="C1891" s="98"/>
      <c r="D1891" s="98"/>
      <c r="E1891" s="98"/>
      <c r="F1891" s="99"/>
      <c r="G1891" s="100"/>
      <c r="H1891" s="100"/>
    </row>
    <row r="1892" customHeight="1" spans="2:8">
      <c r="B1892" s="98"/>
      <c r="C1892" s="98"/>
      <c r="D1892" s="98"/>
      <c r="E1892" s="98"/>
      <c r="F1892" s="99"/>
      <c r="G1892" s="100"/>
      <c r="H1892" s="100"/>
    </row>
    <row r="1893" customHeight="1" spans="2:8">
      <c r="B1893" s="98"/>
      <c r="C1893" s="98"/>
      <c r="D1893" s="98"/>
      <c r="E1893" s="98"/>
      <c r="F1893" s="99"/>
      <c r="G1893" s="100"/>
      <c r="H1893" s="100"/>
    </row>
    <row r="1894" customHeight="1" spans="2:8">
      <c r="B1894" s="98"/>
      <c r="C1894" s="98"/>
      <c r="D1894" s="98"/>
      <c r="E1894" s="98"/>
      <c r="F1894" s="99"/>
      <c r="G1894" s="100"/>
      <c r="H1894" s="100"/>
    </row>
    <row r="1895" customHeight="1" spans="2:8">
      <c r="B1895" s="98"/>
      <c r="C1895" s="98"/>
      <c r="D1895" s="98"/>
      <c r="E1895" s="98"/>
      <c r="F1895" s="99"/>
      <c r="G1895" s="100"/>
      <c r="H1895" s="100"/>
    </row>
    <row r="1896" customHeight="1" spans="2:8">
      <c r="B1896" s="98"/>
      <c r="C1896" s="98"/>
      <c r="D1896" s="98"/>
      <c r="E1896" s="98"/>
      <c r="F1896" s="99"/>
      <c r="G1896" s="100"/>
      <c r="H1896" s="100"/>
    </row>
    <row r="1897" customHeight="1" spans="2:8">
      <c r="B1897" s="98"/>
      <c r="C1897" s="98"/>
      <c r="D1897" s="98"/>
      <c r="E1897" s="98"/>
      <c r="F1897" s="99"/>
      <c r="G1897" s="100"/>
      <c r="H1897" s="100"/>
    </row>
    <row r="1898" customHeight="1" spans="2:8">
      <c r="B1898" s="98"/>
      <c r="C1898" s="98"/>
      <c r="D1898" s="98"/>
      <c r="E1898" s="98"/>
      <c r="F1898" s="99"/>
      <c r="G1898" s="100"/>
      <c r="H1898" s="100"/>
    </row>
    <row r="1899" customHeight="1" spans="2:8">
      <c r="B1899" s="98"/>
      <c r="C1899" s="98"/>
      <c r="D1899" s="98"/>
      <c r="E1899" s="98"/>
      <c r="F1899" s="99"/>
      <c r="G1899" s="100"/>
      <c r="H1899" s="100"/>
    </row>
    <row r="1900" customHeight="1" spans="2:8">
      <c r="B1900" s="98"/>
      <c r="C1900" s="98"/>
      <c r="D1900" s="98"/>
      <c r="E1900" s="98"/>
      <c r="F1900" s="99"/>
      <c r="G1900" s="100"/>
      <c r="H1900" s="100"/>
    </row>
    <row r="1901" customHeight="1" spans="2:8">
      <c r="B1901" s="98"/>
      <c r="C1901" s="98"/>
      <c r="D1901" s="98"/>
      <c r="E1901" s="98"/>
      <c r="F1901" s="99"/>
      <c r="G1901" s="100"/>
      <c r="H1901" s="100"/>
    </row>
    <row r="1902" customHeight="1" spans="2:8">
      <c r="B1902" s="98"/>
      <c r="C1902" s="98"/>
      <c r="D1902" s="98"/>
      <c r="E1902" s="98"/>
      <c r="F1902" s="99"/>
      <c r="G1902" s="100"/>
      <c r="H1902" s="100"/>
    </row>
    <row r="1903" customHeight="1" spans="2:8">
      <c r="B1903" s="98"/>
      <c r="C1903" s="98"/>
      <c r="D1903" s="98"/>
      <c r="E1903" s="98"/>
      <c r="F1903" s="99"/>
      <c r="G1903" s="100"/>
      <c r="H1903" s="100"/>
    </row>
    <row r="1904" customHeight="1" spans="2:8">
      <c r="B1904" s="98"/>
      <c r="C1904" s="98"/>
      <c r="D1904" s="98"/>
      <c r="E1904" s="98"/>
      <c r="F1904" s="99"/>
      <c r="G1904" s="100"/>
      <c r="H1904" s="100"/>
    </row>
    <row r="1905" customHeight="1" spans="2:8">
      <c r="B1905" s="98"/>
      <c r="C1905" s="98"/>
      <c r="D1905" s="98"/>
      <c r="E1905" s="98"/>
      <c r="F1905" s="99"/>
      <c r="G1905" s="100"/>
      <c r="H1905" s="100"/>
    </row>
    <row r="1906" customHeight="1" spans="2:8">
      <c r="B1906" s="98"/>
      <c r="C1906" s="98"/>
      <c r="D1906" s="98"/>
      <c r="E1906" s="98"/>
      <c r="F1906" s="99"/>
      <c r="G1906" s="100"/>
      <c r="H1906" s="100"/>
    </row>
    <row r="1907" customHeight="1" spans="2:8">
      <c r="B1907" s="98"/>
      <c r="C1907" s="98"/>
      <c r="D1907" s="98"/>
      <c r="E1907" s="98"/>
      <c r="F1907" s="99"/>
      <c r="G1907" s="100"/>
      <c r="H1907" s="100"/>
    </row>
    <row r="1908" customHeight="1" spans="2:8">
      <c r="B1908" s="98"/>
      <c r="C1908" s="98"/>
      <c r="D1908" s="98"/>
      <c r="E1908" s="98"/>
      <c r="F1908" s="99"/>
      <c r="G1908" s="100"/>
      <c r="H1908" s="100"/>
    </row>
    <row r="1909" customHeight="1" spans="2:8">
      <c r="B1909" s="98"/>
      <c r="C1909" s="98"/>
      <c r="D1909" s="98"/>
      <c r="E1909" s="98"/>
      <c r="F1909" s="99"/>
      <c r="G1909" s="100"/>
      <c r="H1909" s="100"/>
    </row>
    <row r="1910" customHeight="1" spans="2:8">
      <c r="B1910" s="98"/>
      <c r="C1910" s="98"/>
      <c r="D1910" s="98"/>
      <c r="E1910" s="98"/>
      <c r="F1910" s="99"/>
      <c r="G1910" s="100"/>
      <c r="H1910" s="100"/>
    </row>
    <row r="1911" customHeight="1" spans="2:8">
      <c r="B1911" s="98"/>
      <c r="C1911" s="98"/>
      <c r="D1911" s="98"/>
      <c r="E1911" s="98"/>
      <c r="F1911" s="99"/>
      <c r="G1911" s="100"/>
      <c r="H1911" s="100"/>
    </row>
    <row r="1912" customHeight="1" spans="2:8">
      <c r="B1912" s="98"/>
      <c r="C1912" s="98"/>
      <c r="D1912" s="98"/>
      <c r="E1912" s="98"/>
      <c r="F1912" s="99"/>
      <c r="G1912" s="100"/>
      <c r="H1912" s="100"/>
    </row>
    <row r="1913" customHeight="1" spans="2:8">
      <c r="B1913" s="98"/>
      <c r="C1913" s="98"/>
      <c r="D1913" s="98"/>
      <c r="E1913" s="98"/>
      <c r="F1913" s="99"/>
      <c r="G1913" s="100"/>
      <c r="H1913" s="100"/>
    </row>
    <row r="1914" customHeight="1" spans="2:8">
      <c r="B1914" s="98"/>
      <c r="C1914" s="98"/>
      <c r="D1914" s="98"/>
      <c r="E1914" s="98"/>
      <c r="F1914" s="99"/>
      <c r="G1914" s="100"/>
      <c r="H1914" s="100"/>
    </row>
    <row r="1915" customHeight="1" spans="2:8">
      <c r="B1915" s="98"/>
      <c r="C1915" s="98"/>
      <c r="D1915" s="98"/>
      <c r="E1915" s="98"/>
      <c r="F1915" s="99"/>
      <c r="G1915" s="100"/>
      <c r="H1915" s="100"/>
    </row>
    <row r="1916" customHeight="1" spans="2:8">
      <c r="B1916" s="98"/>
      <c r="C1916" s="98"/>
      <c r="D1916" s="98"/>
      <c r="E1916" s="98"/>
      <c r="F1916" s="99"/>
      <c r="G1916" s="100"/>
      <c r="H1916" s="100"/>
    </row>
    <row r="1917" customHeight="1" spans="2:8">
      <c r="B1917" s="98"/>
      <c r="C1917" s="98"/>
      <c r="D1917" s="98"/>
      <c r="E1917" s="98"/>
      <c r="F1917" s="99"/>
      <c r="G1917" s="100"/>
      <c r="H1917" s="100"/>
    </row>
    <row r="1918" customHeight="1" spans="2:8">
      <c r="B1918" s="98"/>
      <c r="C1918" s="98"/>
      <c r="D1918" s="98"/>
      <c r="E1918" s="98"/>
      <c r="F1918" s="99"/>
      <c r="G1918" s="100"/>
      <c r="H1918" s="100"/>
    </row>
    <row r="1919" customHeight="1" spans="2:8">
      <c r="B1919" s="98"/>
      <c r="C1919" s="98"/>
      <c r="D1919" s="98"/>
      <c r="E1919" s="98"/>
      <c r="F1919" s="99"/>
      <c r="G1919" s="100"/>
      <c r="H1919" s="100"/>
    </row>
    <row r="1920" customHeight="1" spans="2:8">
      <c r="B1920" s="98"/>
      <c r="C1920" s="98"/>
      <c r="D1920" s="98"/>
      <c r="E1920" s="98"/>
      <c r="F1920" s="99"/>
      <c r="G1920" s="100"/>
      <c r="H1920" s="100"/>
    </row>
    <row r="1921" customHeight="1" spans="2:8">
      <c r="B1921" s="98"/>
      <c r="C1921" s="98"/>
      <c r="D1921" s="98"/>
      <c r="E1921" s="98"/>
      <c r="F1921" s="99"/>
      <c r="G1921" s="100"/>
      <c r="H1921" s="100"/>
    </row>
    <row r="1922" customHeight="1" spans="2:8">
      <c r="B1922" s="98"/>
      <c r="C1922" s="98"/>
      <c r="D1922" s="98"/>
      <c r="E1922" s="98"/>
      <c r="F1922" s="99"/>
      <c r="G1922" s="100"/>
      <c r="H1922" s="100"/>
    </row>
    <row r="1923" customHeight="1" spans="2:8">
      <c r="B1923" s="98"/>
      <c r="C1923" s="98"/>
      <c r="D1923" s="98"/>
      <c r="E1923" s="98"/>
      <c r="F1923" s="99"/>
      <c r="G1923" s="100"/>
      <c r="H1923" s="100"/>
    </row>
    <row r="1924" customHeight="1" spans="2:8">
      <c r="B1924" s="98"/>
      <c r="C1924" s="98"/>
      <c r="D1924" s="98"/>
      <c r="E1924" s="98"/>
      <c r="F1924" s="99"/>
      <c r="G1924" s="100"/>
      <c r="H1924" s="100"/>
    </row>
    <row r="1925" customHeight="1" spans="2:8">
      <c r="B1925" s="98"/>
      <c r="C1925" s="98"/>
      <c r="D1925" s="98"/>
      <c r="E1925" s="98"/>
      <c r="F1925" s="99"/>
      <c r="G1925" s="100"/>
      <c r="H1925" s="100"/>
    </row>
    <row r="1926" customHeight="1" spans="2:8">
      <c r="B1926" s="98"/>
      <c r="C1926" s="98"/>
      <c r="D1926" s="98"/>
      <c r="E1926" s="98"/>
      <c r="F1926" s="99"/>
      <c r="G1926" s="100"/>
      <c r="H1926" s="100"/>
    </row>
    <row r="1927" customHeight="1" spans="2:8">
      <c r="B1927" s="98"/>
      <c r="C1927" s="98"/>
      <c r="D1927" s="98"/>
      <c r="E1927" s="98"/>
      <c r="F1927" s="99"/>
      <c r="G1927" s="100"/>
      <c r="H1927" s="100"/>
    </row>
    <row r="1928" customHeight="1" spans="2:8">
      <c r="B1928" s="98"/>
      <c r="C1928" s="98"/>
      <c r="D1928" s="98"/>
      <c r="E1928" s="98"/>
      <c r="F1928" s="99"/>
      <c r="G1928" s="100"/>
      <c r="H1928" s="100"/>
    </row>
    <row r="1929" customHeight="1" spans="2:8">
      <c r="B1929" s="98"/>
      <c r="C1929" s="98"/>
      <c r="D1929" s="98"/>
      <c r="E1929" s="98"/>
      <c r="F1929" s="99"/>
      <c r="G1929" s="100"/>
      <c r="H1929" s="100"/>
    </row>
    <row r="1930" customHeight="1" spans="2:8">
      <c r="B1930" s="98"/>
      <c r="C1930" s="98"/>
      <c r="D1930" s="98"/>
      <c r="E1930" s="98"/>
      <c r="F1930" s="99"/>
      <c r="G1930" s="100"/>
      <c r="H1930" s="100"/>
    </row>
    <row r="1931" customHeight="1" spans="2:8">
      <c r="B1931" s="98"/>
      <c r="C1931" s="98"/>
      <c r="D1931" s="98"/>
      <c r="E1931" s="98"/>
      <c r="F1931" s="99"/>
      <c r="G1931" s="100"/>
      <c r="H1931" s="100"/>
    </row>
    <row r="1932" customHeight="1" spans="2:8">
      <c r="B1932" s="98"/>
      <c r="C1932" s="98"/>
      <c r="D1932" s="98"/>
      <c r="E1932" s="98"/>
      <c r="F1932" s="99"/>
      <c r="G1932" s="100"/>
      <c r="H1932" s="100"/>
    </row>
    <row r="1933" customHeight="1" spans="2:8">
      <c r="B1933" s="98"/>
      <c r="C1933" s="98"/>
      <c r="D1933" s="98"/>
      <c r="E1933" s="98"/>
      <c r="F1933" s="99"/>
      <c r="G1933" s="100"/>
      <c r="H1933" s="100"/>
    </row>
    <row r="1934" customHeight="1" spans="2:8">
      <c r="B1934" s="98"/>
      <c r="C1934" s="98"/>
      <c r="D1934" s="98"/>
      <c r="E1934" s="98"/>
      <c r="F1934" s="99"/>
      <c r="G1934" s="100"/>
      <c r="H1934" s="100"/>
    </row>
    <row r="1935" customHeight="1" spans="2:8">
      <c r="B1935" s="98"/>
      <c r="C1935" s="98"/>
      <c r="D1935" s="98"/>
      <c r="E1935" s="98"/>
      <c r="F1935" s="99"/>
      <c r="G1935" s="100"/>
      <c r="H1935" s="100"/>
    </row>
    <row r="1936" customHeight="1" spans="2:8">
      <c r="B1936" s="98"/>
      <c r="C1936" s="98"/>
      <c r="D1936" s="98"/>
      <c r="E1936" s="98"/>
      <c r="F1936" s="99"/>
      <c r="G1936" s="100"/>
      <c r="H1936" s="100"/>
    </row>
    <row r="1937" customHeight="1" spans="2:8">
      <c r="B1937" s="98"/>
      <c r="C1937" s="98"/>
      <c r="D1937" s="98"/>
      <c r="E1937" s="98"/>
      <c r="F1937" s="99"/>
      <c r="G1937" s="100"/>
      <c r="H1937" s="100"/>
    </row>
    <row r="1938" customHeight="1" spans="2:8">
      <c r="B1938" s="98"/>
      <c r="C1938" s="98"/>
      <c r="D1938" s="98"/>
      <c r="E1938" s="98"/>
      <c r="F1938" s="99"/>
      <c r="G1938" s="100"/>
      <c r="H1938" s="100"/>
    </row>
    <row r="1939" customHeight="1" spans="2:8">
      <c r="B1939" s="98"/>
      <c r="C1939" s="98"/>
      <c r="D1939" s="98"/>
      <c r="E1939" s="98"/>
      <c r="F1939" s="99"/>
      <c r="G1939" s="100"/>
      <c r="H1939" s="100"/>
    </row>
    <row r="1940" customHeight="1" spans="2:8">
      <c r="B1940" s="98"/>
      <c r="C1940" s="98"/>
      <c r="D1940" s="98"/>
      <c r="E1940" s="98"/>
      <c r="F1940" s="99"/>
      <c r="G1940" s="100"/>
      <c r="H1940" s="100"/>
    </row>
    <row r="1941" customHeight="1" spans="2:8">
      <c r="B1941" s="98"/>
      <c r="C1941" s="98"/>
      <c r="D1941" s="98"/>
      <c r="E1941" s="98"/>
      <c r="F1941" s="99"/>
      <c r="G1941" s="100"/>
      <c r="H1941" s="100"/>
    </row>
    <row r="1942" customHeight="1" spans="2:8">
      <c r="B1942" s="98"/>
      <c r="C1942" s="98"/>
      <c r="D1942" s="98"/>
      <c r="E1942" s="98"/>
      <c r="F1942" s="99"/>
      <c r="G1942" s="100"/>
      <c r="H1942" s="100"/>
    </row>
    <row r="1943" customHeight="1" spans="2:8">
      <c r="B1943" s="98"/>
      <c r="C1943" s="98"/>
      <c r="D1943" s="98"/>
      <c r="E1943" s="98"/>
      <c r="F1943" s="99"/>
      <c r="G1943" s="100"/>
      <c r="H1943" s="100"/>
    </row>
    <row r="1944" customHeight="1" spans="2:8">
      <c r="B1944" s="98"/>
      <c r="C1944" s="98"/>
      <c r="D1944" s="98"/>
      <c r="E1944" s="98"/>
      <c r="F1944" s="99"/>
      <c r="G1944" s="100"/>
      <c r="H1944" s="100"/>
    </row>
    <row r="1945" customHeight="1" spans="2:8">
      <c r="B1945" s="98"/>
      <c r="C1945" s="98"/>
      <c r="D1945" s="98"/>
      <c r="E1945" s="98"/>
      <c r="F1945" s="99"/>
      <c r="G1945" s="100"/>
      <c r="H1945" s="100"/>
    </row>
    <row r="1946" customHeight="1" spans="2:8">
      <c r="B1946" s="98"/>
      <c r="C1946" s="98"/>
      <c r="D1946" s="98"/>
      <c r="E1946" s="98"/>
      <c r="F1946" s="99"/>
      <c r="G1946" s="100"/>
      <c r="H1946" s="100"/>
    </row>
    <row r="1947" customHeight="1" spans="2:8">
      <c r="B1947" s="98"/>
      <c r="C1947" s="98"/>
      <c r="D1947" s="98"/>
      <c r="E1947" s="98"/>
      <c r="F1947" s="99"/>
      <c r="G1947" s="100"/>
      <c r="H1947" s="100"/>
    </row>
    <row r="1948" customHeight="1" spans="2:8">
      <c r="B1948" s="98"/>
      <c r="C1948" s="98"/>
      <c r="D1948" s="98"/>
      <c r="E1948" s="98"/>
      <c r="F1948" s="99"/>
      <c r="G1948" s="100"/>
      <c r="H1948" s="100"/>
    </row>
    <row r="1949" customHeight="1" spans="2:8">
      <c r="B1949" s="98"/>
      <c r="C1949" s="98"/>
      <c r="D1949" s="98"/>
      <c r="E1949" s="98"/>
      <c r="F1949" s="99"/>
      <c r="G1949" s="100"/>
      <c r="H1949" s="100"/>
    </row>
    <row r="1950" customHeight="1" spans="2:8">
      <c r="B1950" s="98"/>
      <c r="C1950" s="98"/>
      <c r="D1950" s="98"/>
      <c r="E1950" s="98"/>
      <c r="F1950" s="99"/>
      <c r="G1950" s="100"/>
      <c r="H1950" s="100"/>
    </row>
    <row r="1951" customHeight="1" spans="2:8">
      <c r="B1951" s="98"/>
      <c r="C1951" s="98"/>
      <c r="D1951" s="98"/>
      <c r="E1951" s="98"/>
      <c r="F1951" s="99"/>
      <c r="G1951" s="100"/>
      <c r="H1951" s="100"/>
    </row>
    <row r="1952" customHeight="1" spans="2:8">
      <c r="B1952" s="98"/>
      <c r="C1952" s="98"/>
      <c r="D1952" s="98"/>
      <c r="E1952" s="98"/>
      <c r="F1952" s="99"/>
      <c r="G1952" s="100"/>
      <c r="H1952" s="100"/>
    </row>
    <row r="1953" customHeight="1" spans="2:8">
      <c r="B1953" s="98"/>
      <c r="C1953" s="98"/>
      <c r="D1953" s="98"/>
      <c r="E1953" s="98"/>
      <c r="F1953" s="99"/>
      <c r="G1953" s="100"/>
      <c r="H1953" s="100"/>
    </row>
    <row r="1954" customHeight="1" spans="2:8">
      <c r="B1954" s="98"/>
      <c r="C1954" s="98"/>
      <c r="D1954" s="98"/>
      <c r="E1954" s="98"/>
      <c r="F1954" s="99"/>
      <c r="G1954" s="100"/>
      <c r="H1954" s="100"/>
    </row>
    <row r="1955" customHeight="1" spans="2:8">
      <c r="B1955" s="98"/>
      <c r="C1955" s="98"/>
      <c r="D1955" s="98"/>
      <c r="E1955" s="98"/>
      <c r="F1955" s="99"/>
      <c r="G1955" s="100"/>
      <c r="H1955" s="100"/>
    </row>
    <row r="1956" customHeight="1" spans="2:8">
      <c r="B1956" s="98"/>
      <c r="C1956" s="98"/>
      <c r="D1956" s="98"/>
      <c r="E1956" s="98"/>
      <c r="F1956" s="99"/>
      <c r="G1956" s="100"/>
      <c r="H1956" s="100"/>
    </row>
    <row r="1957" customHeight="1" spans="2:8">
      <c r="B1957" s="98"/>
      <c r="C1957" s="98"/>
      <c r="D1957" s="98"/>
      <c r="E1957" s="98"/>
      <c r="F1957" s="99"/>
      <c r="G1957" s="100"/>
      <c r="H1957" s="100"/>
    </row>
    <row r="1958" customHeight="1" spans="2:8">
      <c r="B1958" s="98"/>
      <c r="C1958" s="98"/>
      <c r="D1958" s="98"/>
      <c r="E1958" s="98"/>
      <c r="F1958" s="99"/>
      <c r="G1958" s="100"/>
      <c r="H1958" s="100"/>
    </row>
    <row r="1959" customHeight="1" spans="2:8">
      <c r="B1959" s="98"/>
      <c r="C1959" s="98"/>
      <c r="D1959" s="98"/>
      <c r="E1959" s="98"/>
      <c r="F1959" s="99"/>
      <c r="G1959" s="100"/>
      <c r="H1959" s="100"/>
    </row>
    <row r="1960" customHeight="1" spans="2:8">
      <c r="B1960" s="98"/>
      <c r="C1960" s="98"/>
      <c r="D1960" s="98"/>
      <c r="E1960" s="98"/>
      <c r="F1960" s="99"/>
      <c r="G1960" s="100"/>
      <c r="H1960" s="100"/>
    </row>
    <row r="1961" customHeight="1" spans="2:8">
      <c r="B1961" s="98"/>
      <c r="C1961" s="98"/>
      <c r="D1961" s="98"/>
      <c r="E1961" s="98"/>
      <c r="F1961" s="99"/>
      <c r="G1961" s="100"/>
      <c r="H1961" s="100"/>
    </row>
    <row r="1962" customHeight="1" spans="2:8">
      <c r="B1962" s="98"/>
      <c r="C1962" s="98"/>
      <c r="D1962" s="98"/>
      <c r="E1962" s="98"/>
      <c r="F1962" s="99"/>
      <c r="G1962" s="100"/>
      <c r="H1962" s="100"/>
    </row>
    <row r="1963" customHeight="1" spans="2:8">
      <c r="B1963" s="98"/>
      <c r="C1963" s="98"/>
      <c r="D1963" s="98"/>
      <c r="E1963" s="98"/>
      <c r="F1963" s="99"/>
      <c r="G1963" s="100"/>
      <c r="H1963" s="100"/>
    </row>
    <row r="1964" customHeight="1" spans="2:8">
      <c r="B1964" s="98"/>
      <c r="C1964" s="98"/>
      <c r="D1964" s="98"/>
      <c r="E1964" s="98"/>
      <c r="F1964" s="99"/>
      <c r="G1964" s="100"/>
      <c r="H1964" s="100"/>
    </row>
    <row r="1965" customHeight="1" spans="2:8">
      <c r="B1965" s="98"/>
      <c r="C1965" s="98"/>
      <c r="D1965" s="98"/>
      <c r="E1965" s="98"/>
      <c r="F1965" s="99"/>
      <c r="G1965" s="100"/>
      <c r="H1965" s="100"/>
    </row>
    <row r="1966" customHeight="1" spans="2:8">
      <c r="B1966" s="98"/>
      <c r="C1966" s="98"/>
      <c r="D1966" s="98"/>
      <c r="E1966" s="98"/>
      <c r="F1966" s="99"/>
      <c r="G1966" s="100"/>
      <c r="H1966" s="100"/>
    </row>
    <row r="1967" customHeight="1" spans="2:8">
      <c r="B1967" s="98"/>
      <c r="C1967" s="98"/>
      <c r="D1967" s="98"/>
      <c r="E1967" s="98"/>
      <c r="F1967" s="99"/>
      <c r="G1967" s="100"/>
      <c r="H1967" s="100"/>
    </row>
    <row r="1968" customHeight="1" spans="2:8">
      <c r="B1968" s="98"/>
      <c r="C1968" s="98"/>
      <c r="D1968" s="98"/>
      <c r="E1968" s="98"/>
      <c r="F1968" s="99"/>
      <c r="G1968" s="100"/>
      <c r="H1968" s="100"/>
    </row>
    <row r="1969" customHeight="1" spans="2:8">
      <c r="B1969" s="98"/>
      <c r="C1969" s="98"/>
      <c r="D1969" s="98"/>
      <c r="E1969" s="98"/>
      <c r="F1969" s="99"/>
      <c r="G1969" s="100"/>
      <c r="H1969" s="100"/>
    </row>
    <row r="1970" customHeight="1" spans="2:8">
      <c r="B1970" s="98"/>
      <c r="C1970" s="98"/>
      <c r="D1970" s="98"/>
      <c r="E1970" s="98"/>
      <c r="F1970" s="99"/>
      <c r="G1970" s="100"/>
      <c r="H1970" s="100"/>
    </row>
    <row r="1971" customHeight="1" spans="2:8">
      <c r="B1971" s="98"/>
      <c r="C1971" s="98"/>
      <c r="D1971" s="98"/>
      <c r="E1971" s="98"/>
      <c r="F1971" s="99"/>
      <c r="G1971" s="100"/>
      <c r="H1971" s="100"/>
    </row>
    <row r="1972" customHeight="1" spans="2:8">
      <c r="B1972" s="98"/>
      <c r="C1972" s="98"/>
      <c r="D1972" s="98"/>
      <c r="E1972" s="98"/>
      <c r="F1972" s="99"/>
      <c r="G1972" s="100"/>
      <c r="H1972" s="100"/>
    </row>
    <row r="1973" customHeight="1" spans="2:8">
      <c r="B1973" s="98"/>
      <c r="C1973" s="98"/>
      <c r="D1973" s="98"/>
      <c r="E1973" s="98"/>
      <c r="F1973" s="99"/>
      <c r="G1973" s="100"/>
      <c r="H1973" s="100"/>
    </row>
    <row r="1974" customHeight="1" spans="2:8">
      <c r="B1974" s="98"/>
      <c r="C1974" s="98"/>
      <c r="D1974" s="98"/>
      <c r="E1974" s="98"/>
      <c r="F1974" s="99"/>
      <c r="G1974" s="100"/>
      <c r="H1974" s="100"/>
    </row>
    <row r="1975" customHeight="1" spans="2:8">
      <c r="B1975" s="98"/>
      <c r="C1975" s="98"/>
      <c r="D1975" s="98"/>
      <c r="E1975" s="98"/>
      <c r="F1975" s="99"/>
      <c r="G1975" s="100"/>
      <c r="H1975" s="100"/>
    </row>
    <row r="1976" customHeight="1" spans="2:8">
      <c r="B1976" s="98"/>
      <c r="C1976" s="98"/>
      <c r="D1976" s="98"/>
      <c r="E1976" s="98"/>
      <c r="F1976" s="99"/>
      <c r="G1976" s="100"/>
      <c r="H1976" s="100"/>
    </row>
    <row r="1977" customHeight="1" spans="2:8">
      <c r="B1977" s="98"/>
      <c r="C1977" s="98"/>
      <c r="D1977" s="98"/>
      <c r="E1977" s="98"/>
      <c r="F1977" s="99"/>
      <c r="G1977" s="100"/>
      <c r="H1977" s="100"/>
    </row>
    <row r="1978" customHeight="1" spans="2:8">
      <c r="B1978" s="98"/>
      <c r="C1978" s="98"/>
      <c r="D1978" s="98"/>
      <c r="E1978" s="98"/>
      <c r="F1978" s="99"/>
      <c r="G1978" s="100"/>
      <c r="H1978" s="100"/>
    </row>
    <row r="1979" customHeight="1" spans="2:8">
      <c r="B1979" s="98"/>
      <c r="C1979" s="98"/>
      <c r="D1979" s="98"/>
      <c r="E1979" s="98"/>
      <c r="F1979" s="99"/>
      <c r="G1979" s="100"/>
      <c r="H1979" s="100"/>
    </row>
    <row r="1980" customHeight="1" spans="2:8">
      <c r="B1980" s="98"/>
      <c r="C1980" s="98"/>
      <c r="D1980" s="98"/>
      <c r="E1980" s="98"/>
      <c r="F1980" s="99"/>
      <c r="G1980" s="100"/>
      <c r="H1980" s="100"/>
    </row>
    <row r="1981" customHeight="1" spans="2:8">
      <c r="B1981" s="98"/>
      <c r="C1981" s="98"/>
      <c r="D1981" s="98"/>
      <c r="E1981" s="98"/>
      <c r="F1981" s="99"/>
      <c r="G1981" s="100"/>
      <c r="H1981" s="100"/>
    </row>
    <row r="1982" customHeight="1" spans="2:8">
      <c r="B1982" s="98"/>
      <c r="C1982" s="98"/>
      <c r="D1982" s="98"/>
      <c r="E1982" s="98"/>
      <c r="F1982" s="99"/>
      <c r="G1982" s="100"/>
      <c r="H1982" s="100"/>
    </row>
    <row r="1983" customHeight="1" spans="2:8">
      <c r="B1983" s="98"/>
      <c r="C1983" s="98"/>
      <c r="D1983" s="98"/>
      <c r="E1983" s="98"/>
      <c r="F1983" s="99"/>
      <c r="G1983" s="100"/>
      <c r="H1983" s="100"/>
    </row>
    <row r="1984" customHeight="1" spans="2:8">
      <c r="B1984" s="98"/>
      <c r="C1984" s="98"/>
      <c r="D1984" s="98"/>
      <c r="E1984" s="98"/>
      <c r="F1984" s="99"/>
      <c r="G1984" s="100"/>
      <c r="H1984" s="100"/>
    </row>
    <row r="1985" customHeight="1" spans="2:8">
      <c r="B1985" s="98"/>
      <c r="C1985" s="98"/>
      <c r="D1985" s="98"/>
      <c r="E1985" s="98"/>
      <c r="F1985" s="99"/>
      <c r="G1985" s="100"/>
      <c r="H1985" s="100"/>
    </row>
    <row r="1986" customHeight="1" spans="2:8">
      <c r="B1986" s="98"/>
      <c r="C1986" s="98"/>
      <c r="D1986" s="98"/>
      <c r="E1986" s="98"/>
      <c r="F1986" s="99"/>
      <c r="G1986" s="100"/>
      <c r="H1986" s="100"/>
    </row>
    <row r="1987" customHeight="1" spans="2:8">
      <c r="B1987" s="98"/>
      <c r="C1987" s="98"/>
      <c r="D1987" s="98"/>
      <c r="E1987" s="98"/>
      <c r="F1987" s="99"/>
      <c r="G1987" s="100"/>
      <c r="H1987" s="100"/>
    </row>
    <row r="1988" customHeight="1" spans="2:8">
      <c r="B1988" s="98"/>
      <c r="C1988" s="98"/>
      <c r="D1988" s="98"/>
      <c r="E1988" s="98"/>
      <c r="F1988" s="99"/>
      <c r="G1988" s="100"/>
      <c r="H1988" s="100"/>
    </row>
    <row r="1989" customHeight="1" spans="2:8">
      <c r="B1989" s="98"/>
      <c r="C1989" s="98"/>
      <c r="D1989" s="98"/>
      <c r="E1989" s="98"/>
      <c r="F1989" s="99"/>
      <c r="G1989" s="100"/>
      <c r="H1989" s="100"/>
    </row>
    <row r="1990" customHeight="1" spans="2:8">
      <c r="B1990" s="98"/>
      <c r="C1990" s="98"/>
      <c r="D1990" s="98"/>
      <c r="E1990" s="98"/>
      <c r="F1990" s="99"/>
      <c r="G1990" s="100"/>
      <c r="H1990" s="100"/>
    </row>
    <row r="1991" customHeight="1" spans="2:8">
      <c r="B1991" s="98"/>
      <c r="C1991" s="98"/>
      <c r="D1991" s="98"/>
      <c r="E1991" s="98"/>
      <c r="F1991" s="99"/>
      <c r="G1991" s="100"/>
      <c r="H1991" s="100"/>
    </row>
    <row r="1992" customHeight="1" spans="2:8">
      <c r="B1992" s="98"/>
      <c r="C1992" s="98"/>
      <c r="D1992" s="98"/>
      <c r="E1992" s="98"/>
      <c r="F1992" s="99"/>
      <c r="G1992" s="100"/>
      <c r="H1992" s="100"/>
    </row>
    <row r="1993" customHeight="1" spans="2:8">
      <c r="B1993" s="98"/>
      <c r="C1993" s="98"/>
      <c r="D1993" s="98"/>
      <c r="E1993" s="98"/>
      <c r="F1993" s="99"/>
      <c r="G1993" s="100"/>
      <c r="H1993" s="100"/>
    </row>
    <row r="1994" customHeight="1" spans="2:8">
      <c r="B1994" s="98"/>
      <c r="C1994" s="98"/>
      <c r="D1994" s="98"/>
      <c r="E1994" s="98"/>
      <c r="F1994" s="99"/>
      <c r="G1994" s="100"/>
      <c r="H1994" s="100"/>
    </row>
    <row r="1995" customHeight="1" spans="2:8">
      <c r="B1995" s="98"/>
      <c r="C1995" s="98"/>
      <c r="D1995" s="98"/>
      <c r="E1995" s="98"/>
      <c r="F1995" s="99"/>
      <c r="G1995" s="100"/>
      <c r="H1995" s="100"/>
    </row>
    <row r="1996" customHeight="1" spans="2:8">
      <c r="B1996" s="98"/>
      <c r="C1996" s="98"/>
      <c r="D1996" s="98"/>
      <c r="E1996" s="98"/>
      <c r="F1996" s="99"/>
      <c r="G1996" s="100"/>
      <c r="H1996" s="100"/>
    </row>
    <row r="1997" customHeight="1" spans="2:8">
      <c r="B1997" s="98"/>
      <c r="C1997" s="98"/>
      <c r="D1997" s="98"/>
      <c r="E1997" s="98"/>
      <c r="F1997" s="99"/>
      <c r="G1997" s="100"/>
      <c r="H1997" s="100"/>
    </row>
    <row r="1998" customHeight="1" spans="2:8">
      <c r="B1998" s="98"/>
      <c r="C1998" s="98"/>
      <c r="D1998" s="98"/>
      <c r="E1998" s="98"/>
      <c r="F1998" s="99"/>
      <c r="G1998" s="100"/>
      <c r="H1998" s="100"/>
    </row>
    <row r="1999" customHeight="1" spans="2:8">
      <c r="B1999" s="98"/>
      <c r="C1999" s="98"/>
      <c r="D1999" s="98"/>
      <c r="E1999" s="98"/>
      <c r="F1999" s="99"/>
      <c r="G1999" s="100"/>
      <c r="H1999" s="100"/>
    </row>
    <row r="2000" customHeight="1" spans="2:8">
      <c r="B2000" s="98"/>
      <c r="C2000" s="98"/>
      <c r="D2000" s="98"/>
      <c r="E2000" s="98"/>
      <c r="F2000" s="99"/>
      <c r="G2000" s="100"/>
      <c r="H2000" s="100"/>
    </row>
    <row r="2001" customHeight="1" spans="2:8">
      <c r="B2001" s="98"/>
      <c r="C2001" s="98"/>
      <c r="D2001" s="98"/>
      <c r="E2001" s="98"/>
      <c r="F2001" s="99"/>
      <c r="G2001" s="100"/>
      <c r="H2001" s="100"/>
    </row>
    <row r="2002" customHeight="1" spans="2:8">
      <c r="B2002" s="98"/>
      <c r="C2002" s="98"/>
      <c r="D2002" s="98"/>
      <c r="E2002" s="98"/>
      <c r="F2002" s="99"/>
      <c r="G2002" s="100"/>
      <c r="H2002" s="100"/>
    </row>
    <row r="2003" customHeight="1" spans="2:8">
      <c r="B2003" s="98"/>
      <c r="C2003" s="98"/>
      <c r="D2003" s="98"/>
      <c r="E2003" s="98"/>
      <c r="F2003" s="99"/>
      <c r="G2003" s="100"/>
      <c r="H2003" s="100"/>
    </row>
    <row r="2004" customHeight="1" spans="2:8">
      <c r="B2004" s="98"/>
      <c r="C2004" s="98"/>
      <c r="D2004" s="98"/>
      <c r="E2004" s="98"/>
      <c r="F2004" s="99"/>
      <c r="G2004" s="100"/>
      <c r="H2004" s="100"/>
    </row>
    <row r="2005" customHeight="1" spans="2:8">
      <c r="B2005" s="98"/>
      <c r="C2005" s="98"/>
      <c r="D2005" s="98"/>
      <c r="E2005" s="98"/>
      <c r="F2005" s="99"/>
      <c r="G2005" s="100"/>
      <c r="H2005" s="100"/>
    </row>
    <row r="2006" customHeight="1" spans="2:8">
      <c r="B2006" s="98"/>
      <c r="C2006" s="98"/>
      <c r="D2006" s="98"/>
      <c r="E2006" s="98"/>
      <c r="F2006" s="99"/>
      <c r="G2006" s="100"/>
      <c r="H2006" s="100"/>
    </row>
    <row r="2007" customHeight="1" spans="2:8">
      <c r="B2007" s="98"/>
      <c r="C2007" s="98"/>
      <c r="D2007" s="98"/>
      <c r="E2007" s="98"/>
      <c r="F2007" s="99"/>
      <c r="G2007" s="100"/>
      <c r="H2007" s="100"/>
    </row>
    <row r="2008" customHeight="1" spans="2:8">
      <c r="B2008" s="98"/>
      <c r="C2008" s="98"/>
      <c r="D2008" s="98"/>
      <c r="E2008" s="98"/>
      <c r="F2008" s="99"/>
      <c r="G2008" s="100"/>
      <c r="H2008" s="100"/>
    </row>
    <row r="2009" customHeight="1" spans="2:8">
      <c r="B2009" s="98"/>
      <c r="C2009" s="98"/>
      <c r="D2009" s="98"/>
      <c r="E2009" s="98"/>
      <c r="F2009" s="99"/>
      <c r="G2009" s="100"/>
      <c r="H2009" s="100"/>
    </row>
    <row r="2010" customHeight="1" spans="2:8">
      <c r="B2010" s="98"/>
      <c r="C2010" s="98"/>
      <c r="D2010" s="98"/>
      <c r="E2010" s="98"/>
      <c r="F2010" s="99"/>
      <c r="G2010" s="100"/>
      <c r="H2010" s="100"/>
    </row>
    <row r="2011" customHeight="1" spans="2:8">
      <c r="B2011" s="98"/>
      <c r="C2011" s="98"/>
      <c r="D2011" s="98"/>
      <c r="E2011" s="98"/>
      <c r="F2011" s="99"/>
      <c r="G2011" s="100"/>
      <c r="H2011" s="100"/>
    </row>
    <row r="2012" customHeight="1" spans="2:8">
      <c r="B2012" s="98"/>
      <c r="C2012" s="98"/>
      <c r="D2012" s="98"/>
      <c r="E2012" s="98"/>
      <c r="F2012" s="99"/>
      <c r="G2012" s="100"/>
      <c r="H2012" s="100"/>
    </row>
    <row r="2013" customHeight="1" spans="2:8">
      <c r="B2013" s="98"/>
      <c r="C2013" s="98"/>
      <c r="D2013" s="98"/>
      <c r="E2013" s="98"/>
      <c r="F2013" s="99"/>
      <c r="G2013" s="100"/>
      <c r="H2013" s="100"/>
    </row>
    <row r="2014" customHeight="1" spans="2:8">
      <c r="B2014" s="98"/>
      <c r="C2014" s="98"/>
      <c r="D2014" s="98"/>
      <c r="E2014" s="98"/>
      <c r="F2014" s="99"/>
      <c r="G2014" s="100"/>
      <c r="H2014" s="100"/>
    </row>
    <row r="2015" customHeight="1" spans="2:8">
      <c r="B2015" s="98"/>
      <c r="C2015" s="98"/>
      <c r="D2015" s="98"/>
      <c r="E2015" s="98"/>
      <c r="F2015" s="99"/>
      <c r="G2015" s="100"/>
      <c r="H2015" s="100"/>
    </row>
    <row r="2016" customHeight="1" spans="2:8">
      <c r="B2016" s="98"/>
      <c r="C2016" s="98"/>
      <c r="D2016" s="98"/>
      <c r="E2016" s="98"/>
      <c r="F2016" s="99"/>
      <c r="G2016" s="100"/>
      <c r="H2016" s="100"/>
    </row>
    <row r="2017" customHeight="1" spans="2:8">
      <c r="B2017" s="98"/>
      <c r="C2017" s="98"/>
      <c r="D2017" s="98"/>
      <c r="E2017" s="98"/>
      <c r="F2017" s="99"/>
      <c r="G2017" s="100"/>
      <c r="H2017" s="100"/>
    </row>
    <row r="2018" customHeight="1" spans="2:8">
      <c r="B2018" s="98"/>
      <c r="C2018" s="98"/>
      <c r="D2018" s="98"/>
      <c r="E2018" s="98"/>
      <c r="F2018" s="99"/>
      <c r="G2018" s="100"/>
      <c r="H2018" s="100"/>
    </row>
    <row r="2019" customHeight="1" spans="2:8">
      <c r="B2019" s="98"/>
      <c r="C2019" s="98"/>
      <c r="D2019" s="98"/>
      <c r="E2019" s="98"/>
      <c r="F2019" s="99"/>
      <c r="G2019" s="100"/>
      <c r="H2019" s="100"/>
    </row>
    <row r="2020" customHeight="1" spans="2:8">
      <c r="B2020" s="98"/>
      <c r="C2020" s="98"/>
      <c r="D2020" s="98"/>
      <c r="E2020" s="98"/>
      <c r="F2020" s="99"/>
      <c r="G2020" s="100"/>
      <c r="H2020" s="100"/>
    </row>
    <row r="2021" customHeight="1" spans="2:8">
      <c r="B2021" s="98"/>
      <c r="C2021" s="98"/>
      <c r="D2021" s="98"/>
      <c r="E2021" s="98"/>
      <c r="F2021" s="99"/>
      <c r="G2021" s="100"/>
      <c r="H2021" s="100"/>
    </row>
    <row r="2022" customHeight="1" spans="2:8">
      <c r="B2022" s="98"/>
      <c r="C2022" s="98"/>
      <c r="D2022" s="98"/>
      <c r="E2022" s="98"/>
      <c r="F2022" s="99"/>
      <c r="G2022" s="100"/>
      <c r="H2022" s="100"/>
    </row>
    <row r="2023" customHeight="1" spans="2:8">
      <c r="B2023" s="98"/>
      <c r="C2023" s="98"/>
      <c r="D2023" s="98"/>
      <c r="E2023" s="98"/>
      <c r="F2023" s="99"/>
      <c r="G2023" s="100"/>
      <c r="H2023" s="100"/>
    </row>
    <row r="2024" customHeight="1" spans="2:8">
      <c r="B2024" s="98"/>
      <c r="C2024" s="98"/>
      <c r="D2024" s="98"/>
      <c r="E2024" s="98"/>
      <c r="F2024" s="99"/>
      <c r="G2024" s="100"/>
      <c r="H2024" s="100"/>
    </row>
    <row r="2025" customHeight="1" spans="2:8">
      <c r="B2025" s="98"/>
      <c r="C2025" s="98"/>
      <c r="D2025" s="98"/>
      <c r="E2025" s="98"/>
      <c r="F2025" s="99"/>
      <c r="G2025" s="100"/>
      <c r="H2025" s="100"/>
    </row>
    <row r="2026" customHeight="1" spans="2:8">
      <c r="B2026" s="98"/>
      <c r="C2026" s="98"/>
      <c r="D2026" s="98"/>
      <c r="E2026" s="98"/>
      <c r="F2026" s="99"/>
      <c r="G2026" s="100"/>
      <c r="H2026" s="100"/>
    </row>
    <row r="2027" customHeight="1" spans="2:8">
      <c r="B2027" s="98"/>
      <c r="C2027" s="98"/>
      <c r="D2027" s="98"/>
      <c r="E2027" s="98"/>
      <c r="F2027" s="99"/>
      <c r="G2027" s="100"/>
      <c r="H2027" s="100"/>
    </row>
    <row r="2028" customHeight="1" spans="2:8">
      <c r="B2028" s="98"/>
      <c r="C2028" s="98"/>
      <c r="D2028" s="98"/>
      <c r="E2028" s="98"/>
      <c r="F2028" s="99"/>
      <c r="G2028" s="100"/>
      <c r="H2028" s="100"/>
    </row>
    <row r="2029" customHeight="1" spans="2:8">
      <c r="B2029" s="98"/>
      <c r="C2029" s="98"/>
      <c r="D2029" s="98"/>
      <c r="E2029" s="98"/>
      <c r="F2029" s="99"/>
      <c r="G2029" s="100"/>
      <c r="H2029" s="100"/>
    </row>
    <row r="2030" customHeight="1" spans="2:8">
      <c r="B2030" s="98"/>
      <c r="C2030" s="98"/>
      <c r="D2030" s="98"/>
      <c r="E2030" s="98"/>
      <c r="F2030" s="99"/>
      <c r="G2030" s="100"/>
      <c r="H2030" s="100"/>
    </row>
    <row r="2031" customHeight="1" spans="2:8">
      <c r="B2031" s="98"/>
      <c r="C2031" s="98"/>
      <c r="D2031" s="98"/>
      <c r="E2031" s="98"/>
      <c r="F2031" s="99"/>
      <c r="G2031" s="100"/>
      <c r="H2031" s="100"/>
    </row>
    <row r="2032" customHeight="1" spans="2:8">
      <c r="B2032" s="98"/>
      <c r="C2032" s="98"/>
      <c r="D2032" s="98"/>
      <c r="E2032" s="98"/>
      <c r="F2032" s="99"/>
      <c r="G2032" s="100"/>
      <c r="H2032" s="100"/>
    </row>
    <row r="2033" customHeight="1" spans="2:8">
      <c r="B2033" s="98"/>
      <c r="C2033" s="98"/>
      <c r="D2033" s="98"/>
      <c r="E2033" s="98"/>
      <c r="F2033" s="99"/>
      <c r="G2033" s="100"/>
      <c r="H2033" s="100"/>
    </row>
    <row r="2034" customHeight="1" spans="2:8">
      <c r="B2034" s="98"/>
      <c r="C2034" s="98"/>
      <c r="D2034" s="98"/>
      <c r="E2034" s="98"/>
      <c r="F2034" s="99"/>
      <c r="G2034" s="100"/>
      <c r="H2034" s="100"/>
    </row>
    <row r="2035" customHeight="1" spans="2:8">
      <c r="B2035" s="98"/>
      <c r="C2035" s="98"/>
      <c r="D2035" s="98"/>
      <c r="E2035" s="98"/>
      <c r="F2035" s="99"/>
      <c r="G2035" s="100"/>
      <c r="H2035" s="100"/>
    </row>
    <row r="2036" customHeight="1" spans="2:8">
      <c r="B2036" s="98"/>
      <c r="C2036" s="98"/>
      <c r="D2036" s="98"/>
      <c r="E2036" s="98"/>
      <c r="F2036" s="99"/>
      <c r="G2036" s="100"/>
      <c r="H2036" s="100"/>
    </row>
    <row r="2037" customHeight="1" spans="2:8">
      <c r="B2037" s="98"/>
      <c r="C2037" s="98"/>
      <c r="D2037" s="98"/>
      <c r="E2037" s="98"/>
      <c r="F2037" s="99"/>
      <c r="G2037" s="100"/>
      <c r="H2037" s="100"/>
    </row>
    <row r="2038" customHeight="1" spans="2:8">
      <c r="B2038" s="98"/>
      <c r="C2038" s="98"/>
      <c r="D2038" s="98"/>
      <c r="E2038" s="98"/>
      <c r="F2038" s="99"/>
      <c r="G2038" s="100"/>
      <c r="H2038" s="100"/>
    </row>
    <row r="2039" customHeight="1" spans="2:8">
      <c r="B2039" s="98"/>
      <c r="C2039" s="98"/>
      <c r="D2039" s="98"/>
      <c r="E2039" s="98"/>
      <c r="F2039" s="99"/>
      <c r="G2039" s="100"/>
      <c r="H2039" s="100"/>
    </row>
    <row r="2040" customHeight="1" spans="2:8">
      <c r="B2040" s="98"/>
      <c r="C2040" s="98"/>
      <c r="D2040" s="98"/>
      <c r="E2040" s="98"/>
      <c r="F2040" s="99"/>
      <c r="G2040" s="100"/>
      <c r="H2040" s="100"/>
    </row>
    <row r="2041" customHeight="1" spans="2:8">
      <c r="B2041" s="98"/>
      <c r="C2041" s="98"/>
      <c r="D2041" s="98"/>
      <c r="E2041" s="98"/>
      <c r="F2041" s="99"/>
      <c r="G2041" s="100"/>
      <c r="H2041" s="100"/>
    </row>
    <row r="2042" customHeight="1" spans="2:8">
      <c r="B2042" s="98"/>
      <c r="C2042" s="98"/>
      <c r="D2042" s="98"/>
      <c r="E2042" s="98"/>
      <c r="F2042" s="99"/>
      <c r="G2042" s="100"/>
      <c r="H2042" s="100"/>
    </row>
    <row r="2043" customHeight="1" spans="2:8">
      <c r="B2043" s="98"/>
      <c r="C2043" s="98"/>
      <c r="D2043" s="98"/>
      <c r="E2043" s="98"/>
      <c r="F2043" s="99"/>
      <c r="G2043" s="100"/>
      <c r="H2043" s="100"/>
    </row>
    <row r="2044" customHeight="1" spans="2:8">
      <c r="B2044" s="98"/>
      <c r="C2044" s="98"/>
      <c r="D2044" s="98"/>
      <c r="E2044" s="98"/>
      <c r="F2044" s="99"/>
      <c r="G2044" s="100"/>
      <c r="H2044" s="100"/>
    </row>
    <row r="2045" customHeight="1" spans="2:8">
      <c r="B2045" s="98"/>
      <c r="C2045" s="98"/>
      <c r="D2045" s="98"/>
      <c r="E2045" s="98"/>
      <c r="F2045" s="99"/>
      <c r="G2045" s="100"/>
      <c r="H2045" s="100"/>
    </row>
    <row r="2046" customHeight="1" spans="2:8">
      <c r="B2046" s="98"/>
      <c r="C2046" s="98"/>
      <c r="D2046" s="98"/>
      <c r="E2046" s="98"/>
      <c r="F2046" s="99"/>
      <c r="G2046" s="100"/>
      <c r="H2046" s="100"/>
    </row>
    <row r="2047" customHeight="1" spans="2:8">
      <c r="B2047" s="98"/>
      <c r="C2047" s="98"/>
      <c r="D2047" s="98"/>
      <c r="E2047" s="98"/>
      <c r="F2047" s="99"/>
      <c r="G2047" s="100"/>
      <c r="H2047" s="100"/>
    </row>
    <row r="2048" customHeight="1" spans="2:8">
      <c r="B2048" s="98"/>
      <c r="C2048" s="98"/>
      <c r="D2048" s="98"/>
      <c r="E2048" s="98"/>
      <c r="F2048" s="99"/>
      <c r="G2048" s="100"/>
      <c r="H2048" s="100"/>
    </row>
    <row r="2049" customHeight="1" spans="2:8">
      <c r="B2049" s="98"/>
      <c r="C2049" s="98"/>
      <c r="D2049" s="98"/>
      <c r="E2049" s="98"/>
      <c r="F2049" s="99"/>
      <c r="G2049" s="100"/>
      <c r="H2049" s="100"/>
    </row>
    <row r="2050" customHeight="1" spans="2:8">
      <c r="B2050" s="98"/>
      <c r="C2050" s="98"/>
      <c r="D2050" s="98"/>
      <c r="E2050" s="98"/>
      <c r="F2050" s="99"/>
      <c r="G2050" s="100"/>
      <c r="H2050" s="100"/>
    </row>
    <row r="2051" customHeight="1" spans="2:8">
      <c r="B2051" s="98"/>
      <c r="C2051" s="98"/>
      <c r="D2051" s="98"/>
      <c r="E2051" s="98"/>
      <c r="F2051" s="99"/>
      <c r="G2051" s="100"/>
      <c r="H2051" s="100"/>
    </row>
    <row r="2052" customHeight="1" spans="2:8">
      <c r="B2052" s="98"/>
      <c r="C2052" s="98"/>
      <c r="D2052" s="98"/>
      <c r="E2052" s="98"/>
      <c r="F2052" s="99"/>
      <c r="G2052" s="100"/>
      <c r="H2052" s="100"/>
    </row>
    <row r="2053" customHeight="1" spans="2:8">
      <c r="B2053" s="98"/>
      <c r="C2053" s="98"/>
      <c r="D2053" s="98"/>
      <c r="E2053" s="98"/>
      <c r="F2053" s="99"/>
      <c r="G2053" s="100"/>
      <c r="H2053" s="100"/>
    </row>
    <row r="2054" customHeight="1" spans="2:8">
      <c r="B2054" s="98"/>
      <c r="C2054" s="98"/>
      <c r="D2054" s="98"/>
      <c r="E2054" s="98"/>
      <c r="F2054" s="99"/>
      <c r="G2054" s="100"/>
      <c r="H2054" s="100"/>
    </row>
    <row r="2055" customHeight="1" spans="2:8">
      <c r="B2055" s="98"/>
      <c r="C2055" s="98"/>
      <c r="D2055" s="98"/>
      <c r="E2055" s="98"/>
      <c r="F2055" s="99"/>
      <c r="G2055" s="100"/>
      <c r="H2055" s="100"/>
    </row>
    <row r="2056" customHeight="1" spans="2:8">
      <c r="B2056" s="98"/>
      <c r="C2056" s="98"/>
      <c r="D2056" s="98"/>
      <c r="E2056" s="98"/>
      <c r="F2056" s="99"/>
      <c r="G2056" s="100"/>
      <c r="H2056" s="100"/>
    </row>
    <row r="2057" customHeight="1" spans="2:8">
      <c r="B2057" s="98"/>
      <c r="C2057" s="98"/>
      <c r="D2057" s="98"/>
      <c r="E2057" s="98"/>
      <c r="F2057" s="99"/>
      <c r="G2057" s="100"/>
      <c r="H2057" s="100"/>
    </row>
    <row r="2058" customHeight="1" spans="2:8">
      <c r="B2058" s="98"/>
      <c r="C2058" s="98"/>
      <c r="D2058" s="98"/>
      <c r="E2058" s="98"/>
      <c r="F2058" s="99"/>
      <c r="G2058" s="100"/>
      <c r="H2058" s="100"/>
    </row>
    <row r="2059" customHeight="1" spans="2:8">
      <c r="B2059" s="98"/>
      <c r="C2059" s="98"/>
      <c r="D2059" s="98"/>
      <c r="E2059" s="98"/>
      <c r="F2059" s="99"/>
      <c r="G2059" s="100"/>
      <c r="H2059" s="100"/>
    </row>
    <row r="2060" customHeight="1" spans="2:8">
      <c r="B2060" s="98"/>
      <c r="C2060" s="98"/>
      <c r="D2060" s="98"/>
      <c r="E2060" s="98"/>
      <c r="F2060" s="99"/>
      <c r="G2060" s="100"/>
      <c r="H2060" s="100"/>
    </row>
    <row r="2061" customHeight="1" spans="2:8">
      <c r="B2061" s="98"/>
      <c r="C2061" s="98"/>
      <c r="D2061" s="98"/>
      <c r="E2061" s="98"/>
      <c r="F2061" s="99"/>
      <c r="G2061" s="100"/>
      <c r="H2061" s="100"/>
    </row>
    <row r="2062" customHeight="1" spans="2:8">
      <c r="B2062" s="98"/>
      <c r="C2062" s="98"/>
      <c r="D2062" s="98"/>
      <c r="E2062" s="98"/>
      <c r="F2062" s="99"/>
      <c r="G2062" s="100"/>
      <c r="H2062" s="100"/>
    </row>
    <row r="2063" customHeight="1" spans="2:8">
      <c r="B2063" s="98"/>
      <c r="C2063" s="98"/>
      <c r="D2063" s="98"/>
      <c r="E2063" s="98"/>
      <c r="F2063" s="99"/>
      <c r="G2063" s="100"/>
      <c r="H2063" s="100"/>
    </row>
    <row r="2064" customHeight="1" spans="2:8">
      <c r="B2064" s="98"/>
      <c r="C2064" s="98"/>
      <c r="D2064" s="98"/>
      <c r="E2064" s="98"/>
      <c r="F2064" s="99"/>
      <c r="G2064" s="100"/>
      <c r="H2064" s="100"/>
    </row>
    <row r="2065" customHeight="1" spans="2:8">
      <c r="B2065" s="98"/>
      <c r="C2065" s="98"/>
      <c r="D2065" s="98"/>
      <c r="E2065" s="98"/>
      <c r="F2065" s="99"/>
      <c r="G2065" s="100"/>
      <c r="H2065" s="100"/>
    </row>
    <row r="2066" customHeight="1" spans="2:8">
      <c r="B2066" s="98"/>
      <c r="C2066" s="98"/>
      <c r="D2066" s="98"/>
      <c r="E2066" s="98"/>
      <c r="F2066" s="99"/>
      <c r="G2066" s="100"/>
      <c r="H2066" s="100"/>
    </row>
    <row r="2067" customHeight="1" spans="2:8">
      <c r="B2067" s="98"/>
      <c r="C2067" s="98"/>
      <c r="D2067" s="98"/>
      <c r="E2067" s="98"/>
      <c r="F2067" s="99"/>
      <c r="G2067" s="100"/>
      <c r="H2067" s="100"/>
    </row>
    <row r="2068" customHeight="1" spans="2:8">
      <c r="B2068" s="98"/>
      <c r="C2068" s="98"/>
      <c r="D2068" s="98"/>
      <c r="E2068" s="98"/>
      <c r="F2068" s="99"/>
      <c r="G2068" s="100"/>
      <c r="H2068" s="100"/>
    </row>
    <row r="2069" customHeight="1" spans="2:8">
      <c r="B2069" s="98"/>
      <c r="C2069" s="98"/>
      <c r="D2069" s="98"/>
      <c r="E2069" s="98"/>
      <c r="F2069" s="99"/>
      <c r="G2069" s="100"/>
      <c r="H2069" s="100"/>
    </row>
    <row r="2070" customHeight="1" spans="2:8">
      <c r="B2070" s="98"/>
      <c r="C2070" s="98"/>
      <c r="D2070" s="98"/>
      <c r="E2070" s="98"/>
      <c r="F2070" s="99"/>
      <c r="G2070" s="100"/>
      <c r="H2070" s="100"/>
    </row>
    <row r="2071" customHeight="1" spans="2:8">
      <c r="B2071" s="98"/>
      <c r="C2071" s="98"/>
      <c r="D2071" s="98"/>
      <c r="E2071" s="98"/>
      <c r="F2071" s="99"/>
      <c r="G2071" s="100"/>
      <c r="H2071" s="100"/>
    </row>
    <row r="2072" customHeight="1" spans="2:8">
      <c r="B2072" s="98"/>
      <c r="C2072" s="98"/>
      <c r="D2072" s="98"/>
      <c r="E2072" s="98"/>
      <c r="F2072" s="99"/>
      <c r="G2072" s="100"/>
      <c r="H2072" s="100"/>
    </row>
    <row r="2073" customHeight="1" spans="2:8">
      <c r="B2073" s="98"/>
      <c r="C2073" s="98"/>
      <c r="D2073" s="98"/>
      <c r="E2073" s="98"/>
      <c r="F2073" s="99"/>
      <c r="G2073" s="100"/>
      <c r="H2073" s="100"/>
    </row>
    <row r="2074" customHeight="1" spans="2:8">
      <c r="B2074" s="98"/>
      <c r="C2074" s="98"/>
      <c r="D2074" s="98"/>
      <c r="E2074" s="98"/>
      <c r="F2074" s="99"/>
      <c r="G2074" s="100"/>
      <c r="H2074" s="100"/>
    </row>
    <row r="2075" customHeight="1" spans="2:8">
      <c r="B2075" s="98"/>
      <c r="C2075" s="98"/>
      <c r="D2075" s="98"/>
      <c r="E2075" s="98"/>
      <c r="F2075" s="99"/>
      <c r="G2075" s="100"/>
      <c r="H2075" s="100"/>
    </row>
    <row r="2076" customHeight="1" spans="2:8">
      <c r="B2076" s="98"/>
      <c r="C2076" s="98"/>
      <c r="D2076" s="98"/>
      <c r="E2076" s="98"/>
      <c r="F2076" s="99"/>
      <c r="G2076" s="100"/>
      <c r="H2076" s="100"/>
    </row>
    <row r="2077" customHeight="1" spans="2:8">
      <c r="B2077" s="98"/>
      <c r="C2077" s="98"/>
      <c r="D2077" s="98"/>
      <c r="E2077" s="98"/>
      <c r="F2077" s="99"/>
      <c r="G2077" s="100"/>
      <c r="H2077" s="100"/>
    </row>
    <row r="2078" customHeight="1" spans="2:8">
      <c r="B2078" s="98"/>
      <c r="C2078" s="98"/>
      <c r="D2078" s="98"/>
      <c r="E2078" s="98"/>
      <c r="F2078" s="99"/>
      <c r="G2078" s="100"/>
      <c r="H2078" s="100"/>
    </row>
    <row r="2079" customHeight="1" spans="2:8">
      <c r="B2079" s="98"/>
      <c r="C2079" s="98"/>
      <c r="D2079" s="98"/>
      <c r="E2079" s="98"/>
      <c r="F2079" s="99"/>
      <c r="G2079" s="100"/>
      <c r="H2079" s="100"/>
    </row>
    <row r="2080" customHeight="1" spans="2:8">
      <c r="B2080" s="98"/>
      <c r="C2080" s="98"/>
      <c r="D2080" s="98"/>
      <c r="E2080" s="98"/>
      <c r="F2080" s="99"/>
      <c r="G2080" s="100"/>
      <c r="H2080" s="100"/>
    </row>
    <row r="2081" customHeight="1" spans="2:8">
      <c r="B2081" s="98"/>
      <c r="C2081" s="98"/>
      <c r="D2081" s="98"/>
      <c r="E2081" s="98"/>
      <c r="F2081" s="99"/>
      <c r="G2081" s="100"/>
      <c r="H2081" s="100"/>
    </row>
    <row r="2082" customHeight="1" spans="2:8">
      <c r="B2082" s="98"/>
      <c r="C2082" s="98"/>
      <c r="D2082" s="98"/>
      <c r="E2082" s="98"/>
      <c r="F2082" s="99"/>
      <c r="G2082" s="100"/>
      <c r="H2082" s="100"/>
    </row>
    <row r="2083" customHeight="1" spans="2:8">
      <c r="B2083" s="98"/>
      <c r="C2083" s="98"/>
      <c r="D2083" s="98"/>
      <c r="E2083" s="98"/>
      <c r="F2083" s="99"/>
      <c r="G2083" s="100"/>
      <c r="H2083" s="100"/>
    </row>
    <row r="2084" customHeight="1" spans="2:8">
      <c r="B2084" s="98"/>
      <c r="C2084" s="98"/>
      <c r="D2084" s="98"/>
      <c r="E2084" s="98"/>
      <c r="F2084" s="99"/>
      <c r="G2084" s="100"/>
      <c r="H2084" s="100"/>
    </row>
    <row r="2085" customHeight="1" spans="2:8">
      <c r="B2085" s="98"/>
      <c r="C2085" s="98"/>
      <c r="D2085" s="98"/>
      <c r="E2085" s="98"/>
      <c r="F2085" s="99"/>
      <c r="G2085" s="100"/>
      <c r="H2085" s="100"/>
    </row>
    <row r="2086" customHeight="1" spans="2:8">
      <c r="B2086" s="98"/>
      <c r="C2086" s="98"/>
      <c r="D2086" s="98"/>
      <c r="E2086" s="98"/>
      <c r="F2086" s="99"/>
      <c r="G2086" s="100"/>
      <c r="H2086" s="100"/>
    </row>
    <row r="2087" customHeight="1" spans="2:8">
      <c r="B2087" s="98"/>
      <c r="C2087" s="98"/>
      <c r="D2087" s="98"/>
      <c r="E2087" s="98"/>
      <c r="F2087" s="99"/>
      <c r="G2087" s="100"/>
      <c r="H2087" s="100"/>
    </row>
    <row r="2088" customHeight="1" spans="2:8">
      <c r="B2088" s="98"/>
      <c r="C2088" s="98"/>
      <c r="D2088" s="98"/>
      <c r="E2088" s="98"/>
      <c r="F2088" s="99"/>
      <c r="G2088" s="100"/>
      <c r="H2088" s="100"/>
    </row>
    <row r="2089" customHeight="1" spans="2:8">
      <c r="B2089" s="98"/>
      <c r="C2089" s="98"/>
      <c r="D2089" s="98"/>
      <c r="E2089" s="98"/>
      <c r="F2089" s="99"/>
      <c r="G2089" s="100"/>
      <c r="H2089" s="100"/>
    </row>
    <row r="2090" customHeight="1" spans="2:8">
      <c r="B2090" s="98"/>
      <c r="C2090" s="98"/>
      <c r="D2090" s="98"/>
      <c r="E2090" s="98"/>
      <c r="F2090" s="99"/>
      <c r="G2090" s="100"/>
      <c r="H2090" s="100"/>
    </row>
    <row r="2091" customHeight="1" spans="2:8">
      <c r="B2091" s="98"/>
      <c r="C2091" s="98"/>
      <c r="D2091" s="98"/>
      <c r="E2091" s="98"/>
      <c r="F2091" s="99"/>
      <c r="G2091" s="100"/>
      <c r="H2091" s="100"/>
    </row>
    <row r="2092" customHeight="1" spans="2:8">
      <c r="B2092" s="98"/>
      <c r="C2092" s="98"/>
      <c r="D2092" s="98"/>
      <c r="E2092" s="98"/>
      <c r="F2092" s="99"/>
      <c r="G2092" s="100"/>
      <c r="H2092" s="100"/>
    </row>
    <row r="2093" customHeight="1" spans="2:8">
      <c r="B2093" s="98"/>
      <c r="C2093" s="98"/>
      <c r="D2093" s="98"/>
      <c r="E2093" s="98"/>
      <c r="F2093" s="99"/>
      <c r="G2093" s="100"/>
      <c r="H2093" s="100"/>
    </row>
    <row r="2094" customHeight="1" spans="2:8">
      <c r="B2094" s="98"/>
      <c r="C2094" s="98"/>
      <c r="D2094" s="98"/>
      <c r="E2094" s="98"/>
      <c r="F2094" s="99"/>
      <c r="G2094" s="100"/>
      <c r="H2094" s="100"/>
    </row>
    <row r="2095" customHeight="1" spans="2:8">
      <c r="B2095" s="98"/>
      <c r="C2095" s="98"/>
      <c r="D2095" s="98"/>
      <c r="E2095" s="98"/>
      <c r="F2095" s="99"/>
      <c r="G2095" s="100"/>
      <c r="H2095" s="100"/>
    </row>
    <row r="2096" customHeight="1" spans="2:8">
      <c r="B2096" s="98"/>
      <c r="C2096" s="98"/>
      <c r="D2096" s="98"/>
      <c r="E2096" s="98"/>
      <c r="F2096" s="99"/>
      <c r="G2096" s="100"/>
      <c r="H2096" s="100"/>
    </row>
    <row r="2097" customHeight="1" spans="2:8">
      <c r="B2097" s="98"/>
      <c r="C2097" s="98"/>
      <c r="D2097" s="98"/>
      <c r="E2097" s="98"/>
      <c r="F2097" s="99"/>
      <c r="G2097" s="100"/>
      <c r="H2097" s="100"/>
    </row>
    <row r="2098" customHeight="1" spans="2:8">
      <c r="B2098" s="98"/>
      <c r="C2098" s="98"/>
      <c r="D2098" s="98"/>
      <c r="E2098" s="98"/>
      <c r="F2098" s="99"/>
      <c r="G2098" s="100"/>
      <c r="H2098" s="100"/>
    </row>
    <row r="2099" customHeight="1" spans="2:8">
      <c r="B2099" s="98"/>
      <c r="C2099" s="98"/>
      <c r="D2099" s="98"/>
      <c r="E2099" s="98"/>
      <c r="F2099" s="99"/>
      <c r="G2099" s="100"/>
      <c r="H2099" s="100"/>
    </row>
    <row r="2100" customHeight="1" spans="2:8">
      <c r="B2100" s="98"/>
      <c r="C2100" s="98"/>
      <c r="D2100" s="98"/>
      <c r="E2100" s="98"/>
      <c r="F2100" s="99"/>
      <c r="G2100" s="100"/>
      <c r="H2100" s="100"/>
    </row>
    <row r="2101" customHeight="1" spans="2:8">
      <c r="B2101" s="98"/>
      <c r="C2101" s="98"/>
      <c r="D2101" s="98"/>
      <c r="E2101" s="98"/>
      <c r="F2101" s="99"/>
      <c r="G2101" s="100"/>
      <c r="H2101" s="100"/>
    </row>
    <row r="2102" customHeight="1" spans="2:8">
      <c r="B2102" s="98"/>
      <c r="C2102" s="98"/>
      <c r="D2102" s="98"/>
      <c r="E2102" s="98"/>
      <c r="F2102" s="99"/>
      <c r="G2102" s="100"/>
      <c r="H2102" s="100"/>
    </row>
    <row r="2103" customHeight="1" spans="2:8">
      <c r="B2103" s="98"/>
      <c r="C2103" s="98"/>
      <c r="D2103" s="98"/>
      <c r="E2103" s="98"/>
      <c r="F2103" s="99"/>
      <c r="G2103" s="100"/>
      <c r="H2103" s="100"/>
    </row>
    <row r="2104" customHeight="1" spans="2:8">
      <c r="B2104" s="98"/>
      <c r="C2104" s="98"/>
      <c r="D2104" s="98"/>
      <c r="E2104" s="98"/>
      <c r="F2104" s="99"/>
      <c r="G2104" s="100"/>
      <c r="H2104" s="100"/>
    </row>
    <row r="2105" customHeight="1" spans="2:8">
      <c r="B2105" s="98"/>
      <c r="C2105" s="98"/>
      <c r="D2105" s="98"/>
      <c r="E2105" s="98"/>
      <c r="F2105" s="99"/>
      <c r="G2105" s="100"/>
      <c r="H2105" s="100"/>
    </row>
    <row r="2106" customHeight="1" spans="2:8">
      <c r="B2106" s="98"/>
      <c r="C2106" s="98"/>
      <c r="D2106" s="98"/>
      <c r="E2106" s="98"/>
      <c r="F2106" s="99"/>
      <c r="G2106" s="100"/>
      <c r="H2106" s="100"/>
    </row>
    <row r="2107" customHeight="1" spans="2:8">
      <c r="B2107" s="98"/>
      <c r="C2107" s="98"/>
      <c r="D2107" s="98"/>
      <c r="E2107" s="98"/>
      <c r="F2107" s="99"/>
      <c r="G2107" s="100"/>
      <c r="H2107" s="100"/>
    </row>
    <row r="2108" customHeight="1" spans="2:8">
      <c r="B2108" s="98"/>
      <c r="C2108" s="98"/>
      <c r="D2108" s="98"/>
      <c r="E2108" s="98"/>
      <c r="F2108" s="99"/>
      <c r="G2108" s="100"/>
      <c r="H2108" s="100"/>
    </row>
    <row r="2109" customHeight="1" spans="2:8">
      <c r="B2109" s="98"/>
      <c r="C2109" s="98"/>
      <c r="D2109" s="98"/>
      <c r="E2109" s="98"/>
      <c r="F2109" s="99"/>
      <c r="G2109" s="100"/>
      <c r="H2109" s="100"/>
    </row>
    <row r="2110" customHeight="1" spans="2:8">
      <c r="B2110" s="98"/>
      <c r="C2110" s="98"/>
      <c r="D2110" s="98"/>
      <c r="E2110" s="98"/>
      <c r="F2110" s="99"/>
      <c r="G2110" s="100"/>
      <c r="H2110" s="100"/>
    </row>
    <row r="2111" customHeight="1" spans="2:8">
      <c r="B2111" s="98"/>
      <c r="C2111" s="98"/>
      <c r="D2111" s="98"/>
      <c r="E2111" s="98"/>
      <c r="F2111" s="99"/>
      <c r="G2111" s="100"/>
      <c r="H2111" s="100"/>
    </row>
    <row r="2112" customHeight="1" spans="2:8">
      <c r="B2112" s="98"/>
      <c r="C2112" s="98"/>
      <c r="D2112" s="98"/>
      <c r="E2112" s="98"/>
      <c r="F2112" s="99"/>
      <c r="G2112" s="100"/>
      <c r="H2112" s="100"/>
    </row>
    <row r="2113" customHeight="1" spans="2:8">
      <c r="B2113" s="98"/>
      <c r="C2113" s="98"/>
      <c r="D2113" s="98"/>
      <c r="E2113" s="98"/>
      <c r="F2113" s="99"/>
      <c r="G2113" s="100"/>
      <c r="H2113" s="100"/>
    </row>
    <row r="2114" customHeight="1" spans="2:8">
      <c r="B2114" s="98"/>
      <c r="C2114" s="98"/>
      <c r="D2114" s="98"/>
      <c r="E2114" s="98"/>
      <c r="F2114" s="99"/>
      <c r="G2114" s="100"/>
      <c r="H2114" s="100"/>
    </row>
    <row r="2115" customHeight="1" spans="2:8">
      <c r="B2115" s="98"/>
      <c r="C2115" s="98"/>
      <c r="D2115" s="98"/>
      <c r="E2115" s="98"/>
      <c r="F2115" s="99"/>
      <c r="G2115" s="100"/>
      <c r="H2115" s="100"/>
    </row>
    <row r="2116" customHeight="1" spans="2:8">
      <c r="B2116" s="98"/>
      <c r="C2116" s="98"/>
      <c r="D2116" s="98"/>
      <c r="E2116" s="98"/>
      <c r="F2116" s="99"/>
      <c r="G2116" s="100"/>
      <c r="H2116" s="100"/>
    </row>
    <row r="2117" customHeight="1" spans="2:8">
      <c r="B2117" s="98"/>
      <c r="C2117" s="98"/>
      <c r="D2117" s="98"/>
      <c r="E2117" s="98"/>
      <c r="F2117" s="99"/>
      <c r="G2117" s="100"/>
      <c r="H2117" s="100"/>
    </row>
    <row r="2118" customHeight="1" spans="2:8">
      <c r="B2118" s="98"/>
      <c r="C2118" s="98"/>
      <c r="D2118" s="98"/>
      <c r="E2118" s="98"/>
      <c r="F2118" s="99"/>
      <c r="G2118" s="100"/>
      <c r="H2118" s="100"/>
    </row>
    <row r="2119" customHeight="1" spans="2:8">
      <c r="B2119" s="98"/>
      <c r="C2119" s="98"/>
      <c r="D2119" s="98"/>
      <c r="E2119" s="98"/>
      <c r="F2119" s="99"/>
      <c r="G2119" s="100"/>
      <c r="H2119" s="100"/>
    </row>
    <row r="2120" customHeight="1" spans="2:8">
      <c r="B2120" s="98"/>
      <c r="C2120" s="98"/>
      <c r="D2120" s="98"/>
      <c r="E2120" s="98"/>
      <c r="F2120" s="99"/>
      <c r="G2120" s="100"/>
      <c r="H2120" s="100"/>
    </row>
    <row r="2121" customHeight="1" spans="2:8">
      <c r="B2121" s="98"/>
      <c r="C2121" s="98"/>
      <c r="D2121" s="98"/>
      <c r="E2121" s="98"/>
      <c r="F2121" s="99"/>
      <c r="G2121" s="100"/>
      <c r="H2121" s="100"/>
    </row>
    <row r="2122" customHeight="1" spans="2:8">
      <c r="B2122" s="98"/>
      <c r="C2122" s="98"/>
      <c r="D2122" s="98"/>
      <c r="E2122" s="98"/>
      <c r="F2122" s="99"/>
      <c r="G2122" s="100"/>
      <c r="H2122" s="100"/>
    </row>
    <row r="2123" customHeight="1" spans="2:8">
      <c r="B2123" s="98"/>
      <c r="C2123" s="98"/>
      <c r="D2123" s="98"/>
      <c r="E2123" s="98"/>
      <c r="F2123" s="99"/>
      <c r="G2123" s="100"/>
      <c r="H2123" s="100"/>
    </row>
    <row r="2124" customHeight="1" spans="2:8">
      <c r="B2124" s="98"/>
      <c r="C2124" s="98"/>
      <c r="D2124" s="98"/>
      <c r="E2124" s="98"/>
      <c r="F2124" s="99"/>
      <c r="G2124" s="100"/>
      <c r="H2124" s="100"/>
    </row>
    <row r="2125" customHeight="1" spans="2:8">
      <c r="B2125" s="98"/>
      <c r="C2125" s="98"/>
      <c r="D2125" s="98"/>
      <c r="E2125" s="98"/>
      <c r="F2125" s="99"/>
      <c r="G2125" s="100"/>
      <c r="H2125" s="100"/>
    </row>
    <row r="2126" customHeight="1" spans="2:8">
      <c r="B2126" s="98"/>
      <c r="C2126" s="98"/>
      <c r="D2126" s="98"/>
      <c r="E2126" s="98"/>
      <c r="F2126" s="99"/>
      <c r="G2126" s="100"/>
      <c r="H2126" s="100"/>
    </row>
    <row r="2127" customHeight="1" spans="2:8">
      <c r="B2127" s="98"/>
      <c r="C2127" s="98"/>
      <c r="D2127" s="98"/>
      <c r="E2127" s="98"/>
      <c r="F2127" s="99"/>
      <c r="G2127" s="100"/>
      <c r="H2127" s="100"/>
    </row>
    <row r="2128" customHeight="1" spans="2:8">
      <c r="B2128" s="98"/>
      <c r="C2128" s="98"/>
      <c r="D2128" s="98"/>
      <c r="E2128" s="98"/>
      <c r="F2128" s="99"/>
      <c r="G2128" s="100"/>
      <c r="H2128" s="100"/>
    </row>
    <row r="2129" customHeight="1" spans="2:8">
      <c r="B2129" s="98"/>
      <c r="C2129" s="98"/>
      <c r="D2129" s="98"/>
      <c r="E2129" s="98"/>
      <c r="F2129" s="99"/>
      <c r="G2129" s="100"/>
      <c r="H2129" s="100"/>
    </row>
    <row r="2130" customHeight="1" spans="2:8">
      <c r="B2130" s="98"/>
      <c r="C2130" s="98"/>
      <c r="D2130" s="98"/>
      <c r="E2130" s="98"/>
      <c r="F2130" s="99"/>
      <c r="G2130" s="100"/>
      <c r="H2130" s="100"/>
    </row>
    <row r="2131" customHeight="1" spans="2:8">
      <c r="B2131" s="98"/>
      <c r="C2131" s="98"/>
      <c r="D2131" s="98"/>
      <c r="E2131" s="98"/>
      <c r="F2131" s="99"/>
      <c r="G2131" s="100"/>
      <c r="H2131" s="100"/>
    </row>
    <row r="2132" customHeight="1" spans="2:8">
      <c r="B2132" s="98"/>
      <c r="C2132" s="98"/>
      <c r="D2132" s="98"/>
      <c r="E2132" s="98"/>
      <c r="F2132" s="99"/>
      <c r="G2132" s="100"/>
      <c r="H2132" s="100"/>
    </row>
    <row r="2133" customHeight="1" spans="2:8">
      <c r="B2133" s="98"/>
      <c r="C2133" s="98"/>
      <c r="D2133" s="98"/>
      <c r="E2133" s="98"/>
      <c r="F2133" s="99"/>
      <c r="G2133" s="100"/>
      <c r="H2133" s="100"/>
    </row>
    <row r="2134" customHeight="1" spans="2:8">
      <c r="B2134" s="98"/>
      <c r="C2134" s="98"/>
      <c r="D2134" s="98"/>
      <c r="E2134" s="98"/>
      <c r="F2134" s="99"/>
      <c r="G2134" s="100"/>
      <c r="H2134" s="100"/>
    </row>
    <row r="2135" customHeight="1" spans="2:8">
      <c r="B2135" s="98"/>
      <c r="C2135" s="98"/>
      <c r="D2135" s="98"/>
      <c r="E2135" s="98"/>
      <c r="F2135" s="99"/>
      <c r="G2135" s="100"/>
      <c r="H2135" s="100"/>
    </row>
    <row r="2136" customHeight="1" spans="2:8">
      <c r="B2136" s="98"/>
      <c r="C2136" s="98"/>
      <c r="D2136" s="98"/>
      <c r="E2136" s="98"/>
      <c r="F2136" s="99"/>
      <c r="G2136" s="100"/>
      <c r="H2136" s="100"/>
    </row>
    <row r="2137" customHeight="1" spans="2:8">
      <c r="B2137" s="98"/>
      <c r="C2137" s="98"/>
      <c r="D2137" s="98"/>
      <c r="E2137" s="98"/>
      <c r="F2137" s="99"/>
      <c r="G2137" s="100"/>
      <c r="H2137" s="100"/>
    </row>
    <row r="2138" customHeight="1" spans="2:8">
      <c r="B2138" s="98"/>
      <c r="C2138" s="98"/>
      <c r="D2138" s="98"/>
      <c r="E2138" s="98"/>
      <c r="F2138" s="99"/>
      <c r="G2138" s="100"/>
      <c r="H2138" s="100"/>
    </row>
    <row r="2139" customHeight="1" spans="2:8">
      <c r="B2139" s="98"/>
      <c r="C2139" s="98"/>
      <c r="D2139" s="98"/>
      <c r="E2139" s="98"/>
      <c r="F2139" s="99"/>
      <c r="G2139" s="100"/>
      <c r="H2139" s="100"/>
    </row>
    <row r="2140" customHeight="1" spans="2:8">
      <c r="B2140" s="98"/>
      <c r="C2140" s="98"/>
      <c r="D2140" s="98"/>
      <c r="E2140" s="98"/>
      <c r="F2140" s="99"/>
      <c r="G2140" s="100"/>
      <c r="H2140" s="100"/>
    </row>
    <row r="2141" customHeight="1" spans="2:8">
      <c r="B2141" s="98"/>
      <c r="C2141" s="98"/>
      <c r="D2141" s="98"/>
      <c r="E2141" s="98"/>
      <c r="F2141" s="99"/>
      <c r="G2141" s="100"/>
      <c r="H2141" s="100"/>
    </row>
    <row r="2142" customHeight="1" spans="2:8">
      <c r="B2142" s="98"/>
      <c r="C2142" s="98"/>
      <c r="D2142" s="98"/>
      <c r="E2142" s="98"/>
      <c r="F2142" s="99"/>
      <c r="G2142" s="100"/>
      <c r="H2142" s="100"/>
    </row>
    <row r="2143" customHeight="1" spans="2:8">
      <c r="B2143" s="98"/>
      <c r="C2143" s="98"/>
      <c r="D2143" s="98"/>
      <c r="E2143" s="98"/>
      <c r="F2143" s="99"/>
      <c r="G2143" s="100"/>
      <c r="H2143" s="100"/>
    </row>
    <row r="2144" customHeight="1" spans="2:8">
      <c r="B2144" s="98"/>
      <c r="C2144" s="98"/>
      <c r="D2144" s="98"/>
      <c r="E2144" s="98"/>
      <c r="F2144" s="99"/>
      <c r="G2144" s="100"/>
      <c r="H2144" s="100"/>
    </row>
    <row r="2145" customHeight="1" spans="2:8">
      <c r="B2145" s="98"/>
      <c r="C2145" s="98"/>
      <c r="D2145" s="98"/>
      <c r="E2145" s="98"/>
      <c r="F2145" s="99"/>
      <c r="G2145" s="100"/>
      <c r="H2145" s="100"/>
    </row>
    <row r="2146" customHeight="1" spans="2:8">
      <c r="B2146" s="98"/>
      <c r="C2146" s="98"/>
      <c r="D2146" s="98"/>
      <c r="E2146" s="98"/>
      <c r="F2146" s="99"/>
      <c r="G2146" s="100"/>
      <c r="H2146" s="100"/>
    </row>
    <row r="2147" customHeight="1" spans="2:8">
      <c r="B2147" s="98"/>
      <c r="C2147" s="98"/>
      <c r="D2147" s="98"/>
      <c r="E2147" s="98"/>
      <c r="F2147" s="99"/>
      <c r="G2147" s="100"/>
      <c r="H2147" s="100"/>
    </row>
    <row r="2148" customHeight="1" spans="2:8">
      <c r="B2148" s="98"/>
      <c r="C2148" s="98"/>
      <c r="D2148" s="98"/>
      <c r="E2148" s="98"/>
      <c r="F2148" s="99"/>
      <c r="G2148" s="100"/>
      <c r="H2148" s="100"/>
    </row>
    <row r="2149" customHeight="1" spans="2:8">
      <c r="B2149" s="98"/>
      <c r="C2149" s="98"/>
      <c r="D2149" s="98"/>
      <c r="E2149" s="98"/>
      <c r="F2149" s="99"/>
      <c r="G2149" s="100"/>
      <c r="H2149" s="100"/>
    </row>
    <row r="2150" customHeight="1" spans="2:8">
      <c r="B2150" s="98"/>
      <c r="C2150" s="98"/>
      <c r="D2150" s="98"/>
      <c r="E2150" s="98"/>
      <c r="F2150" s="99"/>
      <c r="G2150" s="100"/>
      <c r="H2150" s="100"/>
    </row>
    <row r="2151" customHeight="1" spans="2:8">
      <c r="B2151" s="98"/>
      <c r="C2151" s="98"/>
      <c r="D2151" s="98"/>
      <c r="E2151" s="98"/>
      <c r="F2151" s="99"/>
      <c r="G2151" s="100"/>
      <c r="H2151" s="100"/>
    </row>
    <row r="2152" customHeight="1" spans="2:8">
      <c r="B2152" s="98"/>
      <c r="C2152" s="98"/>
      <c r="D2152" s="98"/>
      <c r="E2152" s="98"/>
      <c r="F2152" s="99"/>
      <c r="G2152" s="100"/>
      <c r="H2152" s="100"/>
    </row>
    <row r="2153" customHeight="1" spans="2:8">
      <c r="B2153" s="98"/>
      <c r="C2153" s="98"/>
      <c r="D2153" s="98"/>
      <c r="E2153" s="98"/>
      <c r="F2153" s="99"/>
      <c r="G2153" s="100"/>
      <c r="H2153" s="100"/>
    </row>
    <row r="2154" customHeight="1" spans="2:8">
      <c r="B2154" s="98"/>
      <c r="C2154" s="98"/>
      <c r="D2154" s="98"/>
      <c r="E2154" s="98"/>
      <c r="F2154" s="99"/>
      <c r="G2154" s="100"/>
      <c r="H2154" s="100"/>
    </row>
    <row r="2155" customHeight="1" spans="2:8">
      <c r="B2155" s="98"/>
      <c r="C2155" s="98"/>
      <c r="D2155" s="98"/>
      <c r="E2155" s="98"/>
      <c r="F2155" s="99"/>
      <c r="G2155" s="100"/>
      <c r="H2155" s="100"/>
    </row>
    <row r="2156" customHeight="1" spans="2:8">
      <c r="B2156" s="98"/>
      <c r="C2156" s="98"/>
      <c r="D2156" s="98"/>
      <c r="E2156" s="98"/>
      <c r="F2156" s="99"/>
      <c r="G2156" s="100"/>
      <c r="H2156" s="100"/>
    </row>
    <row r="2157" customHeight="1" spans="2:8">
      <c r="B2157" s="98"/>
      <c r="C2157" s="98"/>
      <c r="D2157" s="98"/>
      <c r="E2157" s="98"/>
      <c r="F2157" s="99"/>
      <c r="G2157" s="100"/>
      <c r="H2157" s="100"/>
    </row>
    <row r="2158" customHeight="1" spans="2:8">
      <c r="B2158" s="98"/>
      <c r="C2158" s="98"/>
      <c r="D2158" s="98"/>
      <c r="E2158" s="98"/>
      <c r="F2158" s="99"/>
      <c r="G2158" s="100"/>
      <c r="H2158" s="100"/>
    </row>
    <row r="2159" customHeight="1" spans="2:8">
      <c r="B2159" s="98"/>
      <c r="C2159" s="98"/>
      <c r="D2159" s="98"/>
      <c r="E2159" s="98"/>
      <c r="F2159" s="99"/>
      <c r="G2159" s="100"/>
      <c r="H2159" s="100"/>
    </row>
    <row r="2160" customHeight="1" spans="2:8">
      <c r="B2160" s="98"/>
      <c r="C2160" s="98"/>
      <c r="D2160" s="98"/>
      <c r="E2160" s="98"/>
      <c r="F2160" s="99"/>
      <c r="G2160" s="100"/>
      <c r="H2160" s="100"/>
    </row>
    <row r="2161" customHeight="1" spans="2:8">
      <c r="B2161" s="98"/>
      <c r="C2161" s="98"/>
      <c r="D2161" s="98"/>
      <c r="E2161" s="98"/>
      <c r="F2161" s="99"/>
      <c r="G2161" s="100"/>
      <c r="H2161" s="100"/>
    </row>
    <row r="2162" customHeight="1" spans="2:8">
      <c r="B2162" s="98"/>
      <c r="C2162" s="98"/>
      <c r="D2162" s="98"/>
      <c r="E2162" s="98"/>
      <c r="F2162" s="99"/>
      <c r="G2162" s="100"/>
      <c r="H2162" s="100"/>
    </row>
    <row r="2163" customHeight="1" spans="2:8">
      <c r="B2163" s="98"/>
      <c r="C2163" s="98"/>
      <c r="D2163" s="98"/>
      <c r="E2163" s="98"/>
      <c r="F2163" s="99"/>
      <c r="G2163" s="100"/>
      <c r="H2163" s="100"/>
    </row>
    <row r="2164" customHeight="1" spans="2:8">
      <c r="B2164" s="98"/>
      <c r="C2164" s="98"/>
      <c r="D2164" s="98"/>
      <c r="E2164" s="98"/>
      <c r="F2164" s="99"/>
      <c r="G2164" s="100"/>
      <c r="H2164" s="100"/>
    </row>
    <row r="2165" customHeight="1" spans="2:8">
      <c r="B2165" s="98"/>
      <c r="C2165" s="98"/>
      <c r="D2165" s="98"/>
      <c r="E2165" s="98"/>
      <c r="F2165" s="99"/>
      <c r="G2165" s="100"/>
      <c r="H2165" s="100"/>
    </row>
    <row r="2166" customHeight="1" spans="2:8">
      <c r="B2166" s="98"/>
      <c r="C2166" s="98"/>
      <c r="D2166" s="98"/>
      <c r="E2166" s="98"/>
      <c r="F2166" s="99"/>
      <c r="G2166" s="100"/>
      <c r="H2166" s="100"/>
    </row>
    <row r="2167" customHeight="1" spans="2:8">
      <c r="B2167" s="98"/>
      <c r="C2167" s="98"/>
      <c r="D2167" s="98"/>
      <c r="E2167" s="98"/>
      <c r="F2167" s="99"/>
      <c r="G2167" s="100"/>
      <c r="H2167" s="100"/>
    </row>
    <row r="2168" customHeight="1" spans="2:8">
      <c r="B2168" s="98"/>
      <c r="C2168" s="98"/>
      <c r="D2168" s="98"/>
      <c r="E2168" s="98"/>
      <c r="F2168" s="99"/>
      <c r="G2168" s="100"/>
      <c r="H2168" s="100"/>
    </row>
    <row r="2169" customHeight="1" spans="2:8">
      <c r="B2169" s="98"/>
      <c r="C2169" s="98"/>
      <c r="D2169" s="98"/>
      <c r="E2169" s="98"/>
      <c r="F2169" s="99"/>
      <c r="G2169" s="100"/>
      <c r="H2169" s="100"/>
    </row>
    <row r="2170" customHeight="1" spans="2:8">
      <c r="B2170" s="98"/>
      <c r="C2170" s="98"/>
      <c r="D2170" s="98"/>
      <c r="E2170" s="98"/>
      <c r="F2170" s="99"/>
      <c r="G2170" s="100"/>
      <c r="H2170" s="100"/>
    </row>
    <row r="2171" customHeight="1" spans="2:8">
      <c r="B2171" s="98"/>
      <c r="C2171" s="98"/>
      <c r="D2171" s="98"/>
      <c r="E2171" s="98"/>
      <c r="F2171" s="99"/>
      <c r="G2171" s="100"/>
      <c r="H2171" s="100"/>
    </row>
    <row r="2172" customHeight="1" spans="2:8">
      <c r="B2172" s="98"/>
      <c r="C2172" s="98"/>
      <c r="D2172" s="98"/>
      <c r="E2172" s="98"/>
      <c r="F2172" s="99"/>
      <c r="G2172" s="100"/>
      <c r="H2172" s="100"/>
    </row>
    <row r="2173" customHeight="1" spans="2:8">
      <c r="B2173" s="98"/>
      <c r="C2173" s="98"/>
      <c r="D2173" s="98"/>
      <c r="E2173" s="98"/>
      <c r="F2173" s="99"/>
      <c r="G2173" s="100"/>
      <c r="H2173" s="100"/>
    </row>
    <row r="2174" customHeight="1" spans="2:8">
      <c r="B2174" s="98"/>
      <c r="C2174" s="98"/>
      <c r="D2174" s="98"/>
      <c r="E2174" s="98"/>
      <c r="F2174" s="99"/>
      <c r="G2174" s="100"/>
      <c r="H2174" s="100"/>
    </row>
    <row r="2175" customHeight="1" spans="2:8">
      <c r="B2175" s="98"/>
      <c r="C2175" s="98"/>
      <c r="D2175" s="98"/>
      <c r="E2175" s="98"/>
      <c r="F2175" s="99"/>
      <c r="G2175" s="100"/>
      <c r="H2175" s="100"/>
    </row>
    <row r="2176" customHeight="1" spans="2:8">
      <c r="B2176" s="98"/>
      <c r="C2176" s="98"/>
      <c r="D2176" s="98"/>
      <c r="E2176" s="98"/>
      <c r="F2176" s="99"/>
      <c r="G2176" s="100"/>
      <c r="H2176" s="100"/>
    </row>
    <row r="2177" customHeight="1" spans="2:8">
      <c r="B2177" s="98"/>
      <c r="C2177" s="98"/>
      <c r="D2177" s="98"/>
      <c r="E2177" s="98"/>
      <c r="F2177" s="99"/>
      <c r="G2177" s="100"/>
      <c r="H2177" s="100"/>
    </row>
    <row r="2178" customHeight="1" spans="2:8">
      <c r="B2178" s="98"/>
      <c r="C2178" s="98"/>
      <c r="D2178" s="98"/>
      <c r="E2178" s="98"/>
      <c r="F2178" s="99"/>
      <c r="G2178" s="100"/>
      <c r="H2178" s="100"/>
    </row>
    <row r="2179" customHeight="1" spans="2:8">
      <c r="B2179" s="98"/>
      <c r="C2179" s="98"/>
      <c r="D2179" s="98"/>
      <c r="E2179" s="98"/>
      <c r="F2179" s="99"/>
      <c r="G2179" s="100"/>
      <c r="H2179" s="100"/>
    </row>
    <row r="2180" customHeight="1" spans="2:8">
      <c r="B2180" s="98"/>
      <c r="C2180" s="98"/>
      <c r="D2180" s="98"/>
      <c r="E2180" s="98"/>
      <c r="F2180" s="99"/>
      <c r="G2180" s="100"/>
      <c r="H2180" s="100"/>
    </row>
    <row r="2181" customHeight="1" spans="2:8">
      <c r="B2181" s="98"/>
      <c r="C2181" s="98"/>
      <c r="D2181" s="98"/>
      <c r="E2181" s="98"/>
      <c r="F2181" s="99"/>
      <c r="G2181" s="100"/>
      <c r="H2181" s="100"/>
    </row>
    <row r="2182" customHeight="1" spans="2:8">
      <c r="B2182" s="98"/>
      <c r="C2182" s="98"/>
      <c r="D2182" s="98"/>
      <c r="E2182" s="98"/>
      <c r="F2182" s="99"/>
      <c r="G2182" s="100"/>
      <c r="H2182" s="100"/>
    </row>
    <row r="2183" customHeight="1" spans="2:8">
      <c r="B2183" s="98"/>
      <c r="C2183" s="98"/>
      <c r="D2183" s="98"/>
      <c r="E2183" s="98"/>
      <c r="F2183" s="99"/>
      <c r="G2183" s="100"/>
      <c r="H2183" s="100"/>
    </row>
    <row r="2184" customHeight="1" spans="2:8">
      <c r="B2184" s="98"/>
      <c r="C2184" s="98"/>
      <c r="D2184" s="98"/>
      <c r="E2184" s="98"/>
      <c r="F2184" s="99"/>
      <c r="G2184" s="100"/>
      <c r="H2184" s="100"/>
    </row>
    <row r="2185" customHeight="1" spans="2:8">
      <c r="B2185" s="98"/>
      <c r="C2185" s="98"/>
      <c r="D2185" s="98"/>
      <c r="E2185" s="98"/>
      <c r="F2185" s="99"/>
      <c r="G2185" s="100"/>
      <c r="H2185" s="100"/>
    </row>
    <row r="2186" customHeight="1" spans="2:8">
      <c r="B2186" s="98"/>
      <c r="C2186" s="98"/>
      <c r="D2186" s="98"/>
      <c r="E2186" s="98"/>
      <c r="F2186" s="99"/>
      <c r="G2186" s="100"/>
      <c r="H2186" s="100"/>
    </row>
    <row r="2187" customHeight="1" spans="2:8">
      <c r="B2187" s="98"/>
      <c r="C2187" s="98"/>
      <c r="D2187" s="98"/>
      <c r="E2187" s="98"/>
      <c r="F2187" s="99"/>
      <c r="G2187" s="100"/>
      <c r="H2187" s="100"/>
    </row>
    <row r="2188" customHeight="1" spans="2:8">
      <c r="B2188" s="98"/>
      <c r="C2188" s="98"/>
      <c r="D2188" s="98"/>
      <c r="E2188" s="98"/>
      <c r="F2188" s="99"/>
      <c r="G2188" s="100"/>
      <c r="H2188" s="100"/>
    </row>
    <row r="2189" customHeight="1" spans="2:8">
      <c r="B2189" s="98"/>
      <c r="C2189" s="98"/>
      <c r="D2189" s="98"/>
      <c r="E2189" s="98"/>
      <c r="F2189" s="99"/>
      <c r="G2189" s="100"/>
      <c r="H2189" s="100"/>
    </row>
    <row r="2190" customHeight="1" spans="2:8">
      <c r="B2190" s="98"/>
      <c r="C2190" s="98"/>
      <c r="D2190" s="98"/>
      <c r="E2190" s="98"/>
      <c r="F2190" s="99"/>
      <c r="G2190" s="100"/>
      <c r="H2190" s="100"/>
    </row>
    <row r="2191" customHeight="1" spans="2:8">
      <c r="B2191" s="98"/>
      <c r="C2191" s="98"/>
      <c r="D2191" s="98"/>
      <c r="E2191" s="98"/>
      <c r="F2191" s="99"/>
      <c r="G2191" s="100"/>
      <c r="H2191" s="100"/>
    </row>
    <row r="2192" customHeight="1" spans="2:8">
      <c r="B2192" s="98"/>
      <c r="C2192" s="98"/>
      <c r="D2192" s="98"/>
      <c r="E2192" s="98"/>
      <c r="F2192" s="99"/>
      <c r="G2192" s="100"/>
      <c r="H2192" s="100"/>
    </row>
    <row r="2193" customHeight="1" spans="2:8">
      <c r="B2193" s="98"/>
      <c r="C2193" s="98"/>
      <c r="D2193" s="98"/>
      <c r="E2193" s="98"/>
      <c r="F2193" s="99"/>
      <c r="G2193" s="100"/>
      <c r="H2193" s="100"/>
    </row>
    <row r="2194" customHeight="1" spans="2:8">
      <c r="B2194" s="98"/>
      <c r="C2194" s="98"/>
      <c r="D2194" s="98"/>
      <c r="E2194" s="98"/>
      <c r="F2194" s="99"/>
      <c r="G2194" s="100"/>
      <c r="H2194" s="100"/>
    </row>
    <row r="2195" customHeight="1" spans="2:8">
      <c r="B2195" s="98"/>
      <c r="C2195" s="98"/>
      <c r="D2195" s="98"/>
      <c r="E2195" s="98"/>
      <c r="F2195" s="99"/>
      <c r="G2195" s="100"/>
      <c r="H2195" s="100"/>
    </row>
    <row r="2196" customHeight="1" spans="2:8">
      <c r="B2196" s="98"/>
      <c r="C2196" s="98"/>
      <c r="D2196" s="98"/>
      <c r="E2196" s="98"/>
      <c r="F2196" s="99"/>
      <c r="G2196" s="100"/>
      <c r="H2196" s="100"/>
    </row>
    <row r="2197" customHeight="1" spans="2:8">
      <c r="B2197" s="98"/>
      <c r="C2197" s="98"/>
      <c r="D2197" s="98"/>
      <c r="E2197" s="98"/>
      <c r="F2197" s="99"/>
      <c r="G2197" s="100"/>
      <c r="H2197" s="100"/>
    </row>
    <row r="2198" customHeight="1" spans="2:8">
      <c r="B2198" s="98"/>
      <c r="C2198" s="98"/>
      <c r="D2198" s="98"/>
      <c r="E2198" s="98"/>
      <c r="F2198" s="99"/>
      <c r="G2198" s="100"/>
      <c r="H2198" s="100"/>
    </row>
    <row r="2199" customHeight="1" spans="2:8">
      <c r="B2199" s="98"/>
      <c r="C2199" s="98"/>
      <c r="D2199" s="98"/>
      <c r="E2199" s="98"/>
      <c r="F2199" s="99"/>
      <c r="G2199" s="100"/>
      <c r="H2199" s="100"/>
    </row>
    <row r="2200" customHeight="1" spans="2:8">
      <c r="B2200" s="98"/>
      <c r="C2200" s="98"/>
      <c r="D2200" s="98"/>
      <c r="E2200" s="98"/>
      <c r="F2200" s="99"/>
      <c r="G2200" s="100"/>
      <c r="H2200" s="100"/>
    </row>
    <row r="2201" customHeight="1" spans="2:8">
      <c r="B2201" s="98"/>
      <c r="C2201" s="98"/>
      <c r="D2201" s="98"/>
      <c r="E2201" s="98"/>
      <c r="F2201" s="99"/>
      <c r="G2201" s="100"/>
      <c r="H2201" s="100"/>
    </row>
    <row r="2202" customHeight="1" spans="2:8">
      <c r="B2202" s="98"/>
      <c r="C2202" s="98"/>
      <c r="D2202" s="98"/>
      <c r="E2202" s="98"/>
      <c r="F2202" s="99"/>
      <c r="G2202" s="100"/>
      <c r="H2202" s="100"/>
    </row>
    <row r="2203" customHeight="1" spans="2:8">
      <c r="B2203" s="98"/>
      <c r="C2203" s="98"/>
      <c r="D2203" s="98"/>
      <c r="E2203" s="98"/>
      <c r="F2203" s="99"/>
      <c r="G2203" s="100"/>
      <c r="H2203" s="100"/>
    </row>
    <row r="2204" customHeight="1" spans="2:8">
      <c r="B2204" s="98"/>
      <c r="C2204" s="98"/>
      <c r="D2204" s="98"/>
      <c r="E2204" s="98"/>
      <c r="F2204" s="99"/>
      <c r="G2204" s="100"/>
      <c r="H2204" s="100"/>
    </row>
    <row r="2205" customHeight="1" spans="2:8">
      <c r="B2205" s="98"/>
      <c r="C2205" s="98"/>
      <c r="D2205" s="98"/>
      <c r="E2205" s="98"/>
      <c r="F2205" s="99"/>
      <c r="G2205" s="100"/>
      <c r="H2205" s="100"/>
    </row>
    <row r="2206" customHeight="1" spans="2:8">
      <c r="B2206" s="98"/>
      <c r="C2206" s="98"/>
      <c r="D2206" s="98"/>
      <c r="E2206" s="98"/>
      <c r="F2206" s="99"/>
      <c r="G2206" s="100"/>
      <c r="H2206" s="100"/>
    </row>
    <row r="2207" customHeight="1" spans="2:8">
      <c r="B2207" s="98"/>
      <c r="C2207" s="98"/>
      <c r="D2207" s="98"/>
      <c r="E2207" s="98"/>
      <c r="F2207" s="99"/>
      <c r="G2207" s="100"/>
      <c r="H2207" s="100"/>
    </row>
    <row r="2208" customHeight="1" spans="2:8">
      <c r="B2208" s="98"/>
      <c r="C2208" s="98"/>
      <c r="D2208" s="98"/>
      <c r="E2208" s="98"/>
      <c r="F2208" s="99"/>
      <c r="G2208" s="100"/>
      <c r="H2208" s="100"/>
    </row>
    <row r="2209" customHeight="1" spans="2:8">
      <c r="B2209" s="98"/>
      <c r="C2209" s="98"/>
      <c r="D2209" s="98"/>
      <c r="E2209" s="98"/>
      <c r="F2209" s="99"/>
      <c r="G2209" s="100"/>
      <c r="H2209" s="100"/>
    </row>
    <row r="2210" customHeight="1" spans="2:8">
      <c r="B2210" s="98"/>
      <c r="C2210" s="98"/>
      <c r="D2210" s="98"/>
      <c r="E2210" s="98"/>
      <c r="F2210" s="99"/>
      <c r="G2210" s="100"/>
      <c r="H2210" s="100"/>
    </row>
    <row r="2211" customHeight="1" spans="2:8">
      <c r="B2211" s="98"/>
      <c r="C2211" s="98"/>
      <c r="D2211" s="98"/>
      <c r="E2211" s="98"/>
      <c r="F2211" s="99"/>
      <c r="G2211" s="100"/>
      <c r="H2211" s="100"/>
    </row>
    <row r="2212" customHeight="1" spans="2:8">
      <c r="B2212" s="98"/>
      <c r="C2212" s="98"/>
      <c r="D2212" s="98"/>
      <c r="E2212" s="98"/>
      <c r="F2212" s="99"/>
      <c r="G2212" s="100"/>
      <c r="H2212" s="100"/>
    </row>
    <row r="2213" customHeight="1" spans="2:8">
      <c r="B2213" s="98"/>
      <c r="C2213" s="98"/>
      <c r="D2213" s="98"/>
      <c r="E2213" s="98"/>
      <c r="F2213" s="99"/>
      <c r="G2213" s="100"/>
      <c r="H2213" s="100"/>
    </row>
    <row r="2214" customHeight="1" spans="2:8">
      <c r="B2214" s="98"/>
      <c r="C2214" s="98"/>
      <c r="D2214" s="98"/>
      <c r="E2214" s="98"/>
      <c r="F2214" s="99"/>
      <c r="G2214" s="100"/>
      <c r="H2214" s="100"/>
    </row>
    <row r="2215" customHeight="1" spans="2:8">
      <c r="B2215" s="98"/>
      <c r="C2215" s="98"/>
      <c r="D2215" s="98"/>
      <c r="E2215" s="98"/>
      <c r="F2215" s="99"/>
      <c r="G2215" s="100"/>
      <c r="H2215" s="100"/>
    </row>
    <row r="2216" customHeight="1" spans="2:8">
      <c r="B2216" s="98"/>
      <c r="C2216" s="98"/>
      <c r="D2216" s="98"/>
      <c r="E2216" s="98"/>
      <c r="F2216" s="99"/>
      <c r="G2216" s="100"/>
      <c r="H2216" s="100"/>
    </row>
    <row r="2217" customHeight="1" spans="2:8">
      <c r="B2217" s="98"/>
      <c r="C2217" s="98"/>
      <c r="D2217" s="98"/>
      <c r="E2217" s="98"/>
      <c r="F2217" s="99"/>
      <c r="G2217" s="100"/>
      <c r="H2217" s="100"/>
    </row>
    <row r="2218" customHeight="1" spans="2:8">
      <c r="B2218" s="98"/>
      <c r="C2218" s="98"/>
      <c r="D2218" s="98"/>
      <c r="E2218" s="98"/>
      <c r="F2218" s="99"/>
      <c r="G2218" s="100"/>
      <c r="H2218" s="100"/>
    </row>
    <row r="2219" customHeight="1" spans="2:8">
      <c r="B2219" s="98"/>
      <c r="C2219" s="98"/>
      <c r="D2219" s="98"/>
      <c r="E2219" s="98"/>
      <c r="F2219" s="99"/>
      <c r="G2219" s="100"/>
      <c r="H2219" s="100"/>
    </row>
    <row r="2220" customHeight="1" spans="2:8">
      <c r="B2220" s="98"/>
      <c r="C2220" s="98"/>
      <c r="D2220" s="98"/>
      <c r="E2220" s="98"/>
      <c r="F2220" s="99"/>
      <c r="G2220" s="100"/>
      <c r="H2220" s="100"/>
    </row>
    <row r="2221" customHeight="1" spans="2:8">
      <c r="B2221" s="98"/>
      <c r="C2221" s="98"/>
      <c r="D2221" s="98"/>
      <c r="E2221" s="98"/>
      <c r="F2221" s="99"/>
      <c r="G2221" s="100"/>
      <c r="H2221" s="100"/>
    </row>
    <row r="2222" customHeight="1" spans="2:8">
      <c r="B2222" s="98"/>
      <c r="C2222" s="98"/>
      <c r="D2222" s="98"/>
      <c r="E2222" s="98"/>
      <c r="F2222" s="99"/>
      <c r="G2222" s="100"/>
      <c r="H2222" s="100"/>
    </row>
    <row r="2223" customHeight="1" spans="2:8">
      <c r="B2223" s="98"/>
      <c r="C2223" s="98"/>
      <c r="D2223" s="98"/>
      <c r="E2223" s="98"/>
      <c r="F2223" s="99"/>
      <c r="G2223" s="100"/>
      <c r="H2223" s="100"/>
    </row>
    <row r="2224" customHeight="1" spans="2:8">
      <c r="B2224" s="98"/>
      <c r="C2224" s="98"/>
      <c r="D2224" s="98"/>
      <c r="E2224" s="98"/>
      <c r="F2224" s="99"/>
      <c r="G2224" s="100"/>
      <c r="H2224" s="100"/>
    </row>
    <row r="2225" customHeight="1" spans="2:8">
      <c r="B2225" s="98"/>
      <c r="C2225" s="98"/>
      <c r="D2225" s="98"/>
      <c r="E2225" s="98"/>
      <c r="F2225" s="99"/>
      <c r="G2225" s="100"/>
      <c r="H2225" s="100"/>
    </row>
    <row r="2226" customHeight="1" spans="2:8">
      <c r="B2226" s="98"/>
      <c r="C2226" s="98"/>
      <c r="D2226" s="98"/>
      <c r="E2226" s="98"/>
      <c r="F2226" s="99"/>
      <c r="G2226" s="100"/>
      <c r="H2226" s="100"/>
    </row>
    <row r="2227" customHeight="1" spans="2:8">
      <c r="B2227" s="98"/>
      <c r="C2227" s="98"/>
      <c r="D2227" s="98"/>
      <c r="E2227" s="98"/>
      <c r="F2227" s="99"/>
      <c r="G2227" s="100"/>
      <c r="H2227" s="100"/>
    </row>
    <row r="2228" customHeight="1" spans="2:8">
      <c r="B2228" s="98"/>
      <c r="C2228" s="98"/>
      <c r="D2228" s="98"/>
      <c r="E2228" s="98"/>
      <c r="F2228" s="99"/>
      <c r="G2228" s="100"/>
      <c r="H2228" s="100"/>
    </row>
    <row r="2229" customHeight="1" spans="2:8">
      <c r="B2229" s="98"/>
      <c r="C2229" s="98"/>
      <c r="D2229" s="98"/>
      <c r="E2229" s="98"/>
      <c r="F2229" s="99"/>
      <c r="G2229" s="100"/>
      <c r="H2229" s="100"/>
    </row>
    <row r="2230" customHeight="1" spans="2:8">
      <c r="B2230" s="98"/>
      <c r="C2230" s="98"/>
      <c r="D2230" s="98"/>
      <c r="E2230" s="98"/>
      <c r="F2230" s="99"/>
      <c r="G2230" s="100"/>
      <c r="H2230" s="100"/>
    </row>
    <row r="2231" customHeight="1" spans="2:8">
      <c r="B2231" s="98"/>
      <c r="C2231" s="98"/>
      <c r="D2231" s="98"/>
      <c r="E2231" s="98"/>
      <c r="F2231" s="99"/>
      <c r="G2231" s="100"/>
      <c r="H2231" s="100"/>
    </row>
    <row r="2232" customHeight="1" spans="2:8">
      <c r="B2232" s="98"/>
      <c r="C2232" s="98"/>
      <c r="D2232" s="98"/>
      <c r="E2232" s="98"/>
      <c r="F2232" s="99"/>
      <c r="G2232" s="100"/>
      <c r="H2232" s="100"/>
    </row>
    <row r="2233" customHeight="1" spans="2:8">
      <c r="B2233" s="98"/>
      <c r="C2233" s="98"/>
      <c r="D2233" s="98"/>
      <c r="E2233" s="98"/>
      <c r="F2233" s="99"/>
      <c r="G2233" s="100"/>
      <c r="H2233" s="100"/>
    </row>
    <row r="2234" customHeight="1" spans="2:8">
      <c r="B2234" s="98"/>
      <c r="C2234" s="98"/>
      <c r="D2234" s="98"/>
      <c r="E2234" s="98"/>
      <c r="F2234" s="99"/>
      <c r="G2234" s="100"/>
      <c r="H2234" s="100"/>
    </row>
    <row r="2235" customHeight="1" spans="2:8">
      <c r="B2235" s="98"/>
      <c r="C2235" s="98"/>
      <c r="D2235" s="98"/>
      <c r="E2235" s="98"/>
      <c r="F2235" s="99"/>
      <c r="G2235" s="100"/>
      <c r="H2235" s="100"/>
    </row>
    <row r="2236" customHeight="1" spans="2:8">
      <c r="B2236" s="98"/>
      <c r="C2236" s="98"/>
      <c r="D2236" s="98"/>
      <c r="E2236" s="98"/>
      <c r="F2236" s="99"/>
      <c r="G2236" s="100"/>
      <c r="H2236" s="100"/>
    </row>
    <row r="2237" customHeight="1" spans="2:8">
      <c r="B2237" s="98"/>
      <c r="C2237" s="98"/>
      <c r="D2237" s="98"/>
      <c r="E2237" s="98"/>
      <c r="F2237" s="99"/>
      <c r="G2237" s="100"/>
      <c r="H2237" s="100"/>
    </row>
    <row r="2238" customHeight="1" spans="2:8">
      <c r="B2238" s="98"/>
      <c r="C2238" s="98"/>
      <c r="D2238" s="98"/>
      <c r="E2238" s="98"/>
      <c r="F2238" s="99"/>
      <c r="G2238" s="100"/>
      <c r="H2238" s="100"/>
    </row>
    <row r="2239" customHeight="1" spans="2:8">
      <c r="B2239" s="98"/>
      <c r="C2239" s="98"/>
      <c r="D2239" s="98"/>
      <c r="E2239" s="98"/>
      <c r="F2239" s="99"/>
      <c r="G2239" s="100"/>
      <c r="H2239" s="100"/>
    </row>
    <row r="2240" customHeight="1" spans="2:8">
      <c r="B2240" s="98"/>
      <c r="C2240" s="98"/>
      <c r="D2240" s="98"/>
      <c r="E2240" s="98"/>
      <c r="F2240" s="99"/>
      <c r="G2240" s="100"/>
      <c r="H2240" s="100"/>
    </row>
    <row r="2241" customHeight="1" spans="2:8">
      <c r="B2241" s="98"/>
      <c r="C2241" s="98"/>
      <c r="D2241" s="98"/>
      <c r="E2241" s="98"/>
      <c r="F2241" s="99"/>
      <c r="G2241" s="100"/>
      <c r="H2241" s="100"/>
    </row>
    <row r="2242" customHeight="1" spans="2:8">
      <c r="B2242" s="98"/>
      <c r="C2242" s="98"/>
      <c r="D2242" s="98"/>
      <c r="E2242" s="98"/>
      <c r="F2242" s="99"/>
      <c r="G2242" s="100"/>
      <c r="H2242" s="100"/>
    </row>
    <row r="2243" customHeight="1" spans="2:8">
      <c r="B2243" s="98"/>
      <c r="C2243" s="98"/>
      <c r="D2243" s="98"/>
      <c r="E2243" s="98"/>
      <c r="F2243" s="99"/>
      <c r="G2243" s="100"/>
      <c r="H2243" s="100"/>
    </row>
    <row r="2244" customHeight="1" spans="2:8">
      <c r="B2244" s="98"/>
      <c r="C2244" s="98"/>
      <c r="D2244" s="98"/>
      <c r="E2244" s="98"/>
      <c r="F2244" s="99"/>
      <c r="G2244" s="100"/>
      <c r="H2244" s="100"/>
    </row>
    <row r="2245" customHeight="1" spans="2:8">
      <c r="B2245" s="98"/>
      <c r="C2245" s="98"/>
      <c r="D2245" s="98"/>
      <c r="E2245" s="98"/>
      <c r="F2245" s="99"/>
      <c r="G2245" s="100"/>
      <c r="H2245" s="100"/>
    </row>
    <row r="2246" customHeight="1" spans="2:8">
      <c r="B2246" s="98"/>
      <c r="C2246" s="98"/>
      <c r="D2246" s="98"/>
      <c r="E2246" s="98"/>
      <c r="F2246" s="99"/>
      <c r="G2246" s="100"/>
      <c r="H2246" s="100"/>
    </row>
    <row r="2247" customHeight="1" spans="2:8">
      <c r="B2247" s="98"/>
      <c r="C2247" s="98"/>
      <c r="D2247" s="98"/>
      <c r="E2247" s="98"/>
      <c r="F2247" s="99"/>
      <c r="G2247" s="100"/>
      <c r="H2247" s="100"/>
    </row>
    <row r="2248" customHeight="1" spans="2:8">
      <c r="B2248" s="98"/>
      <c r="C2248" s="98"/>
      <c r="D2248" s="98"/>
      <c r="E2248" s="98"/>
      <c r="F2248" s="99"/>
      <c r="G2248" s="100"/>
      <c r="H2248" s="100"/>
    </row>
    <row r="2249" customHeight="1" spans="2:8">
      <c r="B2249" s="98"/>
      <c r="C2249" s="98"/>
      <c r="D2249" s="98"/>
      <c r="E2249" s="98"/>
      <c r="F2249" s="99"/>
      <c r="G2249" s="100"/>
      <c r="H2249" s="100"/>
    </row>
    <row r="2250" customHeight="1" spans="2:8">
      <c r="B2250" s="98"/>
      <c r="C2250" s="98"/>
      <c r="D2250" s="98"/>
      <c r="E2250" s="98"/>
      <c r="F2250" s="99"/>
      <c r="G2250" s="100"/>
      <c r="H2250" s="100"/>
    </row>
    <row r="2251" customHeight="1" spans="2:8">
      <c r="B2251" s="98"/>
      <c r="C2251" s="98"/>
      <c r="D2251" s="98"/>
      <c r="E2251" s="98"/>
      <c r="F2251" s="99"/>
      <c r="G2251" s="100"/>
      <c r="H2251" s="100"/>
    </row>
    <row r="2252" customHeight="1" spans="2:8">
      <c r="B2252" s="98"/>
      <c r="C2252" s="98"/>
      <c r="D2252" s="98"/>
      <c r="E2252" s="98"/>
      <c r="F2252" s="99"/>
      <c r="G2252" s="100"/>
      <c r="H2252" s="100"/>
    </row>
    <row r="2253" customHeight="1" spans="2:8">
      <c r="B2253" s="98"/>
      <c r="C2253" s="98"/>
      <c r="D2253" s="98"/>
      <c r="E2253" s="98"/>
      <c r="F2253" s="99"/>
      <c r="G2253" s="100"/>
      <c r="H2253" s="100"/>
    </row>
    <row r="2254" customHeight="1" spans="2:8">
      <c r="B2254" s="98"/>
      <c r="C2254" s="98"/>
      <c r="D2254" s="98"/>
      <c r="E2254" s="98"/>
      <c r="F2254" s="99"/>
      <c r="G2254" s="100"/>
      <c r="H2254" s="100"/>
    </row>
    <row r="2255" customHeight="1" spans="2:8">
      <c r="B2255" s="98"/>
      <c r="C2255" s="98"/>
      <c r="D2255" s="98"/>
      <c r="E2255" s="98"/>
      <c r="F2255" s="99"/>
      <c r="G2255" s="100"/>
      <c r="H2255" s="100"/>
    </row>
    <row r="2256" customHeight="1" spans="2:8">
      <c r="B2256" s="98"/>
      <c r="C2256" s="98"/>
      <c r="D2256" s="98"/>
      <c r="E2256" s="98"/>
      <c r="F2256" s="99"/>
      <c r="G2256" s="100"/>
      <c r="H2256" s="100"/>
    </row>
    <row r="2257" customHeight="1" spans="2:8">
      <c r="B2257" s="98"/>
      <c r="C2257" s="98"/>
      <c r="D2257" s="98"/>
      <c r="E2257" s="98"/>
      <c r="F2257" s="99"/>
      <c r="G2257" s="100"/>
      <c r="H2257" s="100"/>
    </row>
    <row r="2258" customHeight="1" spans="2:8">
      <c r="B2258" s="98"/>
      <c r="C2258" s="98"/>
      <c r="D2258" s="98"/>
      <c r="E2258" s="98"/>
      <c r="F2258" s="99"/>
      <c r="G2258" s="100"/>
      <c r="H2258" s="100"/>
    </row>
    <row r="2259" customHeight="1" spans="2:8">
      <c r="B2259" s="98"/>
      <c r="C2259" s="98"/>
      <c r="D2259" s="98"/>
      <c r="E2259" s="98"/>
      <c r="F2259" s="99"/>
      <c r="G2259" s="100"/>
      <c r="H2259" s="100"/>
    </row>
    <row r="2260" customHeight="1" spans="2:8">
      <c r="B2260" s="98"/>
      <c r="C2260" s="98"/>
      <c r="D2260" s="98"/>
      <c r="E2260" s="98"/>
      <c r="F2260" s="99"/>
      <c r="G2260" s="100"/>
      <c r="H2260" s="100"/>
    </row>
    <row r="2261" customHeight="1" spans="2:8">
      <c r="B2261" s="98"/>
      <c r="C2261" s="98"/>
      <c r="D2261" s="98"/>
      <c r="E2261" s="98"/>
      <c r="F2261" s="99"/>
      <c r="G2261" s="100"/>
      <c r="H2261" s="100"/>
    </row>
    <row r="2262" customHeight="1" spans="2:8">
      <c r="B2262" s="98"/>
      <c r="C2262" s="98"/>
      <c r="D2262" s="98"/>
      <c r="E2262" s="98"/>
      <c r="F2262" s="99"/>
      <c r="G2262" s="100"/>
      <c r="H2262" s="100"/>
    </row>
    <row r="2263" customHeight="1" spans="2:8">
      <c r="B2263" s="98"/>
      <c r="C2263" s="98"/>
      <c r="D2263" s="98"/>
      <c r="E2263" s="98"/>
      <c r="F2263" s="99"/>
      <c r="G2263" s="100"/>
      <c r="H2263" s="100"/>
    </row>
    <row r="2264" customHeight="1" spans="2:8">
      <c r="B2264" s="98"/>
      <c r="C2264" s="98"/>
      <c r="D2264" s="98"/>
      <c r="E2264" s="98"/>
      <c r="F2264" s="99"/>
      <c r="G2264" s="100"/>
      <c r="H2264" s="100"/>
    </row>
    <row r="2265" customHeight="1" spans="2:8">
      <c r="B2265" s="98"/>
      <c r="C2265" s="98"/>
      <c r="D2265" s="98"/>
      <c r="E2265" s="98"/>
      <c r="F2265" s="99"/>
      <c r="G2265" s="100"/>
      <c r="H2265" s="100"/>
    </row>
    <row r="2266" customHeight="1" spans="2:8">
      <c r="B2266" s="98"/>
      <c r="C2266" s="98"/>
      <c r="D2266" s="98"/>
      <c r="E2266" s="98"/>
      <c r="F2266" s="99"/>
      <c r="G2266" s="100"/>
      <c r="H2266" s="100"/>
    </row>
    <row r="2267" customHeight="1" spans="2:8">
      <c r="B2267" s="98"/>
      <c r="C2267" s="98"/>
      <c r="D2267" s="98"/>
      <c r="E2267" s="98"/>
      <c r="F2267" s="99"/>
      <c r="G2267" s="100"/>
      <c r="H2267" s="100"/>
    </row>
    <row r="2268" customHeight="1" spans="2:8">
      <c r="B2268" s="98"/>
      <c r="C2268" s="98"/>
      <c r="D2268" s="98"/>
      <c r="E2268" s="98"/>
      <c r="F2268" s="99"/>
      <c r="G2268" s="100"/>
      <c r="H2268" s="100"/>
    </row>
    <row r="2269" customHeight="1" spans="2:8">
      <c r="B2269" s="98"/>
      <c r="C2269" s="98"/>
      <c r="D2269" s="98"/>
      <c r="E2269" s="98"/>
      <c r="F2269" s="99"/>
      <c r="G2269" s="100"/>
      <c r="H2269" s="100"/>
    </row>
    <row r="2270" customHeight="1" spans="2:8">
      <c r="B2270" s="98"/>
      <c r="C2270" s="98"/>
      <c r="D2270" s="98"/>
      <c r="E2270" s="98"/>
      <c r="F2270" s="99"/>
      <c r="G2270" s="100"/>
      <c r="H2270" s="100"/>
    </row>
    <row r="2271" customHeight="1" spans="2:8">
      <c r="B2271" s="98"/>
      <c r="C2271" s="98"/>
      <c r="D2271" s="98"/>
      <c r="E2271" s="98"/>
      <c r="F2271" s="99"/>
      <c r="G2271" s="100"/>
      <c r="H2271" s="100"/>
    </row>
    <row r="2272" customHeight="1" spans="2:8">
      <c r="B2272" s="98"/>
      <c r="C2272" s="98"/>
      <c r="D2272" s="98"/>
      <c r="E2272" s="98"/>
      <c r="F2272" s="99"/>
      <c r="G2272" s="100"/>
      <c r="H2272" s="100"/>
    </row>
    <row r="2273" customHeight="1" spans="2:8">
      <c r="B2273" s="98"/>
      <c r="C2273" s="98"/>
      <c r="D2273" s="98"/>
      <c r="E2273" s="98"/>
      <c r="F2273" s="99"/>
      <c r="G2273" s="100"/>
      <c r="H2273" s="100"/>
    </row>
    <row r="2274" customHeight="1" spans="2:8">
      <c r="B2274" s="98"/>
      <c r="C2274" s="98"/>
      <c r="D2274" s="98"/>
      <c r="E2274" s="98"/>
      <c r="F2274" s="99"/>
      <c r="G2274" s="100"/>
      <c r="H2274" s="100"/>
    </row>
    <row r="2275" customHeight="1" spans="2:8">
      <c r="B2275" s="98"/>
      <c r="C2275" s="98"/>
      <c r="D2275" s="98"/>
      <c r="E2275" s="98"/>
      <c r="F2275" s="99"/>
      <c r="G2275" s="100"/>
      <c r="H2275" s="100"/>
    </row>
    <row r="2276" customHeight="1" spans="2:8">
      <c r="B2276" s="98"/>
      <c r="C2276" s="98"/>
      <c r="D2276" s="98"/>
      <c r="E2276" s="98"/>
      <c r="F2276" s="99"/>
      <c r="G2276" s="100"/>
      <c r="H2276" s="100"/>
    </row>
    <row r="2277" customHeight="1" spans="2:8">
      <c r="B2277" s="98"/>
      <c r="C2277" s="98"/>
      <c r="D2277" s="98"/>
      <c r="E2277" s="98"/>
      <c r="F2277" s="99"/>
      <c r="G2277" s="100"/>
      <c r="H2277" s="100"/>
    </row>
    <row r="2278" customHeight="1" spans="2:8">
      <c r="B2278" s="98"/>
      <c r="C2278" s="98"/>
      <c r="D2278" s="98"/>
      <c r="E2278" s="98"/>
      <c r="F2278" s="99"/>
      <c r="G2278" s="100"/>
      <c r="H2278" s="100"/>
    </row>
    <row r="2279" customHeight="1" spans="2:8">
      <c r="B2279" s="98"/>
      <c r="C2279" s="98"/>
      <c r="D2279" s="98"/>
      <c r="E2279" s="98"/>
      <c r="F2279" s="99"/>
      <c r="G2279" s="100"/>
      <c r="H2279" s="100"/>
    </row>
    <row r="2280" customHeight="1" spans="2:8">
      <c r="B2280" s="98"/>
      <c r="C2280" s="98"/>
      <c r="D2280" s="98"/>
      <c r="E2280" s="98"/>
      <c r="F2280" s="99"/>
      <c r="G2280" s="100"/>
      <c r="H2280" s="100"/>
    </row>
    <row r="2281" customHeight="1" spans="2:8">
      <c r="B2281" s="98"/>
      <c r="C2281" s="98"/>
      <c r="D2281" s="98"/>
      <c r="E2281" s="98"/>
      <c r="F2281" s="99"/>
      <c r="G2281" s="100"/>
      <c r="H2281" s="100"/>
    </row>
    <row r="2282" customHeight="1" spans="2:8">
      <c r="B2282" s="98"/>
      <c r="C2282" s="98"/>
      <c r="D2282" s="98"/>
      <c r="E2282" s="98"/>
      <c r="F2282" s="99"/>
      <c r="G2282" s="100"/>
      <c r="H2282" s="100"/>
    </row>
    <row r="2283" customHeight="1" spans="2:8">
      <c r="B2283" s="98"/>
      <c r="C2283" s="98"/>
      <c r="D2283" s="98"/>
      <c r="E2283" s="98"/>
      <c r="F2283" s="99"/>
      <c r="G2283" s="100"/>
      <c r="H2283" s="100"/>
    </row>
    <row r="2284" customHeight="1" spans="2:8">
      <c r="B2284" s="98"/>
      <c r="C2284" s="98"/>
      <c r="D2284" s="98"/>
      <c r="E2284" s="98"/>
      <c r="F2284" s="99"/>
      <c r="G2284" s="100"/>
      <c r="H2284" s="100"/>
    </row>
    <row r="2285" customHeight="1" spans="2:8">
      <c r="B2285" s="98"/>
      <c r="C2285" s="98"/>
      <c r="D2285" s="98"/>
      <c r="E2285" s="98"/>
      <c r="F2285" s="99"/>
      <c r="G2285" s="100"/>
      <c r="H2285" s="100"/>
    </row>
    <row r="2286" customHeight="1" spans="2:8">
      <c r="B2286" s="98"/>
      <c r="C2286" s="98"/>
      <c r="D2286" s="98"/>
      <c r="E2286" s="98"/>
      <c r="F2286" s="99"/>
      <c r="G2286" s="100"/>
      <c r="H2286" s="100"/>
    </row>
    <row r="2287" customHeight="1" spans="2:8">
      <c r="B2287" s="98"/>
      <c r="C2287" s="98"/>
      <c r="D2287" s="98"/>
      <c r="E2287" s="98"/>
      <c r="F2287" s="99"/>
      <c r="G2287" s="100"/>
      <c r="H2287" s="100"/>
    </row>
    <row r="2288" customHeight="1" spans="2:8">
      <c r="B2288" s="98"/>
      <c r="C2288" s="98"/>
      <c r="D2288" s="98"/>
      <c r="E2288" s="98"/>
      <c r="F2288" s="99"/>
      <c r="G2288" s="100"/>
      <c r="H2288" s="100"/>
    </row>
    <row r="2289" customHeight="1" spans="2:8">
      <c r="B2289" s="98"/>
      <c r="C2289" s="98"/>
      <c r="D2289" s="98"/>
      <c r="E2289" s="98"/>
      <c r="F2289" s="99"/>
      <c r="G2289" s="100"/>
      <c r="H2289" s="100"/>
    </row>
    <row r="2290" customHeight="1" spans="2:8">
      <c r="B2290" s="98"/>
      <c r="C2290" s="98"/>
      <c r="D2290" s="98"/>
      <c r="E2290" s="98"/>
      <c r="F2290" s="99"/>
      <c r="G2290" s="100"/>
      <c r="H2290" s="100"/>
    </row>
    <row r="2291" customHeight="1" spans="2:8">
      <c r="B2291" s="98"/>
      <c r="C2291" s="98"/>
      <c r="D2291" s="98"/>
      <c r="E2291" s="98"/>
      <c r="F2291" s="99"/>
      <c r="G2291" s="100"/>
      <c r="H2291" s="100"/>
    </row>
    <row r="2292" customHeight="1" spans="2:8">
      <c r="B2292" s="98"/>
      <c r="C2292" s="98"/>
      <c r="D2292" s="98"/>
      <c r="E2292" s="98"/>
      <c r="F2292" s="99"/>
      <c r="G2292" s="100"/>
      <c r="H2292" s="100"/>
    </row>
    <row r="2293" customHeight="1" spans="2:8">
      <c r="B2293" s="98"/>
      <c r="C2293" s="98"/>
      <c r="D2293" s="98"/>
      <c r="E2293" s="98"/>
      <c r="F2293" s="99"/>
      <c r="G2293" s="100"/>
      <c r="H2293" s="100"/>
    </row>
    <row r="2294" customHeight="1" spans="2:8">
      <c r="B2294" s="98"/>
      <c r="C2294" s="98"/>
      <c r="D2294" s="98"/>
      <c r="E2294" s="98"/>
      <c r="F2294" s="99"/>
      <c r="G2294" s="100"/>
      <c r="H2294" s="100"/>
    </row>
    <row r="2295" customHeight="1" spans="2:8">
      <c r="B2295" s="98"/>
      <c r="C2295" s="98"/>
      <c r="D2295" s="98"/>
      <c r="E2295" s="98"/>
      <c r="F2295" s="99"/>
      <c r="G2295" s="100"/>
      <c r="H2295" s="100"/>
    </row>
    <row r="2296" customHeight="1" spans="2:8">
      <c r="B2296" s="98"/>
      <c r="C2296" s="98"/>
      <c r="D2296" s="98"/>
      <c r="E2296" s="98"/>
      <c r="F2296" s="99"/>
      <c r="G2296" s="100"/>
      <c r="H2296" s="100"/>
    </row>
    <row r="2297" customHeight="1" spans="2:8">
      <c r="B2297" s="98"/>
      <c r="C2297" s="98"/>
      <c r="D2297" s="98"/>
      <c r="E2297" s="98"/>
      <c r="F2297" s="99"/>
      <c r="G2297" s="100"/>
      <c r="H2297" s="100"/>
    </row>
    <row r="2298" customHeight="1" spans="2:8">
      <c r="B2298" s="98"/>
      <c r="C2298" s="98"/>
      <c r="D2298" s="98"/>
      <c r="E2298" s="98"/>
      <c r="F2298" s="99"/>
      <c r="G2298" s="100"/>
      <c r="H2298" s="100"/>
    </row>
    <row r="2299" customHeight="1" spans="2:8">
      <c r="B2299" s="98"/>
      <c r="C2299" s="98"/>
      <c r="D2299" s="98"/>
      <c r="E2299" s="98"/>
      <c r="F2299" s="99"/>
      <c r="G2299" s="100"/>
      <c r="H2299" s="100"/>
    </row>
    <row r="2300" customHeight="1" spans="2:8">
      <c r="B2300" s="98"/>
      <c r="C2300" s="98"/>
      <c r="D2300" s="98"/>
      <c r="E2300" s="98"/>
      <c r="F2300" s="99"/>
      <c r="G2300" s="100"/>
      <c r="H2300" s="100"/>
    </row>
    <row r="2301" customHeight="1" spans="2:8">
      <c r="B2301" s="98"/>
      <c r="C2301" s="98"/>
      <c r="D2301" s="98"/>
      <c r="E2301" s="98"/>
      <c r="F2301" s="99"/>
      <c r="G2301" s="100"/>
      <c r="H2301" s="100"/>
    </row>
    <row r="2302" customHeight="1" spans="2:8">
      <c r="B2302" s="98"/>
      <c r="C2302" s="98"/>
      <c r="D2302" s="98"/>
      <c r="E2302" s="98"/>
      <c r="F2302" s="99"/>
      <c r="G2302" s="100"/>
      <c r="H2302" s="100"/>
    </row>
    <row r="2303" customHeight="1" spans="2:8">
      <c r="B2303" s="98"/>
      <c r="C2303" s="98"/>
      <c r="D2303" s="98"/>
      <c r="E2303" s="98"/>
      <c r="F2303" s="99"/>
      <c r="G2303" s="100"/>
      <c r="H2303" s="100"/>
    </row>
    <row r="2304" customHeight="1" spans="2:8">
      <c r="B2304" s="98"/>
      <c r="C2304" s="98"/>
      <c r="D2304" s="98"/>
      <c r="E2304" s="98"/>
      <c r="F2304" s="99"/>
      <c r="G2304" s="100"/>
      <c r="H2304" s="100"/>
    </row>
    <row r="2305" customHeight="1" spans="2:8">
      <c r="B2305" s="98"/>
      <c r="C2305" s="98"/>
      <c r="D2305" s="98"/>
      <c r="E2305" s="98"/>
      <c r="F2305" s="99"/>
      <c r="G2305" s="100"/>
      <c r="H2305" s="100"/>
    </row>
    <row r="2306" customHeight="1" spans="2:8">
      <c r="B2306" s="98"/>
      <c r="C2306" s="98"/>
      <c r="D2306" s="98"/>
      <c r="E2306" s="98"/>
      <c r="F2306" s="99"/>
      <c r="G2306" s="100"/>
      <c r="H2306" s="100"/>
    </row>
    <row r="2307" customHeight="1" spans="2:8">
      <c r="B2307" s="98"/>
      <c r="C2307" s="98"/>
      <c r="D2307" s="98"/>
      <c r="E2307" s="98"/>
      <c r="F2307" s="99"/>
      <c r="G2307" s="100"/>
      <c r="H2307" s="100"/>
    </row>
    <row r="2308" customHeight="1" spans="2:8">
      <c r="B2308" s="98"/>
      <c r="C2308" s="98"/>
      <c r="D2308" s="98"/>
      <c r="E2308" s="98"/>
      <c r="F2308" s="99"/>
      <c r="G2308" s="100"/>
      <c r="H2308" s="100"/>
    </row>
    <row r="2309" customHeight="1" spans="2:8">
      <c r="B2309" s="98"/>
      <c r="C2309" s="98"/>
      <c r="D2309" s="98"/>
      <c r="E2309" s="98"/>
      <c r="F2309" s="99"/>
      <c r="G2309" s="100"/>
      <c r="H2309" s="100"/>
    </row>
    <row r="2310" customHeight="1" spans="2:8">
      <c r="B2310" s="98"/>
      <c r="C2310" s="98"/>
      <c r="D2310" s="98"/>
      <c r="E2310" s="98"/>
      <c r="F2310" s="99"/>
      <c r="G2310" s="100"/>
      <c r="H2310" s="100"/>
    </row>
    <row r="2311" customHeight="1" spans="2:8">
      <c r="B2311" s="98"/>
      <c r="C2311" s="98"/>
      <c r="D2311" s="98"/>
      <c r="E2311" s="98"/>
      <c r="F2311" s="99"/>
      <c r="G2311" s="100"/>
      <c r="H2311" s="100"/>
    </row>
    <row r="2312" customHeight="1" spans="2:8">
      <c r="B2312" s="98"/>
      <c r="C2312" s="98"/>
      <c r="D2312" s="98"/>
      <c r="E2312" s="98"/>
      <c r="F2312" s="99"/>
      <c r="G2312" s="100"/>
      <c r="H2312" s="100"/>
    </row>
    <row r="2313" customHeight="1" spans="2:8">
      <c r="B2313" s="98"/>
      <c r="C2313" s="98"/>
      <c r="D2313" s="98"/>
      <c r="E2313" s="98"/>
      <c r="F2313" s="99"/>
      <c r="G2313" s="100"/>
      <c r="H2313" s="100"/>
    </row>
    <row r="2314" customHeight="1" spans="2:8">
      <c r="B2314" s="98"/>
      <c r="C2314" s="98"/>
      <c r="D2314" s="98"/>
      <c r="E2314" s="98"/>
      <c r="F2314" s="99"/>
      <c r="G2314" s="100"/>
      <c r="H2314" s="100"/>
    </row>
    <row r="2315" customHeight="1" spans="2:8">
      <c r="B2315" s="98"/>
      <c r="C2315" s="98"/>
      <c r="D2315" s="98"/>
      <c r="E2315" s="98"/>
      <c r="F2315" s="99"/>
      <c r="G2315" s="100"/>
      <c r="H2315" s="100"/>
    </row>
    <row r="2316" customHeight="1" spans="2:8">
      <c r="B2316" s="98"/>
      <c r="C2316" s="98"/>
      <c r="D2316" s="98"/>
      <c r="E2316" s="98"/>
      <c r="F2316" s="99"/>
      <c r="G2316" s="100"/>
      <c r="H2316" s="100"/>
    </row>
    <row r="2317" customHeight="1" spans="2:8">
      <c r="B2317" s="98"/>
      <c r="C2317" s="98"/>
      <c r="D2317" s="98"/>
      <c r="E2317" s="98"/>
      <c r="F2317" s="99"/>
      <c r="G2317" s="100"/>
      <c r="H2317" s="100"/>
    </row>
    <row r="2318" customHeight="1" spans="2:8">
      <c r="B2318" s="98"/>
      <c r="C2318" s="98"/>
      <c r="D2318" s="98"/>
      <c r="E2318" s="98"/>
      <c r="F2318" s="99"/>
      <c r="G2318" s="100"/>
      <c r="H2318" s="100"/>
    </row>
    <row r="2319" customHeight="1" spans="2:8">
      <c r="B2319" s="98"/>
      <c r="C2319" s="98"/>
      <c r="D2319" s="98"/>
      <c r="E2319" s="98"/>
      <c r="F2319" s="99"/>
      <c r="G2319" s="100"/>
      <c r="H2319" s="100"/>
    </row>
    <row r="2320" customHeight="1" spans="2:8">
      <c r="B2320" s="98"/>
      <c r="C2320" s="98"/>
      <c r="D2320" s="98"/>
      <c r="E2320" s="98"/>
      <c r="F2320" s="99"/>
      <c r="G2320" s="100"/>
      <c r="H2320" s="100"/>
    </row>
    <row r="2321" customHeight="1" spans="2:8">
      <c r="B2321" s="98"/>
      <c r="C2321" s="98"/>
      <c r="D2321" s="98"/>
      <c r="E2321" s="98"/>
      <c r="F2321" s="99"/>
      <c r="G2321" s="100"/>
      <c r="H2321" s="100"/>
    </row>
    <row r="2322" customHeight="1" spans="2:8">
      <c r="B2322" s="98"/>
      <c r="C2322" s="98"/>
      <c r="D2322" s="98"/>
      <c r="E2322" s="98"/>
      <c r="F2322" s="99"/>
      <c r="G2322" s="100"/>
      <c r="H2322" s="100"/>
    </row>
    <row r="2323" customHeight="1" spans="2:8">
      <c r="B2323" s="98"/>
      <c r="C2323" s="98"/>
      <c r="D2323" s="98"/>
      <c r="E2323" s="98"/>
      <c r="F2323" s="99"/>
      <c r="G2323" s="100"/>
      <c r="H2323" s="100"/>
    </row>
    <row r="2324" customHeight="1" spans="2:8">
      <c r="B2324" s="98"/>
      <c r="C2324" s="98"/>
      <c r="D2324" s="98"/>
      <c r="E2324" s="98"/>
      <c r="F2324" s="99"/>
      <c r="G2324" s="100"/>
      <c r="H2324" s="100"/>
    </row>
    <row r="2325" customHeight="1" spans="2:8">
      <c r="B2325" s="98"/>
      <c r="C2325" s="98"/>
      <c r="D2325" s="98"/>
      <c r="E2325" s="98"/>
      <c r="F2325" s="99"/>
      <c r="G2325" s="100"/>
      <c r="H2325" s="100"/>
    </row>
    <row r="2326" customHeight="1" spans="2:8">
      <c r="B2326" s="98"/>
      <c r="C2326" s="98"/>
      <c r="D2326" s="98"/>
      <c r="E2326" s="98"/>
      <c r="F2326" s="99"/>
      <c r="G2326" s="100"/>
      <c r="H2326" s="100"/>
    </row>
    <row r="2327" customHeight="1" spans="2:8">
      <c r="B2327" s="98"/>
      <c r="C2327" s="98"/>
      <c r="D2327" s="98"/>
      <c r="E2327" s="98"/>
      <c r="F2327" s="99"/>
      <c r="G2327" s="100"/>
      <c r="H2327" s="100"/>
    </row>
    <row r="2328" customHeight="1" spans="2:8">
      <c r="B2328" s="98"/>
      <c r="C2328" s="98"/>
      <c r="D2328" s="98"/>
      <c r="E2328" s="98"/>
      <c r="F2328" s="99"/>
      <c r="G2328" s="100"/>
      <c r="H2328" s="100"/>
    </row>
    <row r="2329" customHeight="1" spans="2:8">
      <c r="B2329" s="98"/>
      <c r="C2329" s="98"/>
      <c r="D2329" s="98"/>
      <c r="E2329" s="98"/>
      <c r="F2329" s="99"/>
      <c r="G2329" s="100"/>
      <c r="H2329" s="100"/>
    </row>
    <row r="2330" customHeight="1" spans="2:8">
      <c r="B2330" s="98"/>
      <c r="C2330" s="98"/>
      <c r="D2330" s="98"/>
      <c r="E2330" s="98"/>
      <c r="F2330" s="99"/>
      <c r="G2330" s="100"/>
      <c r="H2330" s="100"/>
    </row>
    <row r="2331" customHeight="1" spans="2:8">
      <c r="B2331" s="98"/>
      <c r="C2331" s="98"/>
      <c r="D2331" s="98"/>
      <c r="E2331" s="98"/>
      <c r="F2331" s="99"/>
      <c r="G2331" s="100"/>
      <c r="H2331" s="100"/>
    </row>
    <row r="2332" customHeight="1" spans="2:8">
      <c r="B2332" s="98"/>
      <c r="C2332" s="98"/>
      <c r="D2332" s="98"/>
      <c r="E2332" s="98"/>
      <c r="F2332" s="99"/>
      <c r="G2332" s="100"/>
      <c r="H2332" s="100"/>
    </row>
    <row r="2333" customHeight="1" spans="2:8">
      <c r="B2333" s="98"/>
      <c r="C2333" s="98"/>
      <c r="D2333" s="98"/>
      <c r="E2333" s="98"/>
      <c r="F2333" s="99"/>
      <c r="G2333" s="100"/>
      <c r="H2333" s="100"/>
    </row>
    <row r="2334" customHeight="1" spans="2:8">
      <c r="B2334" s="98"/>
      <c r="C2334" s="98"/>
      <c r="D2334" s="98"/>
      <c r="E2334" s="98"/>
      <c r="F2334" s="99"/>
      <c r="G2334" s="100"/>
      <c r="H2334" s="100"/>
    </row>
    <row r="2335" customHeight="1" spans="2:8">
      <c r="B2335" s="98"/>
      <c r="C2335" s="98"/>
      <c r="D2335" s="98"/>
      <c r="E2335" s="98"/>
      <c r="F2335" s="99"/>
      <c r="G2335" s="100"/>
      <c r="H2335" s="100"/>
    </row>
    <row r="2336" customHeight="1" spans="2:8">
      <c r="B2336" s="98"/>
      <c r="C2336" s="98"/>
      <c r="D2336" s="98"/>
      <c r="E2336" s="98"/>
      <c r="F2336" s="99"/>
      <c r="G2336" s="100"/>
      <c r="H2336" s="100"/>
    </row>
    <row r="2337" customHeight="1" spans="2:8">
      <c r="B2337" s="98"/>
      <c r="C2337" s="98"/>
      <c r="D2337" s="98"/>
      <c r="E2337" s="98"/>
      <c r="F2337" s="99"/>
      <c r="G2337" s="100"/>
      <c r="H2337" s="100"/>
    </row>
    <row r="2338" customHeight="1" spans="2:8">
      <c r="B2338" s="98"/>
      <c r="C2338" s="98"/>
      <c r="D2338" s="98"/>
      <c r="E2338" s="98"/>
      <c r="F2338" s="99"/>
      <c r="G2338" s="100"/>
      <c r="H2338" s="100"/>
    </row>
    <row r="2339" customHeight="1" spans="2:8">
      <c r="B2339" s="98"/>
      <c r="C2339" s="98"/>
      <c r="D2339" s="98"/>
      <c r="E2339" s="98"/>
      <c r="F2339" s="99"/>
      <c r="G2339" s="100"/>
      <c r="H2339" s="100"/>
    </row>
    <row r="2340" customHeight="1" spans="2:8">
      <c r="B2340" s="98"/>
      <c r="C2340" s="98"/>
      <c r="D2340" s="98"/>
      <c r="E2340" s="98"/>
      <c r="F2340" s="99"/>
      <c r="G2340" s="100"/>
      <c r="H2340" s="100"/>
    </row>
    <row r="2341" customHeight="1" spans="2:8">
      <c r="B2341" s="98"/>
      <c r="C2341" s="98"/>
      <c r="D2341" s="98"/>
      <c r="E2341" s="98"/>
      <c r="F2341" s="99"/>
      <c r="G2341" s="100"/>
      <c r="H2341" s="100"/>
    </row>
    <row r="2342" customHeight="1" spans="2:8">
      <c r="B2342" s="98"/>
      <c r="C2342" s="98"/>
      <c r="D2342" s="98"/>
      <c r="E2342" s="98"/>
      <c r="F2342" s="99"/>
      <c r="G2342" s="100"/>
      <c r="H2342" s="100"/>
    </row>
    <row r="2343" customHeight="1" spans="2:8">
      <c r="B2343" s="98"/>
      <c r="C2343" s="98"/>
      <c r="D2343" s="98"/>
      <c r="E2343" s="98"/>
      <c r="F2343" s="99"/>
      <c r="G2343" s="100"/>
      <c r="H2343" s="100"/>
    </row>
    <row r="2344" customHeight="1" spans="2:8">
      <c r="B2344" s="98"/>
      <c r="C2344" s="98"/>
      <c r="D2344" s="98"/>
      <c r="E2344" s="98"/>
      <c r="F2344" s="99"/>
      <c r="G2344" s="100"/>
      <c r="H2344" s="100"/>
    </row>
    <row r="2345" customHeight="1" spans="2:8">
      <c r="B2345" s="98"/>
      <c r="C2345" s="98"/>
      <c r="D2345" s="98"/>
      <c r="E2345" s="98"/>
      <c r="F2345" s="99"/>
      <c r="G2345" s="100"/>
      <c r="H2345" s="100"/>
    </row>
    <row r="2346" customHeight="1" spans="2:8">
      <c r="B2346" s="98"/>
      <c r="C2346" s="98"/>
      <c r="D2346" s="98"/>
      <c r="E2346" s="98"/>
      <c r="F2346" s="99"/>
      <c r="G2346" s="100"/>
      <c r="H2346" s="100"/>
    </row>
    <row r="2347" customHeight="1" spans="2:8">
      <c r="B2347" s="98"/>
      <c r="C2347" s="98"/>
      <c r="D2347" s="98"/>
      <c r="E2347" s="98"/>
      <c r="F2347" s="99"/>
      <c r="G2347" s="100"/>
      <c r="H2347" s="100"/>
    </row>
    <row r="2348" customHeight="1" spans="2:8">
      <c r="B2348" s="98"/>
      <c r="C2348" s="98"/>
      <c r="D2348" s="98"/>
      <c r="E2348" s="98"/>
      <c r="F2348" s="99"/>
      <c r="G2348" s="100"/>
      <c r="H2348" s="100"/>
    </row>
    <row r="2349" customHeight="1" spans="2:8">
      <c r="B2349" s="98"/>
      <c r="C2349" s="98"/>
      <c r="D2349" s="98"/>
      <c r="E2349" s="98"/>
      <c r="F2349" s="99"/>
      <c r="G2349" s="100"/>
      <c r="H2349" s="100"/>
    </row>
    <row r="2350" customHeight="1" spans="2:8">
      <c r="B2350" s="98"/>
      <c r="C2350" s="98"/>
      <c r="D2350" s="98"/>
      <c r="E2350" s="98"/>
      <c r="F2350" s="99"/>
      <c r="G2350" s="100"/>
      <c r="H2350" s="100"/>
    </row>
    <row r="2351" customHeight="1" spans="2:8">
      <c r="B2351" s="98"/>
      <c r="C2351" s="98"/>
      <c r="D2351" s="98"/>
      <c r="E2351" s="98"/>
      <c r="F2351" s="99"/>
      <c r="G2351" s="100"/>
      <c r="H2351" s="100"/>
    </row>
    <row r="2352" customHeight="1" spans="2:8">
      <c r="B2352" s="98"/>
      <c r="C2352" s="98"/>
      <c r="D2352" s="98"/>
      <c r="E2352" s="98"/>
      <c r="F2352" s="99"/>
      <c r="G2352" s="100"/>
      <c r="H2352" s="100"/>
    </row>
    <row r="2353" customHeight="1" spans="2:8">
      <c r="B2353" s="98"/>
      <c r="C2353" s="98"/>
      <c r="D2353" s="98"/>
      <c r="E2353" s="98"/>
      <c r="F2353" s="99"/>
      <c r="G2353" s="100"/>
      <c r="H2353" s="100"/>
    </row>
    <row r="2354" customHeight="1" spans="2:8">
      <c r="B2354" s="98"/>
      <c r="C2354" s="98"/>
      <c r="D2354" s="98"/>
      <c r="E2354" s="98"/>
      <c r="F2354" s="99"/>
      <c r="G2354" s="100"/>
      <c r="H2354" s="100"/>
    </row>
    <row r="2355" customHeight="1" spans="2:8">
      <c r="B2355" s="98"/>
      <c r="C2355" s="98"/>
      <c r="D2355" s="98"/>
      <c r="E2355" s="98"/>
      <c r="F2355" s="99"/>
      <c r="G2355" s="100"/>
      <c r="H2355" s="100"/>
    </row>
    <row r="2356" customHeight="1" spans="2:8">
      <c r="B2356" s="98"/>
      <c r="C2356" s="98"/>
      <c r="D2356" s="98"/>
      <c r="E2356" s="98"/>
      <c r="F2356" s="99"/>
      <c r="G2356" s="100"/>
      <c r="H2356" s="100"/>
    </row>
    <row r="2357" customHeight="1" spans="2:8">
      <c r="B2357" s="98"/>
      <c r="C2357" s="98"/>
      <c r="D2357" s="98"/>
      <c r="E2357" s="98"/>
      <c r="F2357" s="99"/>
      <c r="G2357" s="100"/>
      <c r="H2357" s="100"/>
    </row>
    <row r="2358" customHeight="1" spans="2:8">
      <c r="B2358" s="98"/>
      <c r="C2358" s="98"/>
      <c r="D2358" s="98"/>
      <c r="E2358" s="98"/>
      <c r="F2358" s="99"/>
      <c r="G2358" s="100"/>
      <c r="H2358" s="100"/>
    </row>
    <row r="2359" customHeight="1" spans="2:8">
      <c r="B2359" s="98"/>
      <c r="C2359" s="98"/>
      <c r="D2359" s="98"/>
      <c r="E2359" s="98"/>
      <c r="F2359" s="99"/>
      <c r="G2359" s="100"/>
      <c r="H2359" s="100"/>
    </row>
    <row r="2360" customHeight="1" spans="2:8">
      <c r="B2360" s="98"/>
      <c r="C2360" s="98"/>
      <c r="D2360" s="98"/>
      <c r="E2360" s="98"/>
      <c r="F2360" s="99"/>
      <c r="G2360" s="100"/>
      <c r="H2360" s="100"/>
    </row>
    <row r="2361" customHeight="1" spans="2:8">
      <c r="B2361" s="98"/>
      <c r="C2361" s="98"/>
      <c r="D2361" s="98"/>
      <c r="E2361" s="98"/>
      <c r="F2361" s="99"/>
      <c r="G2361" s="100"/>
      <c r="H2361" s="100"/>
    </row>
    <row r="2362" customHeight="1" spans="2:8">
      <c r="B2362" s="98"/>
      <c r="C2362" s="98"/>
      <c r="D2362" s="98"/>
      <c r="E2362" s="98"/>
      <c r="F2362" s="99"/>
      <c r="G2362" s="100"/>
      <c r="H2362" s="100"/>
    </row>
    <row r="2363" customHeight="1" spans="2:8">
      <c r="B2363" s="98"/>
      <c r="C2363" s="98"/>
      <c r="D2363" s="98"/>
      <c r="E2363" s="98"/>
      <c r="F2363" s="99"/>
      <c r="G2363" s="100"/>
      <c r="H2363" s="100"/>
    </row>
    <row r="2364" customHeight="1" spans="2:8">
      <c r="B2364" s="98"/>
      <c r="C2364" s="98"/>
      <c r="D2364" s="98"/>
      <c r="E2364" s="98"/>
      <c r="F2364" s="99"/>
      <c r="G2364" s="100"/>
      <c r="H2364" s="100"/>
    </row>
    <row r="2365" customHeight="1" spans="2:8">
      <c r="B2365" s="98"/>
      <c r="C2365" s="98"/>
      <c r="D2365" s="98"/>
      <c r="E2365" s="98"/>
      <c r="F2365" s="99"/>
      <c r="G2365" s="100"/>
      <c r="H2365" s="100"/>
    </row>
    <row r="2366" customHeight="1" spans="2:8">
      <c r="B2366" s="98"/>
      <c r="C2366" s="98"/>
      <c r="D2366" s="98"/>
      <c r="E2366" s="98"/>
      <c r="F2366" s="99"/>
      <c r="G2366" s="100"/>
      <c r="H2366" s="100"/>
    </row>
    <row r="2367" customHeight="1" spans="2:8">
      <c r="B2367" s="98"/>
      <c r="C2367" s="98"/>
      <c r="D2367" s="98"/>
      <c r="E2367" s="98"/>
      <c r="F2367" s="99"/>
      <c r="G2367" s="100"/>
      <c r="H2367" s="100"/>
    </row>
    <row r="2368" customHeight="1" spans="2:8">
      <c r="B2368" s="98"/>
      <c r="C2368" s="98"/>
      <c r="D2368" s="98"/>
      <c r="E2368" s="98"/>
      <c r="F2368" s="99"/>
      <c r="G2368" s="100"/>
      <c r="H2368" s="100"/>
    </row>
    <row r="2369" customHeight="1" spans="2:8">
      <c r="B2369" s="98"/>
      <c r="C2369" s="98"/>
      <c r="D2369" s="98"/>
      <c r="E2369" s="98"/>
      <c r="F2369" s="99"/>
      <c r="G2369" s="100"/>
      <c r="H2369" s="100"/>
    </row>
    <row r="2370" customHeight="1" spans="2:8">
      <c r="B2370" s="98"/>
      <c r="C2370" s="98"/>
      <c r="D2370" s="98"/>
      <c r="E2370" s="98"/>
      <c r="F2370" s="99"/>
      <c r="G2370" s="100"/>
      <c r="H2370" s="100"/>
    </row>
    <row r="2371" customHeight="1" spans="2:8">
      <c r="B2371" s="98"/>
      <c r="C2371" s="98"/>
      <c r="D2371" s="98"/>
      <c r="E2371" s="98"/>
      <c r="F2371" s="99"/>
      <c r="G2371" s="100"/>
      <c r="H2371" s="100"/>
    </row>
    <row r="2372" customHeight="1" spans="2:8">
      <c r="B2372" s="98"/>
      <c r="C2372" s="98"/>
      <c r="D2372" s="98"/>
      <c r="E2372" s="98"/>
      <c r="F2372" s="99"/>
      <c r="G2372" s="100"/>
      <c r="H2372" s="100"/>
    </row>
    <row r="2373" customHeight="1" spans="2:8">
      <c r="B2373" s="98"/>
      <c r="C2373" s="98"/>
      <c r="D2373" s="98"/>
      <c r="E2373" s="98"/>
      <c r="F2373" s="99"/>
      <c r="G2373" s="100"/>
      <c r="H2373" s="100"/>
    </row>
    <row r="2374" customHeight="1" spans="2:8">
      <c r="B2374" s="98"/>
      <c r="C2374" s="98"/>
      <c r="D2374" s="98"/>
      <c r="E2374" s="98"/>
      <c r="F2374" s="99"/>
      <c r="G2374" s="100"/>
      <c r="H2374" s="100"/>
    </row>
    <row r="2375" customHeight="1" spans="2:8">
      <c r="B2375" s="98"/>
      <c r="C2375" s="98"/>
      <c r="D2375" s="98"/>
      <c r="E2375" s="98"/>
      <c r="F2375" s="99"/>
      <c r="G2375" s="100"/>
      <c r="H2375" s="100"/>
    </row>
    <row r="2376" customHeight="1" spans="2:8">
      <c r="B2376" s="98"/>
      <c r="C2376" s="98"/>
      <c r="D2376" s="98"/>
      <c r="E2376" s="98"/>
      <c r="F2376" s="99"/>
      <c r="G2376" s="100"/>
      <c r="H2376" s="100"/>
    </row>
    <row r="2377" customHeight="1" spans="2:8">
      <c r="B2377" s="98"/>
      <c r="C2377" s="98"/>
      <c r="D2377" s="98"/>
      <c r="E2377" s="98"/>
      <c r="F2377" s="99"/>
      <c r="G2377" s="100"/>
      <c r="H2377" s="100"/>
    </row>
    <row r="2378" customHeight="1" spans="2:8">
      <c r="B2378" s="98"/>
      <c r="C2378" s="98"/>
      <c r="D2378" s="98"/>
      <c r="E2378" s="98"/>
      <c r="F2378" s="99"/>
      <c r="G2378" s="100"/>
      <c r="H2378" s="100"/>
    </row>
    <row r="2379" customHeight="1" spans="2:8">
      <c r="B2379" s="98"/>
      <c r="C2379" s="98"/>
      <c r="D2379" s="98"/>
      <c r="E2379" s="98"/>
      <c r="F2379" s="99"/>
      <c r="G2379" s="100"/>
      <c r="H2379" s="100"/>
    </row>
    <row r="2380" customHeight="1" spans="2:8">
      <c r="B2380" s="98"/>
      <c r="C2380" s="98"/>
      <c r="D2380" s="98"/>
      <c r="E2380" s="98"/>
      <c r="F2380" s="99"/>
      <c r="G2380" s="100"/>
      <c r="H2380" s="100"/>
    </row>
    <row r="2381" customHeight="1" spans="2:8">
      <c r="B2381" s="98"/>
      <c r="C2381" s="98"/>
      <c r="D2381" s="98"/>
      <c r="E2381" s="98"/>
      <c r="F2381" s="99"/>
      <c r="G2381" s="100"/>
      <c r="H2381" s="100"/>
    </row>
    <row r="2382" customHeight="1" spans="2:8">
      <c r="B2382" s="98"/>
      <c r="C2382" s="98"/>
      <c r="D2382" s="98"/>
      <c r="E2382" s="98"/>
      <c r="F2382" s="99"/>
      <c r="G2382" s="100"/>
      <c r="H2382" s="100"/>
    </row>
    <row r="2383" customHeight="1" spans="2:8">
      <c r="B2383" s="98"/>
      <c r="C2383" s="98"/>
      <c r="D2383" s="98"/>
      <c r="E2383" s="98"/>
      <c r="F2383" s="99"/>
      <c r="G2383" s="100"/>
      <c r="H2383" s="100"/>
    </row>
    <row r="2384" customHeight="1" spans="2:8">
      <c r="B2384" s="98"/>
      <c r="C2384" s="98"/>
      <c r="D2384" s="98"/>
      <c r="E2384" s="98"/>
      <c r="F2384" s="99"/>
      <c r="G2384" s="100"/>
      <c r="H2384" s="100"/>
    </row>
    <row r="2385" customHeight="1" spans="2:8">
      <c r="B2385" s="98"/>
      <c r="C2385" s="98"/>
      <c r="D2385" s="98"/>
      <c r="E2385" s="98"/>
      <c r="F2385" s="99"/>
      <c r="G2385" s="100"/>
      <c r="H2385" s="100"/>
    </row>
    <row r="2386" customHeight="1" spans="2:8">
      <c r="B2386" s="98"/>
      <c r="C2386" s="98"/>
      <c r="D2386" s="98"/>
      <c r="E2386" s="98"/>
      <c r="F2386" s="99"/>
      <c r="G2386" s="100"/>
      <c r="H2386" s="100"/>
    </row>
    <row r="2387" customHeight="1" spans="2:8">
      <c r="B2387" s="98"/>
      <c r="C2387" s="98"/>
      <c r="D2387" s="98"/>
      <c r="E2387" s="98"/>
      <c r="F2387" s="99"/>
      <c r="G2387" s="100"/>
      <c r="H2387" s="100"/>
    </row>
    <row r="2388" customHeight="1" spans="2:8">
      <c r="B2388" s="98"/>
      <c r="C2388" s="98"/>
      <c r="D2388" s="98"/>
      <c r="E2388" s="98"/>
      <c r="F2388" s="99"/>
      <c r="G2388" s="100"/>
      <c r="H2388" s="100"/>
    </row>
    <row r="2389" customHeight="1" spans="2:8">
      <c r="B2389" s="98"/>
      <c r="C2389" s="98"/>
      <c r="D2389" s="98"/>
      <c r="E2389" s="98"/>
      <c r="F2389" s="99"/>
      <c r="G2389" s="100"/>
      <c r="H2389" s="100"/>
    </row>
    <row r="2390" customHeight="1" spans="2:8">
      <c r="B2390" s="98"/>
      <c r="C2390" s="98"/>
      <c r="D2390" s="98"/>
      <c r="E2390" s="98"/>
      <c r="F2390" s="99"/>
      <c r="G2390" s="100"/>
      <c r="H2390" s="100"/>
    </row>
    <row r="2391" customHeight="1" spans="2:8">
      <c r="B2391" s="98"/>
      <c r="C2391" s="98"/>
      <c r="D2391" s="98"/>
      <c r="E2391" s="98"/>
      <c r="F2391" s="99"/>
      <c r="G2391" s="100"/>
      <c r="H2391" s="100"/>
    </row>
    <row r="2392" customHeight="1" spans="2:8">
      <c r="B2392" s="98"/>
      <c r="C2392" s="98"/>
      <c r="D2392" s="98"/>
      <c r="E2392" s="98"/>
      <c r="F2392" s="99"/>
      <c r="G2392" s="100"/>
      <c r="H2392" s="100"/>
    </row>
    <row r="2393" customHeight="1" spans="2:8">
      <c r="B2393" s="98"/>
      <c r="C2393" s="98"/>
      <c r="D2393" s="98"/>
      <c r="E2393" s="98"/>
      <c r="F2393" s="99"/>
      <c r="G2393" s="100"/>
      <c r="H2393" s="100"/>
    </row>
    <row r="2394" customHeight="1" spans="2:8">
      <c r="B2394" s="98"/>
      <c r="C2394" s="98"/>
      <c r="D2394" s="98"/>
      <c r="E2394" s="98"/>
      <c r="F2394" s="99"/>
      <c r="G2394" s="100"/>
      <c r="H2394" s="100"/>
    </row>
    <row r="2395" customHeight="1" spans="2:8">
      <c r="B2395" s="98"/>
      <c r="C2395" s="98"/>
      <c r="D2395" s="98"/>
      <c r="E2395" s="98"/>
      <c r="F2395" s="99"/>
      <c r="G2395" s="100"/>
      <c r="H2395" s="100"/>
    </row>
    <row r="2396" customHeight="1" spans="2:8">
      <c r="B2396" s="98"/>
      <c r="C2396" s="98"/>
      <c r="D2396" s="98"/>
      <c r="E2396" s="98"/>
      <c r="F2396" s="99"/>
      <c r="G2396" s="100"/>
      <c r="H2396" s="100"/>
    </row>
    <row r="2397" customHeight="1" spans="2:8">
      <c r="B2397" s="98"/>
      <c r="C2397" s="98"/>
      <c r="D2397" s="98"/>
      <c r="E2397" s="98"/>
      <c r="F2397" s="99"/>
      <c r="G2397" s="100"/>
      <c r="H2397" s="100"/>
    </row>
    <row r="2398" customHeight="1" spans="2:8">
      <c r="B2398" s="98"/>
      <c r="C2398" s="98"/>
      <c r="D2398" s="98"/>
      <c r="E2398" s="98"/>
      <c r="F2398" s="99"/>
      <c r="G2398" s="100"/>
      <c r="H2398" s="100"/>
    </row>
    <row r="2399" customHeight="1" spans="2:8">
      <c r="B2399" s="98"/>
      <c r="C2399" s="98"/>
      <c r="D2399" s="98"/>
      <c r="E2399" s="98"/>
      <c r="F2399" s="99"/>
      <c r="G2399" s="100"/>
      <c r="H2399" s="100"/>
    </row>
    <row r="2400" customHeight="1" spans="2:8">
      <c r="B2400" s="98"/>
      <c r="C2400" s="98"/>
      <c r="D2400" s="98"/>
      <c r="E2400" s="98"/>
      <c r="F2400" s="99"/>
      <c r="G2400" s="100"/>
      <c r="H2400" s="100"/>
    </row>
    <row r="2401" customHeight="1" spans="2:8">
      <c r="B2401" s="98"/>
      <c r="C2401" s="98"/>
      <c r="D2401" s="98"/>
      <c r="E2401" s="98"/>
      <c r="F2401" s="99"/>
      <c r="G2401" s="100"/>
      <c r="H2401" s="100"/>
    </row>
    <row r="2402" customHeight="1" spans="2:8">
      <c r="B2402" s="98"/>
      <c r="C2402" s="98"/>
      <c r="D2402" s="98"/>
      <c r="E2402" s="98"/>
      <c r="F2402" s="99"/>
      <c r="G2402" s="100"/>
      <c r="H2402" s="100"/>
    </row>
    <row r="2403" customHeight="1" spans="2:8">
      <c r="B2403" s="98"/>
      <c r="C2403" s="98"/>
      <c r="D2403" s="98"/>
      <c r="E2403" s="98"/>
      <c r="F2403" s="99"/>
      <c r="G2403" s="100"/>
      <c r="H2403" s="100"/>
    </row>
    <row r="2404" customHeight="1" spans="2:8">
      <c r="B2404" s="98"/>
      <c r="C2404" s="98"/>
      <c r="D2404" s="98"/>
      <c r="E2404" s="98"/>
      <c r="F2404" s="99"/>
      <c r="G2404" s="100"/>
      <c r="H2404" s="100"/>
    </row>
    <row r="2405" customHeight="1" spans="2:8">
      <c r="B2405" s="98"/>
      <c r="C2405" s="98"/>
      <c r="D2405" s="98"/>
      <c r="E2405" s="98"/>
      <c r="F2405" s="99"/>
      <c r="G2405" s="100"/>
      <c r="H2405" s="100"/>
    </row>
    <row r="2406" customHeight="1" spans="2:8">
      <c r="B2406" s="98"/>
      <c r="C2406" s="98"/>
      <c r="D2406" s="98"/>
      <c r="E2406" s="98"/>
      <c r="F2406" s="99"/>
      <c r="G2406" s="100"/>
      <c r="H2406" s="100"/>
    </row>
    <row r="2407" customHeight="1" spans="2:8">
      <c r="B2407" s="98"/>
      <c r="C2407" s="98"/>
      <c r="D2407" s="98"/>
      <c r="E2407" s="98"/>
      <c r="F2407" s="99"/>
      <c r="G2407" s="100"/>
      <c r="H2407" s="100"/>
    </row>
    <row r="2408" customHeight="1" spans="2:8">
      <c r="B2408" s="98"/>
      <c r="C2408" s="98"/>
      <c r="D2408" s="98"/>
      <c r="E2408" s="98"/>
      <c r="F2408" s="99"/>
      <c r="G2408" s="100"/>
      <c r="H2408" s="100"/>
    </row>
    <row r="2409" customHeight="1" spans="2:8">
      <c r="B2409" s="98"/>
      <c r="C2409" s="98"/>
      <c r="D2409" s="98"/>
      <c r="E2409" s="98"/>
      <c r="F2409" s="99"/>
      <c r="G2409" s="100"/>
      <c r="H2409" s="100"/>
    </row>
    <row r="2410" customHeight="1" spans="2:8">
      <c r="B2410" s="98"/>
      <c r="C2410" s="98"/>
      <c r="D2410" s="98"/>
      <c r="E2410" s="98"/>
      <c r="F2410" s="99"/>
      <c r="G2410" s="100"/>
      <c r="H2410" s="100"/>
    </row>
    <row r="2411" customHeight="1" spans="2:8">
      <c r="B2411" s="98"/>
      <c r="C2411" s="98"/>
      <c r="D2411" s="98"/>
      <c r="E2411" s="98"/>
      <c r="F2411" s="99"/>
      <c r="G2411" s="100"/>
      <c r="H2411" s="100"/>
    </row>
    <row r="2412" customHeight="1" spans="2:8">
      <c r="B2412" s="98"/>
      <c r="C2412" s="98"/>
      <c r="D2412" s="98"/>
      <c r="E2412" s="98"/>
      <c r="F2412" s="99"/>
      <c r="G2412" s="100"/>
      <c r="H2412" s="100"/>
    </row>
    <row r="2413" customHeight="1" spans="2:8">
      <c r="B2413" s="98"/>
      <c r="C2413" s="98"/>
      <c r="D2413" s="98"/>
      <c r="E2413" s="98"/>
      <c r="F2413" s="99"/>
      <c r="G2413" s="100"/>
      <c r="H2413" s="100"/>
    </row>
    <row r="2414" customHeight="1" spans="2:8">
      <c r="B2414" s="98"/>
      <c r="C2414" s="98"/>
      <c r="D2414" s="98"/>
      <c r="E2414" s="98"/>
      <c r="F2414" s="99"/>
      <c r="G2414" s="100"/>
      <c r="H2414" s="100"/>
    </row>
    <row r="2415" customHeight="1" spans="2:8">
      <c r="B2415" s="98"/>
      <c r="C2415" s="98"/>
      <c r="D2415" s="98"/>
      <c r="E2415" s="98"/>
      <c r="F2415" s="99"/>
      <c r="G2415" s="100"/>
      <c r="H2415" s="100"/>
    </row>
    <row r="2416" customHeight="1" spans="2:8">
      <c r="B2416" s="98"/>
      <c r="C2416" s="98"/>
      <c r="D2416" s="98"/>
      <c r="E2416" s="98"/>
      <c r="F2416" s="99"/>
      <c r="G2416" s="100"/>
      <c r="H2416" s="100"/>
    </row>
    <row r="2417" customHeight="1" spans="2:8">
      <c r="B2417" s="98"/>
      <c r="C2417" s="98"/>
      <c r="D2417" s="98"/>
      <c r="E2417" s="98"/>
      <c r="F2417" s="99"/>
      <c r="G2417" s="100"/>
      <c r="H2417" s="100"/>
    </row>
    <row r="2418" customHeight="1" spans="2:8">
      <c r="B2418" s="98"/>
      <c r="C2418" s="98"/>
      <c r="D2418" s="98"/>
      <c r="E2418" s="98"/>
      <c r="F2418" s="99"/>
      <c r="G2418" s="100"/>
      <c r="H2418" s="100"/>
    </row>
    <row r="2419" customHeight="1" spans="2:8">
      <c r="B2419" s="98"/>
      <c r="C2419" s="98"/>
      <c r="D2419" s="98"/>
      <c r="E2419" s="98"/>
      <c r="F2419" s="99"/>
      <c r="G2419" s="100"/>
      <c r="H2419" s="100"/>
    </row>
    <row r="2420" customHeight="1" spans="2:8">
      <c r="B2420" s="98"/>
      <c r="C2420" s="98"/>
      <c r="D2420" s="98"/>
      <c r="E2420" s="98"/>
      <c r="F2420" s="99"/>
      <c r="G2420" s="100"/>
      <c r="H2420" s="100"/>
    </row>
    <row r="2421" customHeight="1" spans="2:8">
      <c r="B2421" s="98"/>
      <c r="C2421" s="98"/>
      <c r="D2421" s="98"/>
      <c r="E2421" s="98"/>
      <c r="F2421" s="99"/>
      <c r="G2421" s="100"/>
      <c r="H2421" s="100"/>
    </row>
    <row r="2422" customHeight="1" spans="2:8">
      <c r="B2422" s="98"/>
      <c r="C2422" s="98"/>
      <c r="D2422" s="98"/>
      <c r="E2422" s="98"/>
      <c r="F2422" s="99"/>
      <c r="G2422" s="100"/>
      <c r="H2422" s="100"/>
    </row>
    <row r="2423" customHeight="1" spans="2:8">
      <c r="B2423" s="98"/>
      <c r="C2423" s="98"/>
      <c r="D2423" s="98"/>
      <c r="E2423" s="98"/>
      <c r="F2423" s="99"/>
      <c r="G2423" s="100"/>
      <c r="H2423" s="100"/>
    </row>
    <row r="2424" customHeight="1" spans="2:8">
      <c r="B2424" s="98"/>
      <c r="C2424" s="98"/>
      <c r="D2424" s="98"/>
      <c r="E2424" s="98"/>
      <c r="F2424" s="99"/>
      <c r="G2424" s="100"/>
      <c r="H2424" s="100"/>
    </row>
    <row r="2425" customHeight="1" spans="2:8">
      <c r="B2425" s="98"/>
      <c r="C2425" s="98"/>
      <c r="D2425" s="98"/>
      <c r="E2425" s="98"/>
      <c r="F2425" s="99"/>
      <c r="G2425" s="100"/>
      <c r="H2425" s="100"/>
    </row>
    <row r="2426" customHeight="1" spans="2:8">
      <c r="B2426" s="98"/>
      <c r="C2426" s="98"/>
      <c r="D2426" s="98"/>
      <c r="E2426" s="98"/>
      <c r="F2426" s="99"/>
      <c r="G2426" s="100"/>
      <c r="H2426" s="100"/>
    </row>
    <row r="2427" customHeight="1" spans="2:8">
      <c r="B2427" s="98"/>
      <c r="C2427" s="98"/>
      <c r="D2427" s="98"/>
      <c r="E2427" s="98"/>
      <c r="F2427" s="99"/>
      <c r="G2427" s="100"/>
      <c r="H2427" s="100"/>
    </row>
    <row r="2428" customHeight="1" spans="2:8">
      <c r="B2428" s="98"/>
      <c r="C2428" s="98"/>
      <c r="D2428" s="98"/>
      <c r="E2428" s="98"/>
      <c r="F2428" s="99"/>
      <c r="G2428" s="100"/>
      <c r="H2428" s="100"/>
    </row>
    <row r="2429" customHeight="1" spans="2:8">
      <c r="B2429" s="98"/>
      <c r="C2429" s="98"/>
      <c r="D2429" s="98"/>
      <c r="E2429" s="98"/>
      <c r="F2429" s="99"/>
      <c r="G2429" s="100"/>
      <c r="H2429" s="100"/>
    </row>
    <row r="2430" customHeight="1" spans="2:8">
      <c r="B2430" s="98"/>
      <c r="C2430" s="98"/>
      <c r="D2430" s="98"/>
      <c r="E2430" s="98"/>
      <c r="F2430" s="99"/>
      <c r="G2430" s="100"/>
      <c r="H2430" s="100"/>
    </row>
    <row r="2431" customHeight="1" spans="2:8">
      <c r="B2431" s="98"/>
      <c r="C2431" s="98"/>
      <c r="D2431" s="98"/>
      <c r="E2431" s="98"/>
      <c r="F2431" s="99"/>
      <c r="G2431" s="100"/>
      <c r="H2431" s="100"/>
    </row>
    <row r="2432" customHeight="1" spans="2:8">
      <c r="B2432" s="98"/>
      <c r="C2432" s="98"/>
      <c r="D2432" s="98"/>
      <c r="E2432" s="98"/>
      <c r="F2432" s="99"/>
      <c r="G2432" s="100"/>
      <c r="H2432" s="100"/>
    </row>
    <row r="2433" customHeight="1" spans="2:8">
      <c r="B2433" s="98"/>
      <c r="C2433" s="98"/>
      <c r="D2433" s="98"/>
      <c r="E2433" s="98"/>
      <c r="F2433" s="99"/>
      <c r="G2433" s="100"/>
      <c r="H2433" s="100"/>
    </row>
    <row r="2434" customHeight="1" spans="2:8">
      <c r="B2434" s="98"/>
      <c r="C2434" s="98"/>
      <c r="D2434" s="98"/>
      <c r="E2434" s="98"/>
      <c r="F2434" s="99"/>
      <c r="G2434" s="100"/>
      <c r="H2434" s="100"/>
    </row>
    <row r="2435" customHeight="1" spans="2:8">
      <c r="B2435" s="98"/>
      <c r="C2435" s="98"/>
      <c r="D2435" s="98"/>
      <c r="E2435" s="98"/>
      <c r="F2435" s="99"/>
      <c r="G2435" s="100"/>
      <c r="H2435" s="100"/>
    </row>
    <row r="2436" customHeight="1" spans="2:8">
      <c r="B2436" s="98"/>
      <c r="C2436" s="98"/>
      <c r="D2436" s="98"/>
      <c r="E2436" s="98"/>
      <c r="F2436" s="99"/>
      <c r="G2436" s="100"/>
      <c r="H2436" s="100"/>
    </row>
    <row r="2437" customHeight="1" spans="2:8">
      <c r="B2437" s="98"/>
      <c r="C2437" s="98"/>
      <c r="D2437" s="98"/>
      <c r="E2437" s="98"/>
      <c r="F2437" s="99"/>
      <c r="G2437" s="100"/>
      <c r="H2437" s="100"/>
    </row>
    <row r="2438" customHeight="1" spans="2:8">
      <c r="B2438" s="98"/>
      <c r="C2438" s="98"/>
      <c r="D2438" s="98"/>
      <c r="E2438" s="98"/>
      <c r="F2438" s="99"/>
      <c r="G2438" s="100"/>
      <c r="H2438" s="100"/>
    </row>
    <row r="2439" customHeight="1" spans="2:8">
      <c r="B2439" s="98"/>
      <c r="C2439" s="98"/>
      <c r="D2439" s="98"/>
      <c r="E2439" s="98"/>
      <c r="F2439" s="99"/>
      <c r="G2439" s="100"/>
      <c r="H2439" s="100"/>
    </row>
    <row r="2440" customHeight="1" spans="2:8">
      <c r="B2440" s="98"/>
      <c r="C2440" s="98"/>
      <c r="D2440" s="98"/>
      <c r="E2440" s="98"/>
      <c r="F2440" s="99"/>
      <c r="G2440" s="100"/>
      <c r="H2440" s="100"/>
    </row>
    <row r="2441" customHeight="1" spans="2:8">
      <c r="B2441" s="98"/>
      <c r="C2441" s="98"/>
      <c r="D2441" s="98"/>
      <c r="E2441" s="98"/>
      <c r="F2441" s="99"/>
      <c r="G2441" s="100"/>
      <c r="H2441" s="100"/>
    </row>
    <row r="2442" customHeight="1" spans="2:8">
      <c r="B2442" s="98"/>
      <c r="C2442" s="98"/>
      <c r="D2442" s="98"/>
      <c r="E2442" s="98"/>
      <c r="F2442" s="99"/>
      <c r="G2442" s="100"/>
      <c r="H2442" s="100"/>
    </row>
    <row r="2443" customHeight="1" spans="2:8">
      <c r="B2443" s="98"/>
      <c r="C2443" s="98"/>
      <c r="D2443" s="98"/>
      <c r="E2443" s="98"/>
      <c r="F2443" s="99"/>
      <c r="G2443" s="100"/>
      <c r="H2443" s="100"/>
    </row>
    <row r="2444" customHeight="1" spans="2:8">
      <c r="B2444" s="98"/>
      <c r="C2444" s="98"/>
      <c r="D2444" s="98"/>
      <c r="E2444" s="98"/>
      <c r="F2444" s="99"/>
      <c r="G2444" s="100"/>
      <c r="H2444" s="100"/>
    </row>
    <row r="2445" customHeight="1" spans="2:8">
      <c r="B2445" s="98"/>
      <c r="C2445" s="98"/>
      <c r="D2445" s="98"/>
      <c r="E2445" s="98"/>
      <c r="F2445" s="99"/>
      <c r="G2445" s="100"/>
      <c r="H2445" s="100"/>
    </row>
    <row r="2446" customHeight="1" spans="2:8">
      <c r="B2446" s="98"/>
      <c r="C2446" s="98"/>
      <c r="D2446" s="98"/>
      <c r="E2446" s="98"/>
      <c r="F2446" s="99"/>
      <c r="G2446" s="100"/>
      <c r="H2446" s="100"/>
    </row>
    <row r="2447" customHeight="1" spans="2:8">
      <c r="B2447" s="98"/>
      <c r="C2447" s="98"/>
      <c r="D2447" s="98"/>
      <c r="E2447" s="98"/>
      <c r="F2447" s="99"/>
      <c r="G2447" s="100"/>
      <c r="H2447" s="100"/>
    </row>
    <row r="2448" customHeight="1" spans="2:8">
      <c r="B2448" s="98"/>
      <c r="C2448" s="98"/>
      <c r="D2448" s="98"/>
      <c r="E2448" s="98"/>
      <c r="F2448" s="99"/>
      <c r="G2448" s="100"/>
      <c r="H2448" s="100"/>
    </row>
    <row r="2449" customHeight="1" spans="2:8">
      <c r="B2449" s="98"/>
      <c r="C2449" s="98"/>
      <c r="D2449" s="98"/>
      <c r="E2449" s="98"/>
      <c r="F2449" s="99"/>
      <c r="G2449" s="100"/>
      <c r="H2449" s="100"/>
    </row>
    <row r="2450" customHeight="1" spans="2:8">
      <c r="B2450" s="98"/>
      <c r="C2450" s="98"/>
      <c r="D2450" s="98"/>
      <c r="E2450" s="98"/>
      <c r="F2450" s="99"/>
      <c r="G2450" s="100"/>
      <c r="H2450" s="100"/>
    </row>
    <row r="2451" customHeight="1" spans="2:8">
      <c r="B2451" s="98"/>
      <c r="C2451" s="98"/>
      <c r="D2451" s="98"/>
      <c r="E2451" s="98"/>
      <c r="F2451" s="99"/>
      <c r="G2451" s="100"/>
      <c r="H2451" s="100"/>
    </row>
    <row r="2452" customHeight="1" spans="2:8">
      <c r="B2452" s="98"/>
      <c r="C2452" s="98"/>
      <c r="D2452" s="98"/>
      <c r="E2452" s="98"/>
      <c r="F2452" s="99"/>
      <c r="G2452" s="100"/>
      <c r="H2452" s="100"/>
    </row>
    <row r="2453" customHeight="1" spans="2:8">
      <c r="B2453" s="98"/>
      <c r="C2453" s="98"/>
      <c r="D2453" s="98"/>
      <c r="E2453" s="98"/>
      <c r="F2453" s="99"/>
      <c r="G2453" s="100"/>
      <c r="H2453" s="100"/>
    </row>
    <row r="2454" customHeight="1" spans="2:8">
      <c r="B2454" s="98"/>
      <c r="C2454" s="98"/>
      <c r="D2454" s="98"/>
      <c r="E2454" s="98"/>
      <c r="F2454" s="99"/>
      <c r="G2454" s="100"/>
      <c r="H2454" s="100"/>
    </row>
    <row r="2455" customHeight="1" spans="2:8">
      <c r="B2455" s="98"/>
      <c r="C2455" s="98"/>
      <c r="D2455" s="98"/>
      <c r="E2455" s="98"/>
      <c r="F2455" s="99"/>
      <c r="G2455" s="100"/>
      <c r="H2455" s="100"/>
    </row>
    <row r="2456" customHeight="1" spans="2:8">
      <c r="B2456" s="98"/>
      <c r="C2456" s="98"/>
      <c r="D2456" s="98"/>
      <c r="E2456" s="98"/>
      <c r="F2456" s="99"/>
      <c r="G2456" s="100"/>
      <c r="H2456" s="100"/>
    </row>
    <row r="2457" customHeight="1" spans="2:8">
      <c r="B2457" s="98"/>
      <c r="C2457" s="98"/>
      <c r="D2457" s="98"/>
      <c r="E2457" s="98"/>
      <c r="F2457" s="99"/>
      <c r="G2457" s="100"/>
      <c r="H2457" s="100"/>
    </row>
    <row r="2458" customHeight="1" spans="2:8">
      <c r="B2458" s="98"/>
      <c r="C2458" s="98"/>
      <c r="D2458" s="98"/>
      <c r="E2458" s="98"/>
      <c r="F2458" s="99"/>
      <c r="G2458" s="100"/>
      <c r="H2458" s="100"/>
    </row>
    <row r="2459" customHeight="1" spans="2:8">
      <c r="B2459" s="98"/>
      <c r="C2459" s="98"/>
      <c r="D2459" s="98"/>
      <c r="E2459" s="98"/>
      <c r="F2459" s="99"/>
      <c r="G2459" s="100"/>
      <c r="H2459" s="100"/>
    </row>
    <row r="2460" customHeight="1" spans="2:8">
      <c r="B2460" s="98"/>
      <c r="C2460" s="98"/>
      <c r="D2460" s="98"/>
      <c r="E2460" s="98"/>
      <c r="F2460" s="99"/>
      <c r="G2460" s="100"/>
      <c r="H2460" s="100"/>
    </row>
    <row r="2461" customHeight="1" spans="2:8">
      <c r="B2461" s="98"/>
      <c r="C2461" s="98"/>
      <c r="D2461" s="98"/>
      <c r="E2461" s="98"/>
      <c r="F2461" s="99"/>
      <c r="G2461" s="100"/>
      <c r="H2461" s="100"/>
    </row>
    <row r="2462" customHeight="1" spans="2:8">
      <c r="B2462" s="98"/>
      <c r="C2462" s="98"/>
      <c r="D2462" s="98"/>
      <c r="E2462" s="98"/>
      <c r="F2462" s="99"/>
      <c r="G2462" s="100"/>
      <c r="H2462" s="100"/>
    </row>
    <row r="2463" customHeight="1" spans="2:8">
      <c r="B2463" s="98"/>
      <c r="C2463" s="98"/>
      <c r="D2463" s="98"/>
      <c r="E2463" s="98"/>
      <c r="F2463" s="99"/>
      <c r="G2463" s="100"/>
      <c r="H2463" s="100"/>
    </row>
    <row r="2464" customHeight="1" spans="2:8">
      <c r="B2464" s="98"/>
      <c r="C2464" s="98"/>
      <c r="D2464" s="98"/>
      <c r="E2464" s="98"/>
      <c r="F2464" s="99"/>
      <c r="G2464" s="100"/>
      <c r="H2464" s="100"/>
    </row>
    <row r="2465" customHeight="1" spans="2:8">
      <c r="B2465" s="98"/>
      <c r="C2465" s="98"/>
      <c r="D2465" s="98"/>
      <c r="E2465" s="98"/>
      <c r="F2465" s="99"/>
      <c r="G2465" s="100"/>
      <c r="H2465" s="100"/>
    </row>
    <row r="2466" customHeight="1" spans="2:8">
      <c r="B2466" s="98"/>
      <c r="C2466" s="98"/>
      <c r="D2466" s="98"/>
      <c r="E2466" s="98"/>
      <c r="F2466" s="99"/>
      <c r="G2466" s="100"/>
      <c r="H2466" s="100"/>
    </row>
    <row r="2467" customHeight="1" spans="2:8">
      <c r="B2467" s="98"/>
      <c r="C2467" s="98"/>
      <c r="D2467" s="98"/>
      <c r="E2467" s="98"/>
      <c r="F2467" s="99"/>
      <c r="G2467" s="100"/>
      <c r="H2467" s="100"/>
    </row>
    <row r="2468" customHeight="1" spans="2:8">
      <c r="B2468" s="98"/>
      <c r="C2468" s="98"/>
      <c r="D2468" s="98"/>
      <c r="E2468" s="98"/>
      <c r="F2468" s="99"/>
      <c r="G2468" s="100"/>
      <c r="H2468" s="100"/>
    </row>
    <row r="2469" customHeight="1" spans="2:8">
      <c r="B2469" s="98"/>
      <c r="C2469" s="98"/>
      <c r="D2469" s="98"/>
      <c r="E2469" s="98"/>
      <c r="F2469" s="99"/>
      <c r="G2469" s="100"/>
      <c r="H2469" s="100"/>
    </row>
    <row r="2470" customHeight="1" spans="2:8">
      <c r="B2470" s="98"/>
      <c r="C2470" s="98"/>
      <c r="D2470" s="98"/>
      <c r="E2470" s="98"/>
      <c r="F2470" s="99"/>
      <c r="G2470" s="100"/>
      <c r="H2470" s="100"/>
    </row>
    <row r="2471" customHeight="1" spans="2:8">
      <c r="B2471" s="98"/>
      <c r="C2471" s="98"/>
      <c r="D2471" s="98"/>
      <c r="E2471" s="98"/>
      <c r="F2471" s="99"/>
      <c r="G2471" s="100"/>
      <c r="H2471" s="100"/>
    </row>
    <row r="2472" customHeight="1" spans="2:8">
      <c r="B2472" s="98"/>
      <c r="C2472" s="98"/>
      <c r="D2472" s="98"/>
      <c r="E2472" s="98"/>
      <c r="F2472" s="99"/>
      <c r="G2472" s="100"/>
      <c r="H2472" s="100"/>
    </row>
    <row r="2473" customHeight="1" spans="2:8">
      <c r="B2473" s="98"/>
      <c r="C2473" s="98"/>
      <c r="D2473" s="98"/>
      <c r="E2473" s="98"/>
      <c r="F2473" s="99"/>
      <c r="G2473" s="100"/>
      <c r="H2473" s="100"/>
    </row>
    <row r="2474" customHeight="1" spans="2:8">
      <c r="B2474" s="98"/>
      <c r="C2474" s="98"/>
      <c r="D2474" s="98"/>
      <c r="E2474" s="98"/>
      <c r="F2474" s="99"/>
      <c r="G2474" s="100"/>
      <c r="H2474" s="100"/>
    </row>
    <row r="2475" customHeight="1" spans="2:8">
      <c r="B2475" s="98"/>
      <c r="C2475" s="98"/>
      <c r="D2475" s="98"/>
      <c r="E2475" s="98"/>
      <c r="F2475" s="99"/>
      <c r="G2475" s="100"/>
      <c r="H2475" s="100"/>
    </row>
    <row r="2476" customHeight="1" spans="2:8">
      <c r="B2476" s="98"/>
      <c r="C2476" s="98"/>
      <c r="D2476" s="98"/>
      <c r="E2476" s="98"/>
      <c r="F2476" s="99"/>
      <c r="G2476" s="100"/>
      <c r="H2476" s="100"/>
    </row>
    <row r="2477" customHeight="1" spans="2:8">
      <c r="B2477" s="98"/>
      <c r="C2477" s="98"/>
      <c r="D2477" s="98"/>
      <c r="E2477" s="98"/>
      <c r="F2477" s="99"/>
      <c r="G2477" s="100"/>
      <c r="H2477" s="100"/>
    </row>
    <row r="2478" customHeight="1" spans="2:8">
      <c r="B2478" s="98"/>
      <c r="C2478" s="98"/>
      <c r="D2478" s="98"/>
      <c r="E2478" s="98"/>
      <c r="F2478" s="99"/>
      <c r="G2478" s="100"/>
      <c r="H2478" s="100"/>
    </row>
    <row r="2479" customHeight="1" spans="2:8">
      <c r="B2479" s="98"/>
      <c r="C2479" s="98"/>
      <c r="D2479" s="98"/>
      <c r="E2479" s="98"/>
      <c r="F2479" s="99"/>
      <c r="G2479" s="100"/>
      <c r="H2479" s="100"/>
    </row>
    <row r="2480" customHeight="1" spans="2:8">
      <c r="B2480" s="98"/>
      <c r="C2480" s="98"/>
      <c r="D2480" s="98"/>
      <c r="E2480" s="98"/>
      <c r="F2480" s="99"/>
      <c r="G2480" s="100"/>
      <c r="H2480" s="100"/>
    </row>
    <row r="2481" customHeight="1" spans="2:8">
      <c r="B2481" s="98"/>
      <c r="C2481" s="98"/>
      <c r="D2481" s="98"/>
      <c r="E2481" s="98"/>
      <c r="F2481" s="99"/>
      <c r="G2481" s="100"/>
      <c r="H2481" s="100"/>
    </row>
    <row r="2482" customHeight="1" spans="2:8">
      <c r="B2482" s="98"/>
      <c r="C2482" s="98"/>
      <c r="D2482" s="98"/>
      <c r="E2482" s="98"/>
      <c r="F2482" s="99"/>
      <c r="G2482" s="100"/>
      <c r="H2482" s="100"/>
    </row>
    <row r="2483" customHeight="1" spans="2:8">
      <c r="B2483" s="98"/>
      <c r="C2483" s="98"/>
      <c r="D2483" s="98"/>
      <c r="E2483" s="98"/>
      <c r="F2483" s="99"/>
      <c r="G2483" s="100"/>
      <c r="H2483" s="100"/>
    </row>
    <row r="2484" customHeight="1" spans="2:8">
      <c r="B2484" s="98"/>
      <c r="C2484" s="98"/>
      <c r="D2484" s="98"/>
      <c r="E2484" s="98"/>
      <c r="F2484" s="99"/>
      <c r="G2484" s="100"/>
      <c r="H2484" s="100"/>
    </row>
    <row r="2485" customHeight="1" spans="2:8">
      <c r="B2485" s="98"/>
      <c r="C2485" s="98"/>
      <c r="D2485" s="98"/>
      <c r="E2485" s="98"/>
      <c r="F2485" s="99"/>
      <c r="G2485" s="100"/>
      <c r="H2485" s="100"/>
    </row>
    <row r="2486" customHeight="1" spans="2:8">
      <c r="B2486" s="98"/>
      <c r="C2486" s="98"/>
      <c r="D2486" s="98"/>
      <c r="E2486" s="98"/>
      <c r="F2486" s="99"/>
      <c r="G2486" s="100"/>
      <c r="H2486" s="100"/>
    </row>
    <row r="2487" customHeight="1" spans="2:8">
      <c r="B2487" s="98"/>
      <c r="C2487" s="98"/>
      <c r="D2487" s="98"/>
      <c r="E2487" s="98"/>
      <c r="F2487" s="99"/>
      <c r="G2487" s="100"/>
      <c r="H2487" s="100"/>
    </row>
    <row r="2488" customHeight="1" spans="2:8">
      <c r="B2488" s="98"/>
      <c r="C2488" s="98"/>
      <c r="D2488" s="98"/>
      <c r="E2488" s="98"/>
      <c r="F2488" s="99"/>
      <c r="G2488" s="100"/>
      <c r="H2488" s="100"/>
    </row>
    <row r="2489" customHeight="1" spans="2:8">
      <c r="B2489" s="98"/>
      <c r="C2489" s="98"/>
      <c r="D2489" s="98"/>
      <c r="E2489" s="98"/>
      <c r="F2489" s="99"/>
      <c r="G2489" s="100"/>
      <c r="H2489" s="100"/>
    </row>
    <row r="2490" customHeight="1" spans="2:8">
      <c r="B2490" s="98"/>
      <c r="C2490" s="98"/>
      <c r="D2490" s="98"/>
      <c r="E2490" s="98"/>
      <c r="F2490" s="99"/>
      <c r="G2490" s="100"/>
      <c r="H2490" s="100"/>
    </row>
    <row r="2491" customHeight="1" spans="2:8">
      <c r="B2491" s="98"/>
      <c r="C2491" s="98"/>
      <c r="D2491" s="98"/>
      <c r="E2491" s="98"/>
      <c r="F2491" s="99"/>
      <c r="G2491" s="100"/>
      <c r="H2491" s="100"/>
    </row>
    <row r="2492" customHeight="1" spans="2:8">
      <c r="B2492" s="98"/>
      <c r="C2492" s="98"/>
      <c r="D2492" s="98"/>
      <c r="E2492" s="98"/>
      <c r="F2492" s="99"/>
      <c r="G2492" s="100"/>
      <c r="H2492" s="100"/>
    </row>
    <row r="2493" customHeight="1" spans="2:8">
      <c r="B2493" s="98"/>
      <c r="C2493" s="98"/>
      <c r="D2493" s="98"/>
      <c r="E2493" s="98"/>
      <c r="F2493" s="99"/>
      <c r="G2493" s="100"/>
      <c r="H2493" s="100"/>
    </row>
    <row r="2494" customHeight="1" spans="2:8">
      <c r="B2494" s="98"/>
      <c r="C2494" s="98"/>
      <c r="D2494" s="98"/>
      <c r="E2494" s="98"/>
      <c r="F2494" s="99"/>
      <c r="G2494" s="100"/>
      <c r="H2494" s="100"/>
    </row>
    <row r="2495" customHeight="1" spans="2:8">
      <c r="B2495" s="98"/>
      <c r="C2495" s="98"/>
      <c r="D2495" s="98"/>
      <c r="E2495" s="98"/>
      <c r="F2495" s="99"/>
      <c r="G2495" s="100"/>
      <c r="H2495" s="100"/>
    </row>
    <row r="2496" customHeight="1" spans="2:8">
      <c r="B2496" s="98"/>
      <c r="C2496" s="98"/>
      <c r="D2496" s="98"/>
      <c r="E2496" s="98"/>
      <c r="F2496" s="99"/>
      <c r="G2496" s="100"/>
      <c r="H2496" s="100"/>
    </row>
    <row r="2497" customHeight="1" spans="2:8">
      <c r="B2497" s="98"/>
      <c r="C2497" s="98"/>
      <c r="D2497" s="98"/>
      <c r="E2497" s="98"/>
      <c r="F2497" s="99"/>
      <c r="G2497" s="100"/>
      <c r="H2497" s="100"/>
    </row>
    <row r="2498" customHeight="1" spans="2:8">
      <c r="B2498" s="98"/>
      <c r="C2498" s="98"/>
      <c r="D2498" s="98"/>
      <c r="E2498" s="98"/>
      <c r="F2498" s="99"/>
      <c r="G2498" s="100"/>
      <c r="H2498" s="100"/>
    </row>
    <row r="2499" customHeight="1" spans="2:8">
      <c r="B2499" s="98"/>
      <c r="C2499" s="98"/>
      <c r="D2499" s="98"/>
      <c r="E2499" s="98"/>
      <c r="F2499" s="99"/>
      <c r="G2499" s="100"/>
      <c r="H2499" s="100"/>
    </row>
    <row r="2500" customHeight="1" spans="2:8">
      <c r="B2500" s="98"/>
      <c r="C2500" s="98"/>
      <c r="D2500" s="98"/>
      <c r="E2500" s="98"/>
      <c r="F2500" s="99"/>
      <c r="G2500" s="100"/>
      <c r="H2500" s="100"/>
    </row>
    <row r="2501" customHeight="1" spans="2:8">
      <c r="B2501" s="98"/>
      <c r="C2501" s="98"/>
      <c r="D2501" s="98"/>
      <c r="E2501" s="98"/>
      <c r="F2501" s="99"/>
      <c r="G2501" s="100"/>
      <c r="H2501" s="100"/>
    </row>
    <row r="2502" customHeight="1" spans="2:8">
      <c r="B2502" s="98"/>
      <c r="C2502" s="98"/>
      <c r="D2502" s="98"/>
      <c r="E2502" s="98"/>
      <c r="F2502" s="99"/>
      <c r="G2502" s="100"/>
      <c r="H2502" s="100"/>
    </row>
    <row r="2503" customHeight="1" spans="2:8">
      <c r="B2503" s="98"/>
      <c r="C2503" s="98"/>
      <c r="D2503" s="98"/>
      <c r="E2503" s="98"/>
      <c r="F2503" s="99"/>
      <c r="G2503" s="100"/>
      <c r="H2503" s="100"/>
    </row>
    <row r="2504" customHeight="1" spans="2:8">
      <c r="B2504" s="98"/>
      <c r="C2504" s="98"/>
      <c r="D2504" s="98"/>
      <c r="E2504" s="98"/>
      <c r="F2504" s="99"/>
      <c r="G2504" s="100"/>
      <c r="H2504" s="100"/>
    </row>
    <row r="2505" customHeight="1" spans="2:8">
      <c r="B2505" s="98"/>
      <c r="C2505" s="98"/>
      <c r="D2505" s="98"/>
      <c r="E2505" s="98"/>
      <c r="F2505" s="99"/>
      <c r="G2505" s="100"/>
      <c r="H2505" s="100"/>
    </row>
    <row r="2506" customHeight="1" spans="2:8">
      <c r="B2506" s="98"/>
      <c r="C2506" s="98"/>
      <c r="D2506" s="98"/>
      <c r="E2506" s="98"/>
      <c r="F2506" s="99"/>
      <c r="G2506" s="100"/>
      <c r="H2506" s="100"/>
    </row>
    <row r="2507" customHeight="1" spans="2:8">
      <c r="B2507" s="98"/>
      <c r="C2507" s="98"/>
      <c r="D2507" s="98"/>
      <c r="E2507" s="98"/>
      <c r="F2507" s="99"/>
      <c r="G2507" s="100"/>
      <c r="H2507" s="100"/>
    </row>
    <row r="2508" customHeight="1" spans="2:8">
      <c r="B2508" s="98"/>
      <c r="C2508" s="98"/>
      <c r="D2508" s="98"/>
      <c r="E2508" s="98"/>
      <c r="F2508" s="99"/>
      <c r="G2508" s="100"/>
      <c r="H2508" s="100"/>
    </row>
    <row r="2509" customHeight="1" spans="2:8">
      <c r="B2509" s="98"/>
      <c r="C2509" s="98"/>
      <c r="D2509" s="98"/>
      <c r="E2509" s="98"/>
      <c r="F2509" s="99"/>
      <c r="G2509" s="100"/>
      <c r="H2509" s="100"/>
    </row>
    <row r="2510" customHeight="1" spans="2:8">
      <c r="B2510" s="98"/>
      <c r="C2510" s="98"/>
      <c r="D2510" s="98"/>
      <c r="E2510" s="98"/>
      <c r="F2510" s="99"/>
      <c r="G2510" s="100"/>
      <c r="H2510" s="100"/>
    </row>
    <row r="2511" customHeight="1" spans="2:8">
      <c r="B2511" s="98"/>
      <c r="C2511" s="98"/>
      <c r="D2511" s="98"/>
      <c r="E2511" s="98"/>
      <c r="F2511" s="99"/>
      <c r="G2511" s="100"/>
      <c r="H2511" s="100"/>
    </row>
    <row r="2512" customHeight="1" spans="2:8">
      <c r="B2512" s="98"/>
      <c r="C2512" s="98"/>
      <c r="D2512" s="98"/>
      <c r="E2512" s="98"/>
      <c r="F2512" s="99"/>
      <c r="G2512" s="100"/>
      <c r="H2512" s="100"/>
    </row>
    <row r="2513" customHeight="1" spans="2:8">
      <c r="B2513" s="98"/>
      <c r="C2513" s="98"/>
      <c r="D2513" s="98"/>
      <c r="E2513" s="98"/>
      <c r="F2513" s="99"/>
      <c r="G2513" s="100"/>
      <c r="H2513" s="100"/>
    </row>
    <row r="2514" customHeight="1" spans="2:8">
      <c r="B2514" s="98"/>
      <c r="C2514" s="98"/>
      <c r="D2514" s="98"/>
      <c r="E2514" s="98"/>
      <c r="F2514" s="99"/>
      <c r="G2514" s="100"/>
      <c r="H2514" s="100"/>
    </row>
    <row r="2515" customHeight="1" spans="2:8">
      <c r="B2515" s="98"/>
      <c r="C2515" s="98"/>
      <c r="D2515" s="98"/>
      <c r="E2515" s="98"/>
      <c r="F2515" s="99"/>
      <c r="G2515" s="100"/>
      <c r="H2515" s="100"/>
    </row>
    <row r="2516" customHeight="1" spans="2:8">
      <c r="B2516" s="98"/>
      <c r="C2516" s="98"/>
      <c r="D2516" s="98"/>
      <c r="E2516" s="98"/>
      <c r="F2516" s="99"/>
      <c r="G2516" s="100"/>
      <c r="H2516" s="100"/>
    </row>
    <row r="2517" customHeight="1" spans="2:8">
      <c r="B2517" s="98"/>
      <c r="C2517" s="98"/>
      <c r="D2517" s="98"/>
      <c r="E2517" s="98"/>
      <c r="F2517" s="99"/>
      <c r="G2517" s="100"/>
      <c r="H2517" s="100"/>
    </row>
    <row r="2518" customHeight="1" spans="2:8">
      <c r="B2518" s="98"/>
      <c r="C2518" s="98"/>
      <c r="D2518" s="98"/>
      <c r="E2518" s="98"/>
      <c r="F2518" s="99"/>
      <c r="G2518" s="100"/>
      <c r="H2518" s="100"/>
    </row>
    <row r="2519" customHeight="1" spans="2:8">
      <c r="B2519" s="98"/>
      <c r="C2519" s="98"/>
      <c r="D2519" s="98"/>
      <c r="E2519" s="98"/>
      <c r="F2519" s="99"/>
      <c r="G2519" s="100"/>
      <c r="H2519" s="100"/>
    </row>
    <row r="2520" customHeight="1" spans="2:8">
      <c r="B2520" s="98"/>
      <c r="C2520" s="98"/>
      <c r="D2520" s="98"/>
      <c r="E2520" s="98"/>
      <c r="F2520" s="99"/>
      <c r="G2520" s="100"/>
      <c r="H2520" s="100"/>
    </row>
    <row r="2521" customHeight="1" spans="2:8">
      <c r="B2521" s="98"/>
      <c r="C2521" s="98"/>
      <c r="D2521" s="98"/>
      <c r="E2521" s="98"/>
      <c r="F2521" s="99"/>
      <c r="G2521" s="100"/>
      <c r="H2521" s="100"/>
    </row>
    <row r="2522" customHeight="1" spans="2:8">
      <c r="B2522" s="98"/>
      <c r="C2522" s="98"/>
      <c r="D2522" s="98"/>
      <c r="E2522" s="98"/>
      <c r="F2522" s="99"/>
      <c r="G2522" s="100"/>
      <c r="H2522" s="100"/>
    </row>
    <row r="2523" customHeight="1" spans="2:8">
      <c r="B2523" s="98"/>
      <c r="C2523" s="98"/>
      <c r="D2523" s="98"/>
      <c r="E2523" s="98"/>
      <c r="F2523" s="99"/>
      <c r="G2523" s="100"/>
      <c r="H2523" s="100"/>
    </row>
    <row r="2524" customHeight="1" spans="2:8">
      <c r="B2524" s="98"/>
      <c r="C2524" s="98"/>
      <c r="D2524" s="98"/>
      <c r="E2524" s="98"/>
      <c r="F2524" s="99"/>
      <c r="G2524" s="100"/>
      <c r="H2524" s="100"/>
    </row>
    <row r="2525" customHeight="1" spans="2:8">
      <c r="B2525" s="98"/>
      <c r="C2525" s="98"/>
      <c r="D2525" s="98"/>
      <c r="E2525" s="98"/>
      <c r="F2525" s="99"/>
      <c r="G2525" s="100"/>
      <c r="H2525" s="100"/>
    </row>
    <row r="2526" customHeight="1" spans="2:8">
      <c r="B2526" s="98"/>
      <c r="C2526" s="98"/>
      <c r="D2526" s="98"/>
      <c r="E2526" s="98"/>
      <c r="F2526" s="99"/>
      <c r="G2526" s="100"/>
      <c r="H2526" s="100"/>
    </row>
    <row r="2527" customHeight="1" spans="2:8">
      <c r="B2527" s="98"/>
      <c r="C2527" s="98"/>
      <c r="D2527" s="98"/>
      <c r="E2527" s="98"/>
      <c r="F2527" s="99"/>
      <c r="G2527" s="100"/>
      <c r="H2527" s="100"/>
    </row>
    <row r="2528" customHeight="1" spans="2:8">
      <c r="B2528" s="98"/>
      <c r="C2528" s="98"/>
      <c r="D2528" s="98"/>
      <c r="E2528" s="98"/>
      <c r="F2528" s="99"/>
      <c r="G2528" s="100"/>
      <c r="H2528" s="100"/>
    </row>
    <row r="2529" customHeight="1" spans="2:8">
      <c r="B2529" s="98"/>
      <c r="C2529" s="98"/>
      <c r="D2529" s="98"/>
      <c r="E2529" s="98"/>
      <c r="F2529" s="99"/>
      <c r="G2529" s="100"/>
      <c r="H2529" s="100"/>
    </row>
    <row r="2530" customHeight="1" spans="2:8">
      <c r="B2530" s="98"/>
      <c r="C2530" s="98"/>
      <c r="D2530" s="98"/>
      <c r="E2530" s="98"/>
      <c r="F2530" s="99"/>
      <c r="G2530" s="100"/>
      <c r="H2530" s="100"/>
    </row>
    <row r="2531" customHeight="1" spans="2:8">
      <c r="B2531" s="98"/>
      <c r="C2531" s="98"/>
      <c r="D2531" s="98"/>
      <c r="E2531" s="98"/>
      <c r="F2531" s="99"/>
      <c r="G2531" s="100"/>
      <c r="H2531" s="100"/>
    </row>
    <row r="2532" customHeight="1" spans="2:8">
      <c r="B2532" s="98"/>
      <c r="C2532" s="98"/>
      <c r="D2532" s="98"/>
      <c r="E2532" s="98"/>
      <c r="F2532" s="99"/>
      <c r="G2532" s="100"/>
      <c r="H2532" s="100"/>
    </row>
    <row r="2533" customHeight="1" spans="2:8">
      <c r="B2533" s="98"/>
      <c r="C2533" s="98"/>
      <c r="D2533" s="98"/>
      <c r="E2533" s="98"/>
      <c r="F2533" s="99"/>
      <c r="G2533" s="100"/>
      <c r="H2533" s="100"/>
    </row>
    <row r="2534" customHeight="1" spans="2:8">
      <c r="B2534" s="98"/>
      <c r="C2534" s="98"/>
      <c r="D2534" s="98"/>
      <c r="E2534" s="98"/>
      <c r="F2534" s="99"/>
      <c r="G2534" s="100"/>
      <c r="H2534" s="100"/>
    </row>
    <row r="2535" customHeight="1" spans="2:8">
      <c r="B2535" s="98"/>
      <c r="C2535" s="98"/>
      <c r="D2535" s="98"/>
      <c r="E2535" s="98"/>
      <c r="F2535" s="99"/>
      <c r="G2535" s="100"/>
      <c r="H2535" s="100"/>
    </row>
    <row r="2536" customHeight="1" spans="2:8">
      <c r="B2536" s="98"/>
      <c r="C2536" s="98"/>
      <c r="D2536" s="98"/>
      <c r="E2536" s="98"/>
      <c r="F2536" s="99"/>
      <c r="G2536" s="100"/>
      <c r="H2536" s="100"/>
    </row>
    <row r="2537" customHeight="1" spans="2:8">
      <c r="B2537" s="98"/>
      <c r="C2537" s="98"/>
      <c r="D2537" s="98"/>
      <c r="E2537" s="98"/>
      <c r="F2537" s="99"/>
      <c r="G2537" s="100"/>
      <c r="H2537" s="100"/>
    </row>
    <row r="2538" customHeight="1" spans="2:8">
      <c r="B2538" s="98"/>
      <c r="C2538" s="98"/>
      <c r="D2538" s="98"/>
      <c r="E2538" s="98"/>
      <c r="F2538" s="99"/>
      <c r="G2538" s="100"/>
      <c r="H2538" s="100"/>
    </row>
    <row r="2539" customHeight="1" spans="2:8">
      <c r="B2539" s="98"/>
      <c r="C2539" s="98"/>
      <c r="D2539" s="98"/>
      <c r="E2539" s="98"/>
      <c r="F2539" s="99"/>
      <c r="G2539" s="100"/>
      <c r="H2539" s="100"/>
    </row>
    <row r="2540" customHeight="1" spans="2:8">
      <c r="B2540" s="98"/>
      <c r="C2540" s="98"/>
      <c r="D2540" s="98"/>
      <c r="E2540" s="98"/>
      <c r="F2540" s="99"/>
      <c r="G2540" s="100"/>
      <c r="H2540" s="100"/>
    </row>
    <row r="2541" customHeight="1" spans="2:8">
      <c r="B2541" s="98"/>
      <c r="C2541" s="98"/>
      <c r="D2541" s="98"/>
      <c r="E2541" s="98"/>
      <c r="F2541" s="99"/>
      <c r="G2541" s="100"/>
      <c r="H2541" s="100"/>
    </row>
    <row r="2542" customHeight="1" spans="2:8">
      <c r="B2542" s="98"/>
      <c r="C2542" s="98"/>
      <c r="D2542" s="98"/>
      <c r="E2542" s="98"/>
      <c r="F2542" s="99"/>
      <c r="G2542" s="100"/>
      <c r="H2542" s="100"/>
    </row>
    <row r="2543" customHeight="1" spans="2:8">
      <c r="B2543" s="98"/>
      <c r="C2543" s="98"/>
      <c r="D2543" s="98"/>
      <c r="E2543" s="98"/>
      <c r="F2543" s="99"/>
      <c r="G2543" s="100"/>
      <c r="H2543" s="100"/>
    </row>
    <row r="2544" customHeight="1" spans="2:8">
      <c r="B2544" s="98"/>
      <c r="C2544" s="98"/>
      <c r="D2544" s="98"/>
      <c r="E2544" s="98"/>
      <c r="F2544" s="99"/>
      <c r="G2544" s="100"/>
      <c r="H2544" s="100"/>
    </row>
    <row r="2545" customHeight="1" spans="2:8">
      <c r="B2545" s="98"/>
      <c r="C2545" s="98"/>
      <c r="D2545" s="98"/>
      <c r="E2545" s="98"/>
      <c r="F2545" s="99"/>
      <c r="G2545" s="100"/>
      <c r="H2545" s="100"/>
    </row>
    <row r="2546" customHeight="1" spans="2:8">
      <c r="B2546" s="98"/>
      <c r="C2546" s="98"/>
      <c r="D2546" s="98"/>
      <c r="E2546" s="98"/>
      <c r="F2546" s="99"/>
      <c r="G2546" s="100"/>
      <c r="H2546" s="100"/>
    </row>
    <row r="2547" customHeight="1" spans="2:8">
      <c r="B2547" s="98"/>
      <c r="C2547" s="98"/>
      <c r="D2547" s="98"/>
      <c r="E2547" s="98"/>
      <c r="F2547" s="99"/>
      <c r="G2547" s="100"/>
      <c r="H2547" s="100"/>
    </row>
    <row r="2548" customHeight="1" spans="2:8">
      <c r="B2548" s="98"/>
      <c r="C2548" s="98"/>
      <c r="D2548" s="98"/>
      <c r="E2548" s="98"/>
      <c r="F2548" s="99"/>
      <c r="G2548" s="100"/>
      <c r="H2548" s="100"/>
    </row>
    <row r="2549" customHeight="1" spans="2:8">
      <c r="B2549" s="98"/>
      <c r="C2549" s="98"/>
      <c r="D2549" s="98"/>
      <c r="E2549" s="98"/>
      <c r="F2549" s="99"/>
      <c r="G2549" s="100"/>
      <c r="H2549" s="100"/>
    </row>
    <row r="2550" customHeight="1" spans="2:8">
      <c r="B2550" s="98"/>
      <c r="C2550" s="98"/>
      <c r="D2550" s="98"/>
      <c r="E2550" s="98"/>
      <c r="F2550" s="99"/>
      <c r="G2550" s="100"/>
      <c r="H2550" s="100"/>
    </row>
    <row r="2551" customHeight="1" spans="2:8">
      <c r="B2551" s="98"/>
      <c r="C2551" s="98"/>
      <c r="D2551" s="98"/>
      <c r="E2551" s="98"/>
      <c r="F2551" s="99"/>
      <c r="G2551" s="100"/>
      <c r="H2551" s="100"/>
    </row>
    <row r="2552" customHeight="1" spans="2:8">
      <c r="B2552" s="98"/>
      <c r="C2552" s="98"/>
      <c r="D2552" s="98"/>
      <c r="E2552" s="98"/>
      <c r="F2552" s="99"/>
      <c r="G2552" s="100"/>
      <c r="H2552" s="100"/>
    </row>
    <row r="2553" customHeight="1" spans="2:8">
      <c r="B2553" s="98"/>
      <c r="C2553" s="98"/>
      <c r="D2553" s="98"/>
      <c r="E2553" s="98"/>
      <c r="F2553" s="99"/>
      <c r="G2553" s="100"/>
      <c r="H2553" s="100"/>
    </row>
    <row r="2554" customHeight="1" spans="2:8">
      <c r="B2554" s="98"/>
      <c r="C2554" s="98"/>
      <c r="D2554" s="98"/>
      <c r="E2554" s="98"/>
      <c r="F2554" s="99"/>
      <c r="G2554" s="100"/>
      <c r="H2554" s="100"/>
    </row>
    <row r="2555" customHeight="1" spans="2:8">
      <c r="B2555" s="98"/>
      <c r="C2555" s="98"/>
      <c r="D2555" s="98"/>
      <c r="E2555" s="98"/>
      <c r="F2555" s="99"/>
      <c r="G2555" s="100"/>
      <c r="H2555" s="100"/>
    </row>
    <row r="2556" customHeight="1" spans="2:8">
      <c r="B2556" s="98"/>
      <c r="C2556" s="98"/>
      <c r="D2556" s="98"/>
      <c r="E2556" s="98"/>
      <c r="F2556" s="99"/>
      <c r="G2556" s="100"/>
      <c r="H2556" s="100"/>
    </row>
    <row r="2557" customHeight="1" spans="2:8">
      <c r="B2557" s="98"/>
      <c r="C2557" s="98"/>
      <c r="D2557" s="98"/>
      <c r="E2557" s="98"/>
      <c r="F2557" s="99"/>
      <c r="G2557" s="100"/>
      <c r="H2557" s="100"/>
    </row>
    <row r="2558" customHeight="1" spans="2:8">
      <c r="B2558" s="98"/>
      <c r="C2558" s="98"/>
      <c r="D2558" s="98"/>
      <c r="E2558" s="98"/>
      <c r="F2558" s="99"/>
      <c r="G2558" s="100"/>
      <c r="H2558" s="100"/>
    </row>
    <row r="2559" customHeight="1" spans="2:8">
      <c r="B2559" s="98"/>
      <c r="C2559" s="98"/>
      <c r="D2559" s="98"/>
      <c r="E2559" s="98"/>
      <c r="F2559" s="99"/>
      <c r="G2559" s="100"/>
      <c r="H2559" s="100"/>
    </row>
    <row r="2560" customHeight="1" spans="2:8">
      <c r="B2560" s="98"/>
      <c r="C2560" s="98"/>
      <c r="D2560" s="98"/>
      <c r="E2560" s="98"/>
      <c r="F2560" s="99"/>
      <c r="G2560" s="100"/>
      <c r="H2560" s="100"/>
    </row>
    <row r="2561" customHeight="1" spans="2:8">
      <c r="B2561" s="98"/>
      <c r="C2561" s="98"/>
      <c r="D2561" s="98"/>
      <c r="E2561" s="98"/>
      <c r="F2561" s="99"/>
      <c r="G2561" s="100"/>
      <c r="H2561" s="100"/>
    </row>
    <row r="2562" customHeight="1" spans="2:8">
      <c r="B2562" s="98"/>
      <c r="C2562" s="98"/>
      <c r="D2562" s="98"/>
      <c r="E2562" s="98"/>
      <c r="F2562" s="99"/>
      <c r="G2562" s="100"/>
      <c r="H2562" s="100"/>
    </row>
    <row r="2563" customHeight="1" spans="2:8">
      <c r="B2563" s="98"/>
      <c r="C2563" s="98"/>
      <c r="D2563" s="98"/>
      <c r="E2563" s="98"/>
      <c r="F2563" s="99"/>
      <c r="G2563" s="100"/>
      <c r="H2563" s="100"/>
    </row>
    <row r="2564" customHeight="1" spans="2:8">
      <c r="B2564" s="98"/>
      <c r="C2564" s="98"/>
      <c r="D2564" s="98"/>
      <c r="E2564" s="98"/>
      <c r="F2564" s="99"/>
      <c r="G2564" s="100"/>
      <c r="H2564" s="100"/>
    </row>
    <row r="2565" customHeight="1" spans="2:8">
      <c r="B2565" s="98"/>
      <c r="C2565" s="98"/>
      <c r="D2565" s="98"/>
      <c r="E2565" s="98"/>
      <c r="F2565" s="99"/>
      <c r="G2565" s="100"/>
      <c r="H2565" s="100"/>
    </row>
    <row r="2566" customHeight="1" spans="2:8">
      <c r="B2566" s="98"/>
      <c r="C2566" s="98"/>
      <c r="D2566" s="98"/>
      <c r="E2566" s="98"/>
      <c r="F2566" s="99"/>
      <c r="G2566" s="100"/>
      <c r="H2566" s="100"/>
    </row>
    <row r="2567" customHeight="1" spans="2:8">
      <c r="B2567" s="98"/>
      <c r="C2567" s="98"/>
      <c r="D2567" s="98"/>
      <c r="E2567" s="98"/>
      <c r="F2567" s="99"/>
      <c r="G2567" s="100"/>
      <c r="H2567" s="100"/>
    </row>
    <row r="2568" customHeight="1" spans="2:8">
      <c r="B2568" s="98"/>
      <c r="C2568" s="98"/>
      <c r="D2568" s="98"/>
      <c r="E2568" s="98"/>
      <c r="F2568" s="99"/>
      <c r="G2568" s="100"/>
      <c r="H2568" s="100"/>
    </row>
    <row r="2569" customHeight="1" spans="2:8">
      <c r="B2569" s="98"/>
      <c r="C2569" s="98"/>
      <c r="D2569" s="98"/>
      <c r="E2569" s="98"/>
      <c r="F2569" s="99"/>
      <c r="G2569" s="100"/>
      <c r="H2569" s="100"/>
    </row>
    <row r="2570" customHeight="1" spans="2:8">
      <c r="B2570" s="98"/>
      <c r="C2570" s="98"/>
      <c r="D2570" s="98"/>
      <c r="E2570" s="98"/>
      <c r="F2570" s="99"/>
      <c r="G2570" s="100"/>
      <c r="H2570" s="100"/>
    </row>
    <row r="2571" customHeight="1" spans="2:8">
      <c r="B2571" s="98"/>
      <c r="C2571" s="98"/>
      <c r="D2571" s="98"/>
      <c r="E2571" s="98"/>
      <c r="F2571" s="99"/>
      <c r="G2571" s="100"/>
      <c r="H2571" s="100"/>
    </row>
    <row r="2572" customHeight="1" spans="2:8">
      <c r="B2572" s="98"/>
      <c r="C2572" s="98"/>
      <c r="D2572" s="98"/>
      <c r="E2572" s="98"/>
      <c r="F2572" s="99"/>
      <c r="G2572" s="100"/>
      <c r="H2572" s="100"/>
    </row>
    <row r="2573" customHeight="1" spans="2:8">
      <c r="B2573" s="98"/>
      <c r="C2573" s="98"/>
      <c r="D2573" s="98"/>
      <c r="E2573" s="98"/>
      <c r="F2573" s="99"/>
      <c r="G2573" s="100"/>
      <c r="H2573" s="100"/>
    </row>
    <row r="2574" customHeight="1" spans="2:8">
      <c r="B2574" s="98"/>
      <c r="C2574" s="98"/>
      <c r="D2574" s="98"/>
      <c r="E2574" s="98"/>
      <c r="F2574" s="99"/>
      <c r="G2574" s="100"/>
      <c r="H2574" s="100"/>
    </row>
    <row r="2575" customHeight="1" spans="2:8">
      <c r="B2575" s="98"/>
      <c r="C2575" s="98"/>
      <c r="D2575" s="98"/>
      <c r="E2575" s="98"/>
      <c r="F2575" s="99"/>
      <c r="G2575" s="100"/>
      <c r="H2575" s="100"/>
    </row>
    <row r="2576" customHeight="1" spans="2:8">
      <c r="B2576" s="98"/>
      <c r="C2576" s="98"/>
      <c r="D2576" s="98"/>
      <c r="E2576" s="98"/>
      <c r="F2576" s="99"/>
      <c r="G2576" s="100"/>
      <c r="H2576" s="100"/>
    </row>
    <row r="2577" customHeight="1" spans="2:8">
      <c r="B2577" s="98"/>
      <c r="C2577" s="98"/>
      <c r="D2577" s="98"/>
      <c r="E2577" s="98"/>
      <c r="F2577" s="99"/>
      <c r="G2577" s="100"/>
      <c r="H2577" s="100"/>
    </row>
    <row r="2578" customHeight="1" spans="2:8">
      <c r="B2578" s="98"/>
      <c r="C2578" s="98"/>
      <c r="D2578" s="98"/>
      <c r="E2578" s="98"/>
      <c r="F2578" s="99"/>
      <c r="G2578" s="100"/>
      <c r="H2578" s="100"/>
    </row>
    <row r="2579" customHeight="1" spans="2:8">
      <c r="B2579" s="98"/>
      <c r="C2579" s="98"/>
      <c r="D2579" s="98"/>
      <c r="E2579" s="98"/>
      <c r="F2579" s="99"/>
      <c r="G2579" s="100"/>
      <c r="H2579" s="100"/>
    </row>
    <row r="2580" customHeight="1" spans="2:8">
      <c r="B2580" s="98"/>
      <c r="C2580" s="98"/>
      <c r="D2580" s="98"/>
      <c r="E2580" s="98"/>
      <c r="F2580" s="99"/>
      <c r="G2580" s="100"/>
      <c r="H2580" s="100"/>
    </row>
    <row r="2581" customHeight="1" spans="2:8">
      <c r="B2581" s="98"/>
      <c r="C2581" s="98"/>
      <c r="D2581" s="98"/>
      <c r="E2581" s="98"/>
      <c r="F2581" s="99"/>
      <c r="G2581" s="100"/>
      <c r="H2581" s="100"/>
    </row>
    <row r="2582" customHeight="1" spans="2:8">
      <c r="B2582" s="98"/>
      <c r="C2582" s="98"/>
      <c r="D2582" s="98"/>
      <c r="E2582" s="98"/>
      <c r="F2582" s="99"/>
      <c r="G2582" s="100"/>
      <c r="H2582" s="100"/>
    </row>
    <row r="2583" customHeight="1" spans="2:8">
      <c r="B2583" s="98"/>
      <c r="C2583" s="98"/>
      <c r="D2583" s="98"/>
      <c r="E2583" s="98"/>
      <c r="F2583" s="99"/>
      <c r="G2583" s="100"/>
      <c r="H2583" s="100"/>
    </row>
    <row r="2584" customHeight="1" spans="2:8">
      <c r="B2584" s="98"/>
      <c r="C2584" s="98"/>
      <c r="D2584" s="98"/>
      <c r="E2584" s="98"/>
      <c r="F2584" s="99"/>
      <c r="G2584" s="100"/>
      <c r="H2584" s="100"/>
    </row>
    <row r="2585" customHeight="1" spans="2:8">
      <c r="B2585" s="98"/>
      <c r="C2585" s="98"/>
      <c r="D2585" s="98"/>
      <c r="E2585" s="98"/>
      <c r="F2585" s="99"/>
      <c r="G2585" s="100"/>
      <c r="H2585" s="100"/>
    </row>
    <row r="2586" customHeight="1" spans="2:8">
      <c r="B2586" s="98"/>
      <c r="C2586" s="98"/>
      <c r="D2586" s="98"/>
      <c r="E2586" s="98"/>
      <c r="F2586" s="99"/>
      <c r="G2586" s="100"/>
      <c r="H2586" s="100"/>
    </row>
    <row r="2587" customHeight="1" spans="2:8">
      <c r="B2587" s="98"/>
      <c r="C2587" s="98"/>
      <c r="D2587" s="98"/>
      <c r="E2587" s="98"/>
      <c r="F2587" s="99"/>
      <c r="G2587" s="100"/>
      <c r="H2587" s="100"/>
    </row>
    <row r="2588" customHeight="1" spans="2:8">
      <c r="B2588" s="98"/>
      <c r="C2588" s="98"/>
      <c r="D2588" s="98"/>
      <c r="E2588" s="98"/>
      <c r="F2588" s="99"/>
      <c r="G2588" s="100"/>
      <c r="H2588" s="100"/>
    </row>
    <row r="2589" customHeight="1" spans="2:8">
      <c r="B2589" s="98"/>
      <c r="C2589" s="98"/>
      <c r="D2589" s="98"/>
      <c r="E2589" s="98"/>
      <c r="F2589" s="99"/>
      <c r="G2589" s="100"/>
      <c r="H2589" s="100"/>
    </row>
    <row r="2590" customHeight="1" spans="2:8">
      <c r="B2590" s="98"/>
      <c r="C2590" s="98"/>
      <c r="D2590" s="98"/>
      <c r="E2590" s="98"/>
      <c r="F2590" s="99"/>
      <c r="G2590" s="100"/>
      <c r="H2590" s="100"/>
    </row>
    <row r="2591" customHeight="1" spans="2:8">
      <c r="B2591" s="98"/>
      <c r="C2591" s="98"/>
      <c r="D2591" s="98"/>
      <c r="E2591" s="98"/>
      <c r="F2591" s="99"/>
      <c r="G2591" s="100"/>
      <c r="H2591" s="100"/>
    </row>
    <row r="2592" customHeight="1" spans="2:8">
      <c r="B2592" s="98"/>
      <c r="C2592" s="98"/>
      <c r="D2592" s="98"/>
      <c r="E2592" s="98"/>
      <c r="F2592" s="99"/>
      <c r="G2592" s="100"/>
      <c r="H2592" s="100"/>
    </row>
    <row r="2593" customHeight="1" spans="2:8">
      <c r="B2593" s="98"/>
      <c r="C2593" s="98"/>
      <c r="D2593" s="98"/>
      <c r="E2593" s="98"/>
      <c r="F2593" s="99"/>
      <c r="G2593" s="100"/>
      <c r="H2593" s="100"/>
    </row>
    <row r="2594" customHeight="1" spans="2:8">
      <c r="B2594" s="98"/>
      <c r="C2594" s="98"/>
      <c r="D2594" s="98"/>
      <c r="E2594" s="98"/>
      <c r="F2594" s="99"/>
      <c r="G2594" s="100"/>
      <c r="H2594" s="100"/>
    </row>
    <row r="2595" customHeight="1" spans="2:8">
      <c r="B2595" s="98"/>
      <c r="C2595" s="98"/>
      <c r="D2595" s="98"/>
      <c r="E2595" s="98"/>
      <c r="F2595" s="99"/>
      <c r="G2595" s="100"/>
      <c r="H2595" s="100"/>
    </row>
    <row r="2596" customHeight="1" spans="2:8">
      <c r="B2596" s="98"/>
      <c r="C2596" s="98"/>
      <c r="D2596" s="98"/>
      <c r="E2596" s="98"/>
      <c r="F2596" s="99"/>
      <c r="G2596" s="100"/>
      <c r="H2596" s="100"/>
    </row>
    <row r="2597" customHeight="1" spans="2:8">
      <c r="B2597" s="98"/>
      <c r="C2597" s="98"/>
      <c r="D2597" s="98"/>
      <c r="E2597" s="98"/>
      <c r="F2597" s="99"/>
      <c r="G2597" s="100"/>
      <c r="H2597" s="100"/>
    </row>
    <row r="2598" customHeight="1" spans="2:8">
      <c r="B2598" s="98"/>
      <c r="C2598" s="98"/>
      <c r="D2598" s="98"/>
      <c r="E2598" s="98"/>
      <c r="F2598" s="99"/>
      <c r="G2598" s="100"/>
      <c r="H2598" s="100"/>
    </row>
    <row r="2599" customHeight="1" spans="2:8">
      <c r="B2599" s="98"/>
      <c r="C2599" s="98"/>
      <c r="D2599" s="98"/>
      <c r="E2599" s="98"/>
      <c r="F2599" s="99"/>
      <c r="G2599" s="100"/>
      <c r="H2599" s="100"/>
    </row>
    <row r="2600" customHeight="1" spans="2:8">
      <c r="B2600" s="98"/>
      <c r="C2600" s="98"/>
      <c r="D2600" s="98"/>
      <c r="E2600" s="98"/>
      <c r="F2600" s="99"/>
      <c r="G2600" s="100"/>
      <c r="H2600" s="100"/>
    </row>
    <row r="2601" customHeight="1" spans="2:8">
      <c r="B2601" s="98"/>
      <c r="C2601" s="98"/>
      <c r="D2601" s="98"/>
      <c r="E2601" s="98"/>
      <c r="F2601" s="99"/>
      <c r="G2601" s="100"/>
      <c r="H2601" s="100"/>
    </row>
    <row r="2602" customHeight="1" spans="2:8">
      <c r="B2602" s="98"/>
      <c r="C2602" s="98"/>
      <c r="D2602" s="98"/>
      <c r="E2602" s="98"/>
      <c r="F2602" s="99"/>
      <c r="G2602" s="100"/>
      <c r="H2602" s="100"/>
    </row>
    <row r="2603" customHeight="1" spans="2:8">
      <c r="B2603" s="98"/>
      <c r="C2603" s="98"/>
      <c r="D2603" s="98"/>
      <c r="E2603" s="98"/>
      <c r="F2603" s="99"/>
      <c r="G2603" s="100"/>
      <c r="H2603" s="100"/>
    </row>
    <row r="2604" customHeight="1" spans="2:8">
      <c r="B2604" s="98"/>
      <c r="C2604" s="98"/>
      <c r="D2604" s="98"/>
      <c r="E2604" s="98"/>
      <c r="F2604" s="99"/>
      <c r="G2604" s="100"/>
      <c r="H2604" s="100"/>
    </row>
    <row r="2605" customHeight="1" spans="2:8">
      <c r="B2605" s="98"/>
      <c r="C2605" s="98"/>
      <c r="D2605" s="98"/>
      <c r="E2605" s="98"/>
      <c r="F2605" s="99"/>
      <c r="G2605" s="100"/>
      <c r="H2605" s="100"/>
    </row>
    <row r="2606" customHeight="1" spans="2:8">
      <c r="B2606" s="98"/>
      <c r="C2606" s="98"/>
      <c r="D2606" s="98"/>
      <c r="E2606" s="98"/>
      <c r="F2606" s="99"/>
      <c r="G2606" s="100"/>
      <c r="H2606" s="100"/>
    </row>
    <row r="2607" customHeight="1" spans="2:8">
      <c r="B2607" s="98"/>
      <c r="C2607" s="98"/>
      <c r="D2607" s="98"/>
      <c r="E2607" s="98"/>
      <c r="F2607" s="99"/>
      <c r="G2607" s="100"/>
      <c r="H2607" s="100"/>
    </row>
    <row r="2608" customHeight="1" spans="2:8">
      <c r="B2608" s="98"/>
      <c r="C2608" s="98"/>
      <c r="D2608" s="98"/>
      <c r="E2608" s="98"/>
      <c r="F2608" s="99"/>
      <c r="G2608" s="100"/>
      <c r="H2608" s="100"/>
    </row>
    <row r="2609" customHeight="1" spans="2:8">
      <c r="B2609" s="98"/>
      <c r="C2609" s="98"/>
      <c r="D2609" s="98"/>
      <c r="E2609" s="98"/>
      <c r="F2609" s="99"/>
      <c r="G2609" s="100"/>
      <c r="H2609" s="100"/>
    </row>
    <row r="2610" customHeight="1" spans="2:8">
      <c r="B2610" s="98"/>
      <c r="C2610" s="98"/>
      <c r="D2610" s="98"/>
      <c r="E2610" s="98"/>
      <c r="F2610" s="99"/>
      <c r="G2610" s="100"/>
      <c r="H2610" s="100"/>
    </row>
    <row r="2611" customHeight="1" spans="2:8">
      <c r="B2611" s="98"/>
      <c r="C2611" s="98"/>
      <c r="D2611" s="98"/>
      <c r="E2611" s="98"/>
      <c r="F2611" s="99"/>
      <c r="G2611" s="100"/>
      <c r="H2611" s="100"/>
    </row>
    <row r="2612" customHeight="1" spans="2:8">
      <c r="B2612" s="98"/>
      <c r="C2612" s="98"/>
      <c r="D2612" s="98"/>
      <c r="E2612" s="98"/>
      <c r="F2612" s="99"/>
      <c r="G2612" s="100"/>
      <c r="H2612" s="100"/>
    </row>
    <row r="2613" customHeight="1" spans="2:8">
      <c r="B2613" s="98"/>
      <c r="C2613" s="98"/>
      <c r="D2613" s="98"/>
      <c r="E2613" s="98"/>
      <c r="F2613" s="99"/>
      <c r="G2613" s="100"/>
      <c r="H2613" s="100"/>
    </row>
    <row r="2614" customHeight="1" spans="2:8">
      <c r="B2614" s="98"/>
      <c r="C2614" s="98"/>
      <c r="D2614" s="98"/>
      <c r="E2614" s="98"/>
      <c r="F2614" s="99"/>
      <c r="G2614" s="100"/>
      <c r="H2614" s="100"/>
    </row>
    <row r="2615" customHeight="1" spans="2:8">
      <c r="B2615" s="98"/>
      <c r="C2615" s="98"/>
      <c r="D2615" s="98"/>
      <c r="E2615" s="98"/>
      <c r="F2615" s="99"/>
      <c r="G2615" s="100"/>
      <c r="H2615" s="100"/>
    </row>
    <row r="2616" customHeight="1" spans="2:8">
      <c r="B2616" s="98"/>
      <c r="C2616" s="98"/>
      <c r="D2616" s="98"/>
      <c r="E2616" s="98"/>
      <c r="F2616" s="99"/>
      <c r="G2616" s="100"/>
      <c r="H2616" s="100"/>
    </row>
    <row r="2617" customHeight="1" spans="2:8">
      <c r="B2617" s="98"/>
      <c r="C2617" s="98"/>
      <c r="D2617" s="98"/>
      <c r="E2617" s="98"/>
      <c r="F2617" s="99"/>
      <c r="G2617" s="100"/>
      <c r="H2617" s="100"/>
    </row>
    <row r="2618" customHeight="1" spans="2:8">
      <c r="B2618" s="98"/>
      <c r="C2618" s="98"/>
      <c r="D2618" s="98"/>
      <c r="E2618" s="98"/>
      <c r="F2618" s="99"/>
      <c r="G2618" s="100"/>
      <c r="H2618" s="100"/>
    </row>
    <row r="2619" customHeight="1" spans="2:8">
      <c r="B2619" s="98"/>
      <c r="C2619" s="98"/>
      <c r="D2619" s="98"/>
      <c r="E2619" s="98"/>
      <c r="F2619" s="99"/>
      <c r="G2619" s="100"/>
      <c r="H2619" s="100"/>
    </row>
    <row r="2620" customHeight="1" spans="2:8">
      <c r="B2620" s="98"/>
      <c r="C2620" s="98"/>
      <c r="D2620" s="98"/>
      <c r="E2620" s="98"/>
      <c r="F2620" s="99"/>
      <c r="G2620" s="100"/>
      <c r="H2620" s="100"/>
    </row>
    <row r="2621" customHeight="1" spans="2:8">
      <c r="B2621" s="98"/>
      <c r="C2621" s="98"/>
      <c r="D2621" s="98"/>
      <c r="E2621" s="98"/>
      <c r="F2621" s="99"/>
      <c r="G2621" s="100"/>
      <c r="H2621" s="100"/>
    </row>
    <row r="2622" customHeight="1" spans="2:8">
      <c r="B2622" s="98"/>
      <c r="C2622" s="98"/>
      <c r="D2622" s="98"/>
      <c r="E2622" s="98"/>
      <c r="F2622" s="99"/>
      <c r="G2622" s="100"/>
      <c r="H2622" s="100"/>
    </row>
    <row r="2623" customHeight="1" spans="2:8">
      <c r="B2623" s="98"/>
      <c r="C2623" s="98"/>
      <c r="D2623" s="98"/>
      <c r="E2623" s="98"/>
      <c r="F2623" s="99"/>
      <c r="G2623" s="100"/>
      <c r="H2623" s="100"/>
    </row>
    <row r="2624" customHeight="1" spans="2:8">
      <c r="B2624" s="98"/>
      <c r="C2624" s="98"/>
      <c r="D2624" s="98"/>
      <c r="E2624" s="98"/>
      <c r="F2624" s="99"/>
      <c r="G2624" s="100"/>
      <c r="H2624" s="100"/>
    </row>
    <row r="2625" customHeight="1" spans="2:8">
      <c r="B2625" s="98"/>
      <c r="C2625" s="98"/>
      <c r="D2625" s="98"/>
      <c r="E2625" s="98"/>
      <c r="F2625" s="99"/>
      <c r="G2625" s="100"/>
      <c r="H2625" s="100"/>
    </row>
    <row r="2626" customHeight="1" spans="2:8">
      <c r="B2626" s="98"/>
      <c r="C2626" s="98"/>
      <c r="D2626" s="98"/>
      <c r="E2626" s="98"/>
      <c r="F2626" s="99"/>
      <c r="G2626" s="100"/>
      <c r="H2626" s="100"/>
    </row>
    <row r="2627" customHeight="1" spans="2:8">
      <c r="B2627" s="98"/>
      <c r="C2627" s="98"/>
      <c r="D2627" s="98"/>
      <c r="E2627" s="98"/>
      <c r="F2627" s="99"/>
      <c r="G2627" s="100"/>
      <c r="H2627" s="100"/>
    </row>
    <row r="2628" customHeight="1" spans="2:8">
      <c r="B2628" s="98"/>
      <c r="C2628" s="98"/>
      <c r="D2628" s="98"/>
      <c r="E2628" s="98"/>
      <c r="F2628" s="99"/>
      <c r="G2628" s="100"/>
      <c r="H2628" s="100"/>
    </row>
    <row r="2629" customHeight="1" spans="2:8">
      <c r="B2629" s="98"/>
      <c r="C2629" s="98"/>
      <c r="D2629" s="98"/>
      <c r="E2629" s="98"/>
      <c r="F2629" s="99"/>
      <c r="G2629" s="100"/>
      <c r="H2629" s="100"/>
    </row>
    <row r="2630" customHeight="1" spans="2:8">
      <c r="B2630" s="98"/>
      <c r="C2630" s="98"/>
      <c r="D2630" s="98"/>
      <c r="E2630" s="98"/>
      <c r="F2630" s="99"/>
      <c r="G2630" s="100"/>
      <c r="H2630" s="100"/>
    </row>
    <row r="2631" customHeight="1" spans="2:8">
      <c r="B2631" s="98"/>
      <c r="C2631" s="98"/>
      <c r="D2631" s="98"/>
      <c r="E2631" s="98"/>
      <c r="F2631" s="99"/>
      <c r="G2631" s="100"/>
      <c r="H2631" s="100"/>
    </row>
    <row r="2632" customHeight="1" spans="2:8">
      <c r="B2632" s="98"/>
      <c r="C2632" s="98"/>
      <c r="D2632" s="98"/>
      <c r="E2632" s="98"/>
      <c r="F2632" s="99"/>
      <c r="G2632" s="100"/>
      <c r="H2632" s="100"/>
    </row>
    <row r="2633" customHeight="1" spans="2:8">
      <c r="B2633" s="98"/>
      <c r="C2633" s="98"/>
      <c r="D2633" s="98"/>
      <c r="E2633" s="98"/>
      <c r="F2633" s="99"/>
      <c r="G2633" s="100"/>
      <c r="H2633" s="100"/>
    </row>
    <row r="2634" customHeight="1" spans="2:8">
      <c r="B2634" s="98"/>
      <c r="C2634" s="98"/>
      <c r="D2634" s="98"/>
      <c r="E2634" s="98"/>
      <c r="F2634" s="99"/>
      <c r="G2634" s="100"/>
      <c r="H2634" s="100"/>
    </row>
    <row r="2635" customHeight="1" spans="2:8">
      <c r="B2635" s="98"/>
      <c r="C2635" s="98"/>
      <c r="D2635" s="98"/>
      <c r="E2635" s="98"/>
      <c r="F2635" s="99"/>
      <c r="G2635" s="100"/>
      <c r="H2635" s="100"/>
    </row>
    <row r="2636" customHeight="1" spans="2:8">
      <c r="B2636" s="98"/>
      <c r="C2636" s="98"/>
      <c r="D2636" s="98"/>
      <c r="E2636" s="98"/>
      <c r="F2636" s="99"/>
      <c r="G2636" s="100"/>
      <c r="H2636" s="100"/>
    </row>
    <row r="2637" customHeight="1" spans="2:8">
      <c r="B2637" s="98"/>
      <c r="C2637" s="98"/>
      <c r="D2637" s="98"/>
      <c r="E2637" s="98"/>
      <c r="F2637" s="99"/>
      <c r="G2637" s="100"/>
      <c r="H2637" s="100"/>
    </row>
    <row r="2638" customHeight="1" spans="2:8">
      <c r="B2638" s="98"/>
      <c r="C2638" s="98"/>
      <c r="D2638" s="98"/>
      <c r="E2638" s="98"/>
      <c r="F2638" s="99"/>
      <c r="G2638" s="100"/>
      <c r="H2638" s="100"/>
    </row>
    <row r="2639" customHeight="1" spans="2:8">
      <c r="B2639" s="98"/>
      <c r="C2639" s="98"/>
      <c r="D2639" s="98"/>
      <c r="E2639" s="98"/>
      <c r="F2639" s="99"/>
      <c r="G2639" s="100"/>
      <c r="H2639" s="100"/>
    </row>
    <row r="2640" customHeight="1" spans="2:8">
      <c r="B2640" s="98"/>
      <c r="C2640" s="98"/>
      <c r="D2640" s="98"/>
      <c r="E2640" s="98"/>
      <c r="F2640" s="99"/>
      <c r="G2640" s="100"/>
      <c r="H2640" s="100"/>
    </row>
    <row r="2641" customHeight="1" spans="2:8">
      <c r="B2641" s="98"/>
      <c r="C2641" s="98"/>
      <c r="D2641" s="98"/>
      <c r="E2641" s="98"/>
      <c r="F2641" s="99"/>
      <c r="G2641" s="100"/>
      <c r="H2641" s="100"/>
    </row>
    <row r="2642" customHeight="1" spans="2:8">
      <c r="B2642" s="98"/>
      <c r="C2642" s="98"/>
      <c r="D2642" s="98"/>
      <c r="E2642" s="98"/>
      <c r="F2642" s="99"/>
      <c r="G2642" s="100"/>
      <c r="H2642" s="100"/>
    </row>
    <row r="2643" customHeight="1" spans="2:8">
      <c r="B2643" s="98"/>
      <c r="C2643" s="98"/>
      <c r="D2643" s="98"/>
      <c r="E2643" s="98"/>
      <c r="F2643" s="99"/>
      <c r="G2643" s="100"/>
      <c r="H2643" s="100"/>
    </row>
    <row r="2644" customHeight="1" spans="2:8">
      <c r="B2644" s="98"/>
      <c r="C2644" s="98"/>
      <c r="D2644" s="98"/>
      <c r="E2644" s="98"/>
      <c r="F2644" s="99"/>
      <c r="G2644" s="100"/>
      <c r="H2644" s="100"/>
    </row>
    <row r="2645" customHeight="1" spans="2:8">
      <c r="B2645" s="98"/>
      <c r="C2645" s="98"/>
      <c r="D2645" s="98"/>
      <c r="E2645" s="98"/>
      <c r="F2645" s="99"/>
      <c r="G2645" s="100"/>
      <c r="H2645" s="100"/>
    </row>
    <row r="2646" customHeight="1" spans="2:8">
      <c r="B2646" s="98"/>
      <c r="C2646" s="98"/>
      <c r="D2646" s="98"/>
      <c r="E2646" s="98"/>
      <c r="F2646" s="99"/>
      <c r="G2646" s="100"/>
      <c r="H2646" s="100"/>
    </row>
    <row r="2647" customHeight="1" spans="2:8">
      <c r="B2647" s="98"/>
      <c r="C2647" s="98"/>
      <c r="D2647" s="98"/>
      <c r="E2647" s="98"/>
      <c r="F2647" s="99"/>
      <c r="G2647" s="100"/>
      <c r="H2647" s="100"/>
    </row>
    <row r="2648" customHeight="1" spans="2:8">
      <c r="B2648" s="98"/>
      <c r="C2648" s="98"/>
      <c r="D2648" s="98"/>
      <c r="E2648" s="98"/>
      <c r="F2648" s="99"/>
      <c r="G2648" s="100"/>
      <c r="H2648" s="100"/>
    </row>
    <row r="2649" customHeight="1" spans="2:8">
      <c r="B2649" s="98"/>
      <c r="C2649" s="98"/>
      <c r="D2649" s="98"/>
      <c r="E2649" s="98"/>
      <c r="F2649" s="99"/>
      <c r="G2649" s="100"/>
      <c r="H2649" s="100"/>
    </row>
    <row r="2650" customHeight="1" spans="2:8">
      <c r="B2650" s="98"/>
      <c r="C2650" s="98"/>
      <c r="D2650" s="98"/>
      <c r="E2650" s="98"/>
      <c r="F2650" s="99"/>
      <c r="G2650" s="100"/>
      <c r="H2650" s="100"/>
    </row>
    <row r="2651" customHeight="1" spans="2:8">
      <c r="B2651" s="98"/>
      <c r="C2651" s="98"/>
      <c r="D2651" s="98"/>
      <c r="E2651" s="98"/>
      <c r="F2651" s="99"/>
      <c r="G2651" s="100"/>
      <c r="H2651" s="100"/>
    </row>
    <row r="2652" customHeight="1" spans="2:8">
      <c r="B2652" s="98"/>
      <c r="C2652" s="98"/>
      <c r="D2652" s="98"/>
      <c r="E2652" s="98"/>
      <c r="F2652" s="99"/>
      <c r="G2652" s="100"/>
      <c r="H2652" s="100"/>
    </row>
    <row r="2653" customHeight="1" spans="2:8">
      <c r="B2653" s="98"/>
      <c r="C2653" s="98"/>
      <c r="D2653" s="98"/>
      <c r="E2653" s="98"/>
      <c r="F2653" s="99"/>
      <c r="G2653" s="100"/>
      <c r="H2653" s="100"/>
    </row>
    <row r="2654" customHeight="1" spans="2:8">
      <c r="B2654" s="98"/>
      <c r="C2654" s="98"/>
      <c r="D2654" s="98"/>
      <c r="E2654" s="98"/>
      <c r="F2654" s="99"/>
      <c r="G2654" s="100"/>
      <c r="H2654" s="100"/>
    </row>
    <row r="2655" customHeight="1" spans="2:8">
      <c r="B2655" s="98"/>
      <c r="C2655" s="98"/>
      <c r="D2655" s="98"/>
      <c r="E2655" s="98"/>
      <c r="F2655" s="99"/>
      <c r="G2655" s="100"/>
      <c r="H2655" s="100"/>
    </row>
    <row r="2656" customHeight="1" spans="2:8">
      <c r="B2656" s="98"/>
      <c r="C2656" s="98"/>
      <c r="D2656" s="98"/>
      <c r="E2656" s="98"/>
      <c r="F2656" s="99"/>
      <c r="G2656" s="100"/>
      <c r="H2656" s="100"/>
    </row>
    <row r="2657" customHeight="1" spans="2:8">
      <c r="B2657" s="98"/>
      <c r="C2657" s="98"/>
      <c r="D2657" s="98"/>
      <c r="E2657" s="98"/>
      <c r="F2657" s="99"/>
      <c r="G2657" s="100"/>
      <c r="H2657" s="100"/>
    </row>
    <row r="2658" customHeight="1" spans="2:8">
      <c r="B2658" s="98"/>
      <c r="C2658" s="98"/>
      <c r="D2658" s="98"/>
      <c r="E2658" s="98"/>
      <c r="F2658" s="99"/>
      <c r="G2658" s="100"/>
      <c r="H2658" s="100"/>
    </row>
    <row r="2659" customHeight="1" spans="2:8">
      <c r="B2659" s="98"/>
      <c r="C2659" s="98"/>
      <c r="D2659" s="98"/>
      <c r="E2659" s="98"/>
      <c r="F2659" s="99"/>
      <c r="G2659" s="100"/>
      <c r="H2659" s="100"/>
    </row>
    <row r="2660" customHeight="1" spans="2:8">
      <c r="B2660" s="98"/>
      <c r="C2660" s="98"/>
      <c r="D2660" s="98"/>
      <c r="E2660" s="98"/>
      <c r="F2660" s="99"/>
      <c r="G2660" s="100"/>
      <c r="H2660" s="100"/>
    </row>
    <row r="2661" customHeight="1" spans="2:8">
      <c r="B2661" s="98"/>
      <c r="C2661" s="98"/>
      <c r="D2661" s="98"/>
      <c r="E2661" s="98"/>
      <c r="F2661" s="99"/>
      <c r="G2661" s="100"/>
      <c r="H2661" s="100"/>
    </row>
    <row r="2662" customHeight="1" spans="2:8">
      <c r="B2662" s="98"/>
      <c r="C2662" s="98"/>
      <c r="D2662" s="98"/>
      <c r="E2662" s="98"/>
      <c r="F2662" s="99"/>
      <c r="G2662" s="100"/>
      <c r="H2662" s="100"/>
    </row>
    <row r="2663" customHeight="1" spans="2:8">
      <c r="B2663" s="98"/>
      <c r="C2663" s="98"/>
      <c r="D2663" s="98"/>
      <c r="E2663" s="98"/>
      <c r="F2663" s="99"/>
      <c r="G2663" s="100"/>
      <c r="H2663" s="100"/>
    </row>
    <row r="2664" customHeight="1" spans="2:8">
      <c r="B2664" s="98"/>
      <c r="C2664" s="98"/>
      <c r="D2664" s="98"/>
      <c r="E2664" s="98"/>
      <c r="F2664" s="99"/>
      <c r="G2664" s="100"/>
      <c r="H2664" s="100"/>
    </row>
    <row r="2665" customHeight="1" spans="2:8">
      <c r="B2665" s="98"/>
      <c r="C2665" s="98"/>
      <c r="D2665" s="98"/>
      <c r="E2665" s="98"/>
      <c r="F2665" s="99"/>
      <c r="G2665" s="100"/>
      <c r="H2665" s="100"/>
    </row>
    <row r="2666" customHeight="1" spans="2:8">
      <c r="B2666" s="98"/>
      <c r="C2666" s="98"/>
      <c r="D2666" s="98"/>
      <c r="E2666" s="98"/>
      <c r="F2666" s="99"/>
      <c r="G2666" s="100"/>
      <c r="H2666" s="100"/>
    </row>
    <row r="2667" customHeight="1" spans="2:8">
      <c r="B2667" s="98"/>
      <c r="C2667" s="98"/>
      <c r="D2667" s="98"/>
      <c r="E2667" s="98"/>
      <c r="F2667" s="99"/>
      <c r="G2667" s="100"/>
      <c r="H2667" s="100"/>
    </row>
    <row r="2668" customHeight="1" spans="2:8">
      <c r="B2668" s="98"/>
      <c r="C2668" s="98"/>
      <c r="D2668" s="98"/>
      <c r="E2668" s="98"/>
      <c r="F2668" s="99"/>
      <c r="G2668" s="100"/>
      <c r="H2668" s="100"/>
    </row>
    <row r="2669" customHeight="1" spans="2:8">
      <c r="B2669" s="98"/>
      <c r="C2669" s="98"/>
      <c r="D2669" s="98"/>
      <c r="E2669" s="98"/>
      <c r="F2669" s="99"/>
      <c r="G2669" s="100"/>
      <c r="H2669" s="100"/>
    </row>
    <row r="2670" customHeight="1" spans="2:8">
      <c r="B2670" s="98"/>
      <c r="C2670" s="98"/>
      <c r="D2670" s="98"/>
      <c r="E2670" s="98"/>
      <c r="F2670" s="99"/>
      <c r="G2670" s="100"/>
      <c r="H2670" s="100"/>
    </row>
    <row r="2671" customHeight="1" spans="2:8">
      <c r="B2671" s="98"/>
      <c r="C2671" s="98"/>
      <c r="D2671" s="98"/>
      <c r="E2671" s="98"/>
      <c r="F2671" s="99"/>
      <c r="G2671" s="100"/>
      <c r="H2671" s="100"/>
    </row>
    <row r="2672" customHeight="1" spans="2:8">
      <c r="B2672" s="98"/>
      <c r="C2672" s="98"/>
      <c r="D2672" s="98"/>
      <c r="E2672" s="98"/>
      <c r="F2672" s="99"/>
      <c r="G2672" s="100"/>
      <c r="H2672" s="100"/>
    </row>
    <row r="2673" customHeight="1" spans="2:8">
      <c r="B2673" s="98"/>
      <c r="C2673" s="98"/>
      <c r="D2673" s="98"/>
      <c r="E2673" s="98"/>
      <c r="F2673" s="99"/>
      <c r="G2673" s="100"/>
      <c r="H2673" s="100"/>
    </row>
    <row r="2674" customHeight="1" spans="2:8">
      <c r="B2674" s="98"/>
      <c r="C2674" s="98"/>
      <c r="D2674" s="98"/>
      <c r="E2674" s="98"/>
      <c r="F2674" s="99"/>
      <c r="G2674" s="100"/>
      <c r="H2674" s="100"/>
    </row>
    <row r="2675" customHeight="1" spans="2:8">
      <c r="B2675" s="98"/>
      <c r="C2675" s="98"/>
      <c r="D2675" s="98"/>
      <c r="E2675" s="98"/>
      <c r="F2675" s="99"/>
      <c r="G2675" s="100"/>
      <c r="H2675" s="100"/>
    </row>
    <row r="2676" customHeight="1" spans="2:8">
      <c r="B2676" s="98"/>
      <c r="C2676" s="98"/>
      <c r="D2676" s="98"/>
      <c r="E2676" s="98"/>
      <c r="F2676" s="99"/>
      <c r="G2676" s="100"/>
      <c r="H2676" s="100"/>
    </row>
    <row r="2677" customHeight="1" spans="2:8">
      <c r="B2677" s="98"/>
      <c r="C2677" s="98"/>
      <c r="D2677" s="98"/>
      <c r="E2677" s="98"/>
      <c r="F2677" s="99"/>
      <c r="G2677" s="100"/>
      <c r="H2677" s="100"/>
    </row>
    <row r="2678" customHeight="1" spans="2:8">
      <c r="B2678" s="98"/>
      <c r="C2678" s="98"/>
      <c r="D2678" s="98"/>
      <c r="E2678" s="98"/>
      <c r="F2678" s="99"/>
      <c r="G2678" s="100"/>
      <c r="H2678" s="100"/>
    </row>
    <row r="2679" customHeight="1" spans="2:8">
      <c r="B2679" s="98"/>
      <c r="C2679" s="98"/>
      <c r="D2679" s="98"/>
      <c r="E2679" s="98"/>
      <c r="F2679" s="99"/>
      <c r="G2679" s="100"/>
      <c r="H2679" s="100"/>
    </row>
    <row r="2680" customHeight="1" spans="2:8">
      <c r="B2680" s="98"/>
      <c r="C2680" s="98"/>
      <c r="D2680" s="98"/>
      <c r="E2680" s="98"/>
      <c r="F2680" s="99"/>
      <c r="G2680" s="100"/>
      <c r="H2680" s="100"/>
    </row>
    <row r="2681" customHeight="1" spans="2:8">
      <c r="B2681" s="98"/>
      <c r="C2681" s="98"/>
      <c r="D2681" s="98"/>
      <c r="E2681" s="98"/>
      <c r="F2681" s="99"/>
      <c r="G2681" s="100"/>
      <c r="H2681" s="100"/>
    </row>
    <row r="2682" customHeight="1" spans="2:8">
      <c r="B2682" s="98"/>
      <c r="C2682" s="98"/>
      <c r="D2682" s="98"/>
      <c r="E2682" s="98"/>
      <c r="F2682" s="99"/>
      <c r="G2682" s="100"/>
      <c r="H2682" s="100"/>
    </row>
    <row r="2683" customHeight="1" spans="2:8">
      <c r="B2683" s="98"/>
      <c r="C2683" s="98"/>
      <c r="D2683" s="98"/>
      <c r="E2683" s="98"/>
      <c r="F2683" s="99"/>
      <c r="G2683" s="100"/>
      <c r="H2683" s="100"/>
    </row>
    <row r="2684" customHeight="1" spans="2:8">
      <c r="B2684" s="98"/>
      <c r="C2684" s="98"/>
      <c r="D2684" s="98"/>
      <c r="E2684" s="98"/>
      <c r="F2684" s="99"/>
      <c r="G2684" s="100"/>
      <c r="H2684" s="100"/>
    </row>
    <row r="2685" customHeight="1" spans="2:8">
      <c r="B2685" s="98"/>
      <c r="C2685" s="98"/>
      <c r="D2685" s="98"/>
      <c r="E2685" s="98"/>
      <c r="F2685" s="99"/>
      <c r="G2685" s="100"/>
      <c r="H2685" s="100"/>
    </row>
    <row r="2686" customHeight="1" spans="2:8">
      <c r="B2686" s="98"/>
      <c r="C2686" s="98"/>
      <c r="D2686" s="98"/>
      <c r="E2686" s="98"/>
      <c r="F2686" s="99"/>
      <c r="G2686" s="100"/>
      <c r="H2686" s="100"/>
    </row>
    <row r="2687" customHeight="1" spans="2:8">
      <c r="B2687" s="98"/>
      <c r="C2687" s="98"/>
      <c r="D2687" s="98"/>
      <c r="E2687" s="98"/>
      <c r="F2687" s="99"/>
      <c r="G2687" s="100"/>
      <c r="H2687" s="100"/>
    </row>
    <row r="2688" customHeight="1" spans="2:8">
      <c r="B2688" s="98"/>
      <c r="C2688" s="98"/>
      <c r="D2688" s="98"/>
      <c r="E2688" s="98"/>
      <c r="F2688" s="99"/>
      <c r="G2688" s="100"/>
      <c r="H2688" s="100"/>
    </row>
    <row r="2689" customHeight="1" spans="2:8">
      <c r="B2689" s="98"/>
      <c r="C2689" s="98"/>
      <c r="D2689" s="98"/>
      <c r="E2689" s="98"/>
      <c r="F2689" s="99"/>
      <c r="G2689" s="100"/>
      <c r="H2689" s="100"/>
    </row>
    <row r="2690" customHeight="1" spans="2:8">
      <c r="B2690" s="98"/>
      <c r="C2690" s="98"/>
      <c r="D2690" s="98"/>
      <c r="E2690" s="98"/>
      <c r="F2690" s="99"/>
      <c r="G2690" s="100"/>
      <c r="H2690" s="100"/>
    </row>
    <row r="2691" customHeight="1" spans="2:8">
      <c r="B2691" s="98"/>
      <c r="C2691" s="98"/>
      <c r="D2691" s="98"/>
      <c r="E2691" s="98"/>
      <c r="F2691" s="99"/>
      <c r="G2691" s="100"/>
      <c r="H2691" s="100"/>
    </row>
    <row r="2692" customHeight="1" spans="2:8">
      <c r="B2692" s="98"/>
      <c r="C2692" s="98"/>
      <c r="D2692" s="98"/>
      <c r="E2692" s="98"/>
      <c r="F2692" s="99"/>
      <c r="G2692" s="100"/>
      <c r="H2692" s="100"/>
    </row>
    <row r="2693" customHeight="1" spans="2:8">
      <c r="B2693" s="98"/>
      <c r="C2693" s="98"/>
      <c r="D2693" s="98"/>
      <c r="E2693" s="98"/>
      <c r="F2693" s="99"/>
      <c r="G2693" s="100"/>
      <c r="H2693" s="100"/>
    </row>
    <row r="2694" customHeight="1" spans="2:8">
      <c r="B2694" s="98"/>
      <c r="C2694" s="98"/>
      <c r="D2694" s="98"/>
      <c r="E2694" s="98"/>
      <c r="F2694" s="99"/>
      <c r="G2694" s="100"/>
      <c r="H2694" s="100"/>
    </row>
    <row r="2695" customHeight="1" spans="2:8">
      <c r="B2695" s="98"/>
      <c r="C2695" s="98"/>
      <c r="D2695" s="98"/>
      <c r="E2695" s="98"/>
      <c r="F2695" s="99"/>
      <c r="G2695" s="100"/>
      <c r="H2695" s="100"/>
    </row>
    <row r="2696" customHeight="1" spans="2:8">
      <c r="B2696" s="98"/>
      <c r="C2696" s="98"/>
      <c r="D2696" s="98"/>
      <c r="E2696" s="98"/>
      <c r="F2696" s="99"/>
      <c r="G2696" s="100"/>
      <c r="H2696" s="100"/>
    </row>
    <row r="2697" customHeight="1" spans="2:8">
      <c r="B2697" s="98"/>
      <c r="C2697" s="98"/>
      <c r="D2697" s="98"/>
      <c r="E2697" s="98"/>
      <c r="F2697" s="99"/>
      <c r="G2697" s="100"/>
      <c r="H2697" s="100"/>
    </row>
    <row r="2698" customHeight="1" spans="2:8">
      <c r="B2698" s="98"/>
      <c r="C2698" s="98"/>
      <c r="D2698" s="98"/>
      <c r="E2698" s="98"/>
      <c r="F2698" s="99"/>
      <c r="G2698" s="100"/>
      <c r="H2698" s="100"/>
    </row>
    <row r="2699" customHeight="1" spans="2:8">
      <c r="B2699" s="98"/>
      <c r="C2699" s="98"/>
      <c r="D2699" s="98"/>
      <c r="E2699" s="98"/>
      <c r="F2699" s="99"/>
      <c r="G2699" s="100"/>
      <c r="H2699" s="100"/>
    </row>
    <row r="2700" customHeight="1" spans="2:8">
      <c r="B2700" s="98"/>
      <c r="C2700" s="98"/>
      <c r="D2700" s="98"/>
      <c r="E2700" s="98"/>
      <c r="F2700" s="99"/>
      <c r="G2700" s="100"/>
      <c r="H2700" s="100"/>
    </row>
    <row r="2701" customHeight="1" spans="2:8">
      <c r="B2701" s="98"/>
      <c r="C2701" s="98"/>
      <c r="D2701" s="98"/>
      <c r="E2701" s="98"/>
      <c r="F2701" s="99"/>
      <c r="G2701" s="100"/>
      <c r="H2701" s="100"/>
    </row>
    <row r="2702" customHeight="1" spans="2:8">
      <c r="B2702" s="98"/>
      <c r="C2702" s="98"/>
      <c r="D2702" s="98"/>
      <c r="E2702" s="98"/>
      <c r="F2702" s="99"/>
      <c r="G2702" s="100"/>
      <c r="H2702" s="100"/>
    </row>
    <row r="2703" customHeight="1" spans="2:8">
      <c r="B2703" s="98"/>
      <c r="C2703" s="98"/>
      <c r="D2703" s="98"/>
      <c r="E2703" s="98"/>
      <c r="F2703" s="99"/>
      <c r="G2703" s="100"/>
      <c r="H2703" s="100"/>
    </row>
    <row r="2704" customHeight="1" spans="2:8">
      <c r="B2704" s="98"/>
      <c r="C2704" s="98"/>
      <c r="D2704" s="98"/>
      <c r="E2704" s="98"/>
      <c r="F2704" s="99"/>
      <c r="G2704" s="100"/>
      <c r="H2704" s="100"/>
    </row>
    <row r="2705" customHeight="1" spans="2:8">
      <c r="B2705" s="98"/>
      <c r="C2705" s="98"/>
      <c r="D2705" s="98"/>
      <c r="E2705" s="98"/>
      <c r="F2705" s="99"/>
      <c r="G2705" s="100"/>
      <c r="H2705" s="100"/>
    </row>
    <row r="2706" customHeight="1" spans="2:8">
      <c r="B2706" s="98"/>
      <c r="C2706" s="98"/>
      <c r="D2706" s="98"/>
      <c r="E2706" s="98"/>
      <c r="F2706" s="99"/>
      <c r="G2706" s="100"/>
      <c r="H2706" s="100"/>
    </row>
    <row r="2707" customHeight="1" spans="2:8">
      <c r="B2707" s="98"/>
      <c r="C2707" s="98"/>
      <c r="D2707" s="98"/>
      <c r="E2707" s="98"/>
      <c r="F2707" s="99"/>
      <c r="G2707" s="100"/>
      <c r="H2707" s="100"/>
    </row>
    <row r="2708" customHeight="1" spans="2:8">
      <c r="B2708" s="98"/>
      <c r="C2708" s="98"/>
      <c r="D2708" s="98"/>
      <c r="E2708" s="98"/>
      <c r="F2708" s="99"/>
      <c r="G2708" s="100"/>
      <c r="H2708" s="100"/>
    </row>
    <row r="2709" customHeight="1" spans="2:8">
      <c r="B2709" s="98"/>
      <c r="C2709" s="98"/>
      <c r="D2709" s="98"/>
      <c r="E2709" s="98"/>
      <c r="F2709" s="99"/>
      <c r="G2709" s="100"/>
      <c r="H2709" s="100"/>
    </row>
    <row r="2710" customHeight="1" spans="2:8">
      <c r="B2710" s="98"/>
      <c r="C2710" s="98"/>
      <c r="D2710" s="98"/>
      <c r="E2710" s="98"/>
      <c r="F2710" s="99"/>
      <c r="G2710" s="100"/>
      <c r="H2710" s="100"/>
    </row>
    <row r="2711" customHeight="1" spans="2:8">
      <c r="B2711" s="98"/>
      <c r="C2711" s="98"/>
      <c r="D2711" s="98"/>
      <c r="E2711" s="98"/>
      <c r="F2711" s="99"/>
      <c r="G2711" s="100"/>
      <c r="H2711" s="100"/>
    </row>
    <row r="2712" customHeight="1" spans="2:8">
      <c r="B2712" s="98"/>
      <c r="C2712" s="98"/>
      <c r="D2712" s="98"/>
      <c r="E2712" s="98"/>
      <c r="F2712" s="99"/>
      <c r="G2712" s="100"/>
      <c r="H2712" s="100"/>
    </row>
    <row r="2713" customHeight="1" spans="2:8">
      <c r="B2713" s="98"/>
      <c r="C2713" s="98"/>
      <c r="D2713" s="98"/>
      <c r="E2713" s="98"/>
      <c r="F2713" s="99"/>
      <c r="G2713" s="100"/>
      <c r="H2713" s="100"/>
    </row>
    <row r="2714" customHeight="1" spans="2:8">
      <c r="B2714" s="98"/>
      <c r="C2714" s="98"/>
      <c r="D2714" s="98"/>
      <c r="E2714" s="98"/>
      <c r="F2714" s="99"/>
      <c r="G2714" s="100"/>
      <c r="H2714" s="100"/>
    </row>
    <row r="2715" customHeight="1" spans="2:8">
      <c r="B2715" s="98"/>
      <c r="C2715" s="98"/>
      <c r="D2715" s="98"/>
      <c r="E2715" s="98"/>
      <c r="F2715" s="99"/>
      <c r="G2715" s="100"/>
      <c r="H2715" s="100"/>
    </row>
    <row r="2716" customHeight="1" spans="2:8">
      <c r="B2716" s="98"/>
      <c r="C2716" s="98"/>
      <c r="D2716" s="98"/>
      <c r="E2716" s="98"/>
      <c r="F2716" s="99"/>
      <c r="G2716" s="100"/>
      <c r="H2716" s="100"/>
    </row>
    <row r="2717" customHeight="1" spans="2:8">
      <c r="B2717" s="98"/>
      <c r="C2717" s="98"/>
      <c r="D2717" s="98"/>
      <c r="E2717" s="98"/>
      <c r="F2717" s="99"/>
      <c r="G2717" s="100"/>
      <c r="H2717" s="100"/>
    </row>
    <row r="2718" customHeight="1" spans="2:8">
      <c r="B2718" s="98"/>
      <c r="C2718" s="98"/>
      <c r="D2718" s="98"/>
      <c r="E2718" s="98"/>
      <c r="F2718" s="99"/>
      <c r="G2718" s="100"/>
      <c r="H2718" s="100"/>
    </row>
    <row r="2719" customHeight="1" spans="2:8">
      <c r="B2719" s="98"/>
      <c r="C2719" s="98"/>
      <c r="D2719" s="98"/>
      <c r="E2719" s="98"/>
      <c r="F2719" s="99"/>
      <c r="G2719" s="100"/>
      <c r="H2719" s="100"/>
    </row>
    <row r="2720" customHeight="1" spans="2:8">
      <c r="B2720" s="98"/>
      <c r="C2720" s="98"/>
      <c r="D2720" s="98"/>
      <c r="E2720" s="98"/>
      <c r="F2720" s="99"/>
      <c r="G2720" s="100"/>
      <c r="H2720" s="100"/>
    </row>
    <row r="2721" customHeight="1" spans="2:8">
      <c r="B2721" s="98"/>
      <c r="C2721" s="98"/>
      <c r="D2721" s="98"/>
      <c r="E2721" s="98"/>
      <c r="F2721" s="99"/>
      <c r="G2721" s="100"/>
      <c r="H2721" s="100"/>
    </row>
    <row r="2722" customHeight="1" spans="2:8">
      <c r="B2722" s="98"/>
      <c r="C2722" s="98"/>
      <c r="D2722" s="98"/>
      <c r="E2722" s="98"/>
      <c r="F2722" s="99"/>
      <c r="G2722" s="100"/>
      <c r="H2722" s="100"/>
    </row>
    <row r="2723" customHeight="1" spans="2:8">
      <c r="B2723" s="98"/>
      <c r="C2723" s="98"/>
      <c r="D2723" s="98"/>
      <c r="E2723" s="98"/>
      <c r="F2723" s="99"/>
      <c r="G2723" s="100"/>
      <c r="H2723" s="100"/>
    </row>
    <row r="2724" customHeight="1" spans="2:8">
      <c r="B2724" s="98"/>
      <c r="C2724" s="98"/>
      <c r="D2724" s="98"/>
      <c r="E2724" s="98"/>
      <c r="F2724" s="99"/>
      <c r="G2724" s="100"/>
      <c r="H2724" s="100"/>
    </row>
    <row r="2725" customHeight="1" spans="2:8">
      <c r="B2725" s="98"/>
      <c r="C2725" s="98"/>
      <c r="D2725" s="98"/>
      <c r="E2725" s="98"/>
      <c r="F2725" s="99"/>
      <c r="G2725" s="100"/>
      <c r="H2725" s="100"/>
    </row>
    <row r="2726" customHeight="1" spans="2:8">
      <c r="B2726" s="98"/>
      <c r="C2726" s="98"/>
      <c r="D2726" s="98"/>
      <c r="E2726" s="98"/>
      <c r="F2726" s="99"/>
      <c r="G2726" s="100"/>
      <c r="H2726" s="100"/>
    </row>
    <row r="2727" customHeight="1" spans="2:8">
      <c r="B2727" s="98"/>
      <c r="C2727" s="98"/>
      <c r="D2727" s="98"/>
      <c r="E2727" s="98"/>
      <c r="F2727" s="99"/>
      <c r="G2727" s="100"/>
      <c r="H2727" s="100"/>
    </row>
    <row r="2728" customHeight="1" spans="2:8">
      <c r="B2728" s="98"/>
      <c r="C2728" s="98"/>
      <c r="D2728" s="98"/>
      <c r="E2728" s="98"/>
      <c r="F2728" s="99"/>
      <c r="G2728" s="100"/>
      <c r="H2728" s="100"/>
    </row>
    <row r="2729" customHeight="1" spans="2:8">
      <c r="B2729" s="98"/>
      <c r="C2729" s="98"/>
      <c r="D2729" s="98"/>
      <c r="E2729" s="98"/>
      <c r="F2729" s="99"/>
      <c r="G2729" s="100"/>
      <c r="H2729" s="100"/>
    </row>
    <row r="2730" customHeight="1" spans="2:8">
      <c r="B2730" s="98"/>
      <c r="C2730" s="98"/>
      <c r="D2730" s="98"/>
      <c r="E2730" s="98"/>
      <c r="F2730" s="99"/>
      <c r="G2730" s="100"/>
      <c r="H2730" s="100"/>
    </row>
    <row r="2731" customHeight="1" spans="2:8">
      <c r="B2731" s="98"/>
      <c r="C2731" s="98"/>
      <c r="D2731" s="98"/>
      <c r="E2731" s="98"/>
      <c r="F2731" s="99"/>
      <c r="G2731" s="100"/>
      <c r="H2731" s="100"/>
    </row>
    <row r="2732" customHeight="1" spans="2:8">
      <c r="B2732" s="98"/>
      <c r="C2732" s="98"/>
      <c r="D2732" s="98"/>
      <c r="E2732" s="98"/>
      <c r="F2732" s="99"/>
      <c r="G2732" s="100"/>
      <c r="H2732" s="100"/>
    </row>
    <row r="2733" customHeight="1" spans="2:8">
      <c r="B2733" s="98"/>
      <c r="C2733" s="98"/>
      <c r="D2733" s="98"/>
      <c r="E2733" s="98"/>
      <c r="F2733" s="99"/>
      <c r="G2733" s="100"/>
      <c r="H2733" s="100"/>
    </row>
    <row r="2734" customHeight="1" spans="2:8">
      <c r="B2734" s="98"/>
      <c r="C2734" s="98"/>
      <c r="D2734" s="98"/>
      <c r="E2734" s="98"/>
      <c r="F2734" s="99"/>
      <c r="G2734" s="100"/>
      <c r="H2734" s="100"/>
    </row>
    <row r="2735" customHeight="1" spans="2:8">
      <c r="B2735" s="98"/>
      <c r="C2735" s="98"/>
      <c r="D2735" s="98"/>
      <c r="E2735" s="98"/>
      <c r="F2735" s="99"/>
      <c r="G2735" s="100"/>
      <c r="H2735" s="100"/>
    </row>
    <row r="2736" customHeight="1" spans="2:8">
      <c r="B2736" s="98"/>
      <c r="C2736" s="98"/>
      <c r="D2736" s="98"/>
      <c r="E2736" s="98"/>
      <c r="F2736" s="99"/>
      <c r="G2736" s="100"/>
      <c r="H2736" s="100"/>
    </row>
    <row r="2737" customHeight="1" spans="2:8">
      <c r="B2737" s="98"/>
      <c r="C2737" s="98"/>
      <c r="D2737" s="98"/>
      <c r="E2737" s="98"/>
      <c r="F2737" s="99"/>
      <c r="G2737" s="100"/>
      <c r="H2737" s="100"/>
    </row>
    <row r="2738" customHeight="1" spans="2:8">
      <c r="B2738" s="98"/>
      <c r="C2738" s="98"/>
      <c r="D2738" s="98"/>
      <c r="E2738" s="98"/>
      <c r="F2738" s="99"/>
      <c r="G2738" s="100"/>
      <c r="H2738" s="100"/>
    </row>
    <row r="2739" customHeight="1" spans="2:8">
      <c r="B2739" s="98"/>
      <c r="C2739" s="98"/>
      <c r="D2739" s="98"/>
      <c r="E2739" s="98"/>
      <c r="F2739" s="99"/>
      <c r="G2739" s="100"/>
      <c r="H2739" s="100"/>
    </row>
    <row r="2740" customHeight="1" spans="2:8">
      <c r="B2740" s="98"/>
      <c r="C2740" s="98"/>
      <c r="D2740" s="98"/>
      <c r="E2740" s="98"/>
      <c r="F2740" s="99"/>
      <c r="G2740" s="100"/>
      <c r="H2740" s="100"/>
    </row>
    <row r="2741" customHeight="1" spans="2:8">
      <c r="B2741" s="98"/>
      <c r="C2741" s="98"/>
      <c r="D2741" s="98"/>
      <c r="E2741" s="98"/>
      <c r="F2741" s="99"/>
      <c r="G2741" s="100"/>
      <c r="H2741" s="100"/>
    </row>
    <row r="2742" customHeight="1" spans="2:8">
      <c r="B2742" s="98"/>
      <c r="C2742" s="98"/>
      <c r="D2742" s="98"/>
      <c r="E2742" s="98"/>
      <c r="F2742" s="99"/>
      <c r="G2742" s="100"/>
      <c r="H2742" s="100"/>
    </row>
    <row r="2743" customHeight="1" spans="2:8">
      <c r="B2743" s="98"/>
      <c r="C2743" s="98"/>
      <c r="D2743" s="98"/>
      <c r="E2743" s="98"/>
      <c r="F2743" s="99"/>
      <c r="G2743" s="100"/>
      <c r="H2743" s="100"/>
    </row>
    <row r="2744" customHeight="1" spans="2:8">
      <c r="B2744" s="98"/>
      <c r="C2744" s="98"/>
      <c r="D2744" s="98"/>
      <c r="E2744" s="98"/>
      <c r="F2744" s="99"/>
      <c r="G2744" s="100"/>
      <c r="H2744" s="100"/>
    </row>
    <row r="2745" customHeight="1" spans="2:8">
      <c r="B2745" s="98"/>
      <c r="C2745" s="98"/>
      <c r="D2745" s="98"/>
      <c r="E2745" s="98"/>
      <c r="F2745" s="99"/>
      <c r="G2745" s="100"/>
      <c r="H2745" s="100"/>
    </row>
    <row r="2746" customHeight="1" spans="2:8">
      <c r="B2746" s="98"/>
      <c r="C2746" s="98"/>
      <c r="D2746" s="98"/>
      <c r="E2746" s="98"/>
      <c r="F2746" s="99"/>
      <c r="G2746" s="100"/>
      <c r="H2746" s="100"/>
    </row>
    <row r="2747" customHeight="1" spans="2:8">
      <c r="B2747" s="98"/>
      <c r="C2747" s="98"/>
      <c r="D2747" s="98"/>
      <c r="E2747" s="98"/>
      <c r="F2747" s="99"/>
      <c r="G2747" s="100"/>
      <c r="H2747" s="100"/>
    </row>
    <row r="2748" customHeight="1" spans="2:8">
      <c r="B2748" s="98"/>
      <c r="C2748" s="98"/>
      <c r="D2748" s="98"/>
      <c r="E2748" s="98"/>
      <c r="F2748" s="99"/>
      <c r="G2748" s="100"/>
      <c r="H2748" s="100"/>
    </row>
    <row r="2749" customHeight="1" spans="2:8">
      <c r="B2749" s="98"/>
      <c r="C2749" s="98"/>
      <c r="D2749" s="98"/>
      <c r="E2749" s="98"/>
      <c r="F2749" s="99"/>
      <c r="G2749" s="100"/>
      <c r="H2749" s="100"/>
    </row>
    <row r="2750" customHeight="1" spans="2:8">
      <c r="B2750" s="98"/>
      <c r="C2750" s="98"/>
      <c r="D2750" s="98"/>
      <c r="E2750" s="98"/>
      <c r="F2750" s="99"/>
      <c r="G2750" s="100"/>
      <c r="H2750" s="100"/>
    </row>
    <row r="2751" customHeight="1" spans="2:8">
      <c r="B2751" s="98"/>
      <c r="C2751" s="98"/>
      <c r="D2751" s="98"/>
      <c r="E2751" s="98"/>
      <c r="F2751" s="99"/>
      <c r="G2751" s="100"/>
      <c r="H2751" s="100"/>
    </row>
    <row r="2752" customHeight="1" spans="2:8">
      <c r="B2752" s="98"/>
      <c r="C2752" s="98"/>
      <c r="D2752" s="98"/>
      <c r="E2752" s="98"/>
      <c r="F2752" s="99"/>
      <c r="G2752" s="100"/>
      <c r="H2752" s="100"/>
    </row>
    <row r="2753" customHeight="1" spans="2:8">
      <c r="B2753" s="98"/>
      <c r="C2753" s="98"/>
      <c r="D2753" s="98"/>
      <c r="E2753" s="98"/>
      <c r="F2753" s="99"/>
      <c r="G2753" s="100"/>
      <c r="H2753" s="100"/>
    </row>
    <row r="2754" customHeight="1" spans="2:8">
      <c r="B2754" s="98"/>
      <c r="C2754" s="98"/>
      <c r="D2754" s="98"/>
      <c r="E2754" s="98"/>
      <c r="F2754" s="99"/>
      <c r="G2754" s="100"/>
      <c r="H2754" s="100"/>
    </row>
    <row r="2755" customHeight="1" spans="2:8">
      <c r="B2755" s="98"/>
      <c r="C2755" s="98"/>
      <c r="D2755" s="98"/>
      <c r="E2755" s="98"/>
      <c r="F2755" s="99"/>
      <c r="G2755" s="100"/>
      <c r="H2755" s="100"/>
    </row>
    <row r="2756" customHeight="1" spans="2:8">
      <c r="B2756" s="98"/>
      <c r="C2756" s="98"/>
      <c r="D2756" s="98"/>
      <c r="E2756" s="98"/>
      <c r="F2756" s="99"/>
      <c r="G2756" s="100"/>
      <c r="H2756" s="100"/>
    </row>
    <row r="2757" customHeight="1" spans="2:8">
      <c r="B2757" s="98"/>
      <c r="C2757" s="98"/>
      <c r="D2757" s="98"/>
      <c r="E2757" s="98"/>
      <c r="F2757" s="99"/>
      <c r="G2757" s="100"/>
      <c r="H2757" s="100"/>
    </row>
    <row r="2758" customHeight="1" spans="2:8">
      <c r="B2758" s="98"/>
      <c r="C2758" s="98"/>
      <c r="D2758" s="98"/>
      <c r="E2758" s="98"/>
      <c r="F2758" s="99"/>
      <c r="G2758" s="100"/>
      <c r="H2758" s="100"/>
    </row>
    <row r="2759" customHeight="1" spans="2:8">
      <c r="B2759" s="98"/>
      <c r="C2759" s="98"/>
      <c r="D2759" s="98"/>
      <c r="E2759" s="98"/>
      <c r="F2759" s="99"/>
      <c r="G2759" s="100"/>
      <c r="H2759" s="100"/>
    </row>
    <row r="2760" customHeight="1" spans="2:8">
      <c r="B2760" s="98"/>
      <c r="C2760" s="98"/>
      <c r="D2760" s="98"/>
      <c r="E2760" s="98"/>
      <c r="F2760" s="99"/>
      <c r="G2760" s="100"/>
      <c r="H2760" s="100"/>
    </row>
    <row r="2761" customHeight="1" spans="2:8">
      <c r="B2761" s="98"/>
      <c r="C2761" s="98"/>
      <c r="D2761" s="98"/>
      <c r="E2761" s="98"/>
      <c r="F2761" s="99"/>
      <c r="G2761" s="100"/>
      <c r="H2761" s="100"/>
    </row>
    <row r="2762" customHeight="1" spans="2:8">
      <c r="B2762" s="98"/>
      <c r="C2762" s="98"/>
      <c r="D2762" s="98"/>
      <c r="E2762" s="98"/>
      <c r="F2762" s="99"/>
      <c r="G2762" s="100"/>
      <c r="H2762" s="100"/>
    </row>
    <row r="2763" customHeight="1" spans="2:8">
      <c r="B2763" s="98"/>
      <c r="C2763" s="98"/>
      <c r="D2763" s="98"/>
      <c r="E2763" s="98"/>
      <c r="F2763" s="99"/>
      <c r="G2763" s="100"/>
      <c r="H2763" s="100"/>
    </row>
    <row r="2764" customHeight="1" spans="2:8">
      <c r="B2764" s="98"/>
      <c r="C2764" s="98"/>
      <c r="D2764" s="98"/>
      <c r="E2764" s="98"/>
      <c r="F2764" s="99"/>
      <c r="G2764" s="100"/>
      <c r="H2764" s="100"/>
    </row>
    <row r="2765" customHeight="1" spans="2:8">
      <c r="B2765" s="98"/>
      <c r="C2765" s="98"/>
      <c r="D2765" s="98"/>
      <c r="E2765" s="98"/>
      <c r="F2765" s="99"/>
      <c r="G2765" s="100"/>
      <c r="H2765" s="100"/>
    </row>
    <row r="2766" customHeight="1" spans="2:8">
      <c r="B2766" s="98"/>
      <c r="C2766" s="98"/>
      <c r="D2766" s="98"/>
      <c r="E2766" s="98"/>
      <c r="F2766" s="99"/>
      <c r="G2766" s="100"/>
      <c r="H2766" s="100"/>
    </row>
    <row r="2767" customHeight="1" spans="2:8">
      <c r="B2767" s="98"/>
      <c r="C2767" s="98"/>
      <c r="D2767" s="98"/>
      <c r="E2767" s="98"/>
      <c r="F2767" s="99"/>
      <c r="G2767" s="100"/>
      <c r="H2767" s="100"/>
    </row>
    <row r="2768" customHeight="1" spans="2:8">
      <c r="B2768" s="98"/>
      <c r="C2768" s="98"/>
      <c r="D2768" s="98"/>
      <c r="E2768" s="98"/>
      <c r="F2768" s="99"/>
      <c r="G2768" s="100"/>
      <c r="H2768" s="100"/>
    </row>
    <row r="2769" customHeight="1" spans="2:8">
      <c r="B2769" s="98"/>
      <c r="C2769" s="98"/>
      <c r="D2769" s="98"/>
      <c r="E2769" s="98"/>
      <c r="F2769" s="99"/>
      <c r="G2769" s="100"/>
      <c r="H2769" s="100"/>
    </row>
    <row r="2770" customHeight="1" spans="2:8">
      <c r="B2770" s="98"/>
      <c r="C2770" s="98"/>
      <c r="D2770" s="98"/>
      <c r="E2770" s="98"/>
      <c r="F2770" s="99"/>
      <c r="G2770" s="100"/>
      <c r="H2770" s="100"/>
    </row>
    <row r="2771" customHeight="1" spans="2:8">
      <c r="B2771" s="98"/>
      <c r="C2771" s="98"/>
      <c r="D2771" s="98"/>
      <c r="E2771" s="98"/>
      <c r="F2771" s="99"/>
      <c r="G2771" s="100"/>
      <c r="H2771" s="100"/>
    </row>
    <row r="2772" customHeight="1" spans="2:8">
      <c r="B2772" s="98"/>
      <c r="C2772" s="98"/>
      <c r="D2772" s="98"/>
      <c r="E2772" s="98"/>
      <c r="F2772" s="99"/>
      <c r="G2772" s="100"/>
      <c r="H2772" s="100"/>
    </row>
    <row r="2773" customHeight="1" spans="2:8">
      <c r="B2773" s="98"/>
      <c r="C2773" s="98"/>
      <c r="D2773" s="98"/>
      <c r="E2773" s="98"/>
      <c r="F2773" s="99"/>
      <c r="G2773" s="100"/>
      <c r="H2773" s="100"/>
    </row>
    <row r="2774" customHeight="1" spans="2:8">
      <c r="B2774" s="98"/>
      <c r="C2774" s="98"/>
      <c r="D2774" s="98"/>
      <c r="E2774" s="98"/>
      <c r="F2774" s="99"/>
      <c r="G2774" s="100"/>
      <c r="H2774" s="100"/>
    </row>
    <row r="2775" customHeight="1" spans="2:8">
      <c r="B2775" s="98"/>
      <c r="C2775" s="98"/>
      <c r="D2775" s="98"/>
      <c r="E2775" s="98"/>
      <c r="F2775" s="99"/>
      <c r="G2775" s="100"/>
      <c r="H2775" s="100"/>
    </row>
    <row r="2776" customHeight="1" spans="2:8">
      <c r="B2776" s="98"/>
      <c r="C2776" s="98"/>
      <c r="D2776" s="98"/>
      <c r="E2776" s="98"/>
      <c r="F2776" s="99"/>
      <c r="G2776" s="100"/>
      <c r="H2776" s="100"/>
    </row>
    <row r="2777" customHeight="1" spans="2:8">
      <c r="B2777" s="98"/>
      <c r="C2777" s="98"/>
      <c r="D2777" s="98"/>
      <c r="E2777" s="98"/>
      <c r="F2777" s="99"/>
      <c r="G2777" s="100"/>
      <c r="H2777" s="100"/>
    </row>
    <row r="2778" customHeight="1" spans="2:8">
      <c r="B2778" s="98"/>
      <c r="C2778" s="98"/>
      <c r="D2778" s="98"/>
      <c r="E2778" s="98"/>
      <c r="F2778" s="99"/>
      <c r="G2778" s="100"/>
      <c r="H2778" s="100"/>
    </row>
    <row r="2779" customHeight="1" spans="2:8">
      <c r="B2779" s="98"/>
      <c r="C2779" s="98"/>
      <c r="D2779" s="98"/>
      <c r="E2779" s="98"/>
      <c r="F2779" s="99"/>
      <c r="G2779" s="100"/>
      <c r="H2779" s="100"/>
    </row>
    <row r="2780" customHeight="1" spans="2:8">
      <c r="B2780" s="98"/>
      <c r="C2780" s="98"/>
      <c r="D2780" s="98"/>
      <c r="E2780" s="98"/>
      <c r="F2780" s="99"/>
      <c r="G2780" s="100"/>
      <c r="H2780" s="100"/>
    </row>
    <row r="2781" customHeight="1" spans="2:8">
      <c r="B2781" s="98"/>
      <c r="C2781" s="98"/>
      <c r="D2781" s="98"/>
      <c r="E2781" s="98"/>
      <c r="F2781" s="99"/>
      <c r="G2781" s="100"/>
      <c r="H2781" s="100"/>
    </row>
    <row r="2782" customHeight="1" spans="2:8">
      <c r="B2782" s="98"/>
      <c r="C2782" s="98"/>
      <c r="D2782" s="98"/>
      <c r="E2782" s="98"/>
      <c r="F2782" s="99"/>
      <c r="G2782" s="100"/>
      <c r="H2782" s="100"/>
    </row>
    <row r="2783" customHeight="1" spans="2:8">
      <c r="B2783" s="98"/>
      <c r="C2783" s="98"/>
      <c r="D2783" s="98"/>
      <c r="E2783" s="98"/>
      <c r="F2783" s="99"/>
      <c r="G2783" s="100"/>
      <c r="H2783" s="100"/>
    </row>
    <row r="2784" customHeight="1" spans="2:8">
      <c r="B2784" s="98"/>
      <c r="C2784" s="98"/>
      <c r="D2784" s="98"/>
      <c r="E2784" s="98"/>
      <c r="F2784" s="99"/>
      <c r="G2784" s="100"/>
      <c r="H2784" s="100"/>
    </row>
    <row r="2785" customHeight="1" spans="2:8">
      <c r="B2785" s="98"/>
      <c r="C2785" s="98"/>
      <c r="D2785" s="98"/>
      <c r="E2785" s="98"/>
      <c r="F2785" s="99"/>
      <c r="G2785" s="100"/>
      <c r="H2785" s="100"/>
    </row>
    <row r="2786" customHeight="1" spans="2:8">
      <c r="B2786" s="98"/>
      <c r="C2786" s="98"/>
      <c r="D2786" s="98"/>
      <c r="E2786" s="98"/>
      <c r="F2786" s="99"/>
      <c r="G2786" s="100"/>
      <c r="H2786" s="100"/>
    </row>
    <row r="2787" customHeight="1" spans="2:8">
      <c r="B2787" s="98"/>
      <c r="C2787" s="98"/>
      <c r="D2787" s="98"/>
      <c r="E2787" s="98"/>
      <c r="F2787" s="99"/>
      <c r="G2787" s="100"/>
      <c r="H2787" s="100"/>
    </row>
    <row r="2788" customHeight="1" spans="2:8">
      <c r="B2788" s="98"/>
      <c r="C2788" s="98"/>
      <c r="D2788" s="98"/>
      <c r="E2788" s="98"/>
      <c r="F2788" s="99"/>
      <c r="G2788" s="100"/>
      <c r="H2788" s="100"/>
    </row>
    <row r="2789" customHeight="1" spans="2:8">
      <c r="B2789" s="98"/>
      <c r="C2789" s="98"/>
      <c r="D2789" s="98"/>
      <c r="E2789" s="98"/>
      <c r="F2789" s="99"/>
      <c r="G2789" s="100"/>
      <c r="H2789" s="100"/>
    </row>
    <row r="2790" customHeight="1" spans="2:8">
      <c r="B2790" s="98"/>
      <c r="C2790" s="98"/>
      <c r="D2790" s="98"/>
      <c r="E2790" s="98"/>
      <c r="F2790" s="99"/>
      <c r="G2790" s="100"/>
      <c r="H2790" s="100"/>
    </row>
    <row r="2791" customHeight="1" spans="2:8">
      <c r="B2791" s="98"/>
      <c r="C2791" s="98"/>
      <c r="D2791" s="98"/>
      <c r="E2791" s="98"/>
      <c r="F2791" s="99"/>
      <c r="G2791" s="100"/>
      <c r="H2791" s="100"/>
    </row>
    <row r="2792" customHeight="1" spans="2:8">
      <c r="B2792" s="98"/>
      <c r="C2792" s="98"/>
      <c r="D2792" s="98"/>
      <c r="E2792" s="98"/>
      <c r="F2792" s="99"/>
      <c r="G2792" s="100"/>
      <c r="H2792" s="100"/>
    </row>
    <row r="2793" customHeight="1" spans="2:8">
      <c r="B2793" s="98"/>
      <c r="C2793" s="98"/>
      <c r="D2793" s="98"/>
      <c r="E2793" s="98"/>
      <c r="F2793" s="99"/>
      <c r="G2793" s="100"/>
      <c r="H2793" s="100"/>
    </row>
    <row r="2794" customHeight="1" spans="2:8">
      <c r="B2794" s="98"/>
      <c r="C2794" s="98"/>
      <c r="D2794" s="98"/>
      <c r="E2794" s="98"/>
      <c r="F2794" s="99"/>
      <c r="G2794" s="100"/>
      <c r="H2794" s="100"/>
    </row>
    <row r="2795" customHeight="1" spans="2:8">
      <c r="B2795" s="98"/>
      <c r="C2795" s="98"/>
      <c r="D2795" s="98"/>
      <c r="E2795" s="98"/>
      <c r="F2795" s="99"/>
      <c r="G2795" s="100"/>
      <c r="H2795" s="100"/>
    </row>
    <row r="2796" customHeight="1" spans="2:8">
      <c r="B2796" s="98"/>
      <c r="C2796" s="98"/>
      <c r="D2796" s="98"/>
      <c r="E2796" s="98"/>
      <c r="F2796" s="99"/>
      <c r="G2796" s="100"/>
      <c r="H2796" s="100"/>
    </row>
    <row r="2797" customHeight="1" spans="2:8">
      <c r="B2797" s="98"/>
      <c r="C2797" s="98"/>
      <c r="D2797" s="98"/>
      <c r="E2797" s="98"/>
      <c r="F2797" s="99"/>
      <c r="G2797" s="100"/>
      <c r="H2797" s="100"/>
    </row>
    <row r="2798" customHeight="1" spans="2:8">
      <c r="B2798" s="98"/>
      <c r="C2798" s="98"/>
      <c r="D2798" s="98"/>
      <c r="E2798" s="98"/>
      <c r="F2798" s="99"/>
      <c r="G2798" s="100"/>
      <c r="H2798" s="100"/>
    </row>
    <row r="2799" customHeight="1" spans="2:8">
      <c r="B2799" s="98"/>
      <c r="C2799" s="98"/>
      <c r="D2799" s="98"/>
      <c r="E2799" s="98"/>
      <c r="F2799" s="99"/>
      <c r="G2799" s="100"/>
      <c r="H2799" s="100"/>
    </row>
    <row r="2800" customHeight="1" spans="2:8">
      <c r="B2800" s="98"/>
      <c r="C2800" s="98"/>
      <c r="D2800" s="98"/>
      <c r="E2800" s="98"/>
      <c r="F2800" s="99"/>
      <c r="G2800" s="100"/>
      <c r="H2800" s="100"/>
    </row>
    <row r="2801" customHeight="1" spans="2:8">
      <c r="B2801" s="98"/>
      <c r="C2801" s="98"/>
      <c r="D2801" s="98"/>
      <c r="E2801" s="98"/>
      <c r="F2801" s="99"/>
      <c r="G2801" s="100"/>
      <c r="H2801" s="100"/>
    </row>
    <row r="2802" customHeight="1" spans="2:8">
      <c r="B2802" s="98"/>
      <c r="C2802" s="98"/>
      <c r="D2802" s="98"/>
      <c r="E2802" s="98"/>
      <c r="F2802" s="99"/>
      <c r="G2802" s="100"/>
      <c r="H2802" s="100"/>
    </row>
    <row r="2803" customHeight="1" spans="2:8">
      <c r="B2803" s="98"/>
      <c r="C2803" s="98"/>
      <c r="D2803" s="98"/>
      <c r="E2803" s="98"/>
      <c r="F2803" s="99"/>
      <c r="G2803" s="100"/>
      <c r="H2803" s="100"/>
    </row>
    <row r="2804" customHeight="1" spans="2:8">
      <c r="B2804" s="98"/>
      <c r="C2804" s="98"/>
      <c r="D2804" s="98"/>
      <c r="E2804" s="98"/>
      <c r="F2804" s="99"/>
      <c r="G2804" s="100"/>
      <c r="H2804" s="100"/>
    </row>
    <row r="2805" customHeight="1" spans="2:8">
      <c r="B2805" s="98"/>
      <c r="C2805" s="98"/>
      <c r="D2805" s="98"/>
      <c r="E2805" s="98"/>
      <c r="F2805" s="99"/>
      <c r="G2805" s="100"/>
      <c r="H2805" s="100"/>
    </row>
    <row r="2806" customHeight="1" spans="2:8">
      <c r="B2806" s="98"/>
      <c r="C2806" s="98"/>
      <c r="D2806" s="98"/>
      <c r="E2806" s="98"/>
      <c r="F2806" s="99"/>
      <c r="G2806" s="100"/>
      <c r="H2806" s="100"/>
    </row>
    <row r="2807" customHeight="1" spans="2:8">
      <c r="B2807" s="98"/>
      <c r="C2807" s="98"/>
      <c r="D2807" s="98"/>
      <c r="E2807" s="98"/>
      <c r="F2807" s="99"/>
      <c r="G2807" s="100"/>
      <c r="H2807" s="100"/>
    </row>
    <row r="2808" customHeight="1" spans="2:8">
      <c r="B2808" s="98"/>
      <c r="C2808" s="98"/>
      <c r="D2808" s="98"/>
      <c r="E2808" s="98"/>
      <c r="F2808" s="99"/>
      <c r="G2808" s="100"/>
      <c r="H2808" s="100"/>
    </row>
    <row r="2809" customHeight="1" spans="2:8">
      <c r="B2809" s="98"/>
      <c r="C2809" s="98"/>
      <c r="D2809" s="98"/>
      <c r="E2809" s="98"/>
      <c r="F2809" s="99"/>
      <c r="G2809" s="100"/>
      <c r="H2809" s="100"/>
    </row>
    <row r="2810" customHeight="1" spans="2:8">
      <c r="B2810" s="98"/>
      <c r="C2810" s="98"/>
      <c r="D2810" s="98"/>
      <c r="E2810" s="98"/>
      <c r="F2810" s="99"/>
      <c r="G2810" s="100"/>
      <c r="H2810" s="100"/>
    </row>
    <row r="2811" customHeight="1" spans="2:8">
      <c r="B2811" s="98"/>
      <c r="C2811" s="98"/>
      <c r="D2811" s="98"/>
      <c r="E2811" s="98"/>
      <c r="F2811" s="99"/>
      <c r="G2811" s="100"/>
      <c r="H2811" s="100"/>
    </row>
    <row r="2812" customHeight="1" spans="2:8">
      <c r="B2812" s="98"/>
      <c r="C2812" s="98"/>
      <c r="D2812" s="98"/>
      <c r="E2812" s="98"/>
      <c r="F2812" s="99"/>
      <c r="G2812" s="100"/>
      <c r="H2812" s="100"/>
    </row>
    <row r="2813" customHeight="1" spans="2:8">
      <c r="B2813" s="98"/>
      <c r="C2813" s="98"/>
      <c r="D2813" s="98"/>
      <c r="E2813" s="98"/>
      <c r="F2813" s="99"/>
      <c r="G2813" s="100"/>
      <c r="H2813" s="100"/>
    </row>
    <row r="2814" customHeight="1" spans="2:8">
      <c r="B2814" s="98"/>
      <c r="C2814" s="98"/>
      <c r="D2814" s="98"/>
      <c r="E2814" s="98"/>
      <c r="F2814" s="99"/>
      <c r="G2814" s="100"/>
      <c r="H2814" s="100"/>
    </row>
    <row r="2815" customHeight="1" spans="2:8">
      <c r="B2815" s="98"/>
      <c r="C2815" s="98"/>
      <c r="D2815" s="98"/>
      <c r="E2815" s="98"/>
      <c r="F2815" s="99"/>
      <c r="G2815" s="100"/>
      <c r="H2815" s="100"/>
    </row>
    <row r="2816" customHeight="1" spans="2:8">
      <c r="B2816" s="98"/>
      <c r="C2816" s="98"/>
      <c r="D2816" s="98"/>
      <c r="E2816" s="98"/>
      <c r="F2816" s="99"/>
      <c r="G2816" s="100"/>
      <c r="H2816" s="100"/>
    </row>
    <row r="2817" customHeight="1" spans="2:8">
      <c r="B2817" s="98"/>
      <c r="C2817" s="98"/>
      <c r="D2817" s="98"/>
      <c r="E2817" s="98"/>
      <c r="F2817" s="99"/>
      <c r="G2817" s="100"/>
      <c r="H2817" s="100"/>
    </row>
    <row r="2818" customHeight="1" spans="2:8">
      <c r="B2818" s="98"/>
      <c r="C2818" s="98"/>
      <c r="D2818" s="98"/>
      <c r="E2818" s="98"/>
      <c r="F2818" s="99"/>
      <c r="G2818" s="100"/>
      <c r="H2818" s="100"/>
    </row>
    <row r="2819" customHeight="1" spans="2:8">
      <c r="B2819" s="98"/>
      <c r="C2819" s="98"/>
      <c r="D2819" s="98"/>
      <c r="E2819" s="98"/>
      <c r="F2819" s="99"/>
      <c r="G2819" s="100"/>
      <c r="H2819" s="100"/>
    </row>
    <row r="2820" customHeight="1" spans="2:8">
      <c r="B2820" s="98"/>
      <c r="C2820" s="98"/>
      <c r="D2820" s="98"/>
      <c r="E2820" s="98"/>
      <c r="F2820" s="99"/>
      <c r="G2820" s="100"/>
      <c r="H2820" s="100"/>
    </row>
    <row r="2821" customHeight="1" spans="2:8">
      <c r="B2821" s="98"/>
      <c r="C2821" s="98"/>
      <c r="D2821" s="98"/>
      <c r="E2821" s="98"/>
      <c r="F2821" s="99"/>
      <c r="G2821" s="100"/>
      <c r="H2821" s="100"/>
    </row>
    <row r="2822" customHeight="1" spans="2:8">
      <c r="B2822" s="98"/>
      <c r="C2822" s="98"/>
      <c r="D2822" s="98"/>
      <c r="E2822" s="98"/>
      <c r="F2822" s="99"/>
      <c r="G2822" s="100"/>
      <c r="H2822" s="100"/>
    </row>
    <row r="2823" customHeight="1" spans="2:8">
      <c r="B2823" s="98"/>
      <c r="C2823" s="98"/>
      <c r="D2823" s="98"/>
      <c r="E2823" s="98"/>
      <c r="F2823" s="99"/>
      <c r="G2823" s="100"/>
      <c r="H2823" s="100"/>
    </row>
    <row r="2824" customHeight="1" spans="2:8">
      <c r="B2824" s="98"/>
      <c r="C2824" s="98"/>
      <c r="D2824" s="98"/>
      <c r="E2824" s="98"/>
      <c r="F2824" s="99"/>
      <c r="G2824" s="100"/>
      <c r="H2824" s="100"/>
    </row>
    <row r="2825" customHeight="1" spans="2:8">
      <c r="B2825" s="98"/>
      <c r="C2825" s="98"/>
      <c r="D2825" s="98"/>
      <c r="E2825" s="98"/>
      <c r="F2825" s="99"/>
      <c r="G2825" s="100"/>
      <c r="H2825" s="100"/>
    </row>
    <row r="2826" customHeight="1" spans="2:8">
      <c r="B2826" s="98"/>
      <c r="C2826" s="98"/>
      <c r="D2826" s="98"/>
      <c r="E2826" s="98"/>
      <c r="F2826" s="99"/>
      <c r="G2826" s="100"/>
      <c r="H2826" s="100"/>
    </row>
    <row r="2827" customHeight="1" spans="2:8">
      <c r="B2827" s="98"/>
      <c r="C2827" s="98"/>
      <c r="D2827" s="98"/>
      <c r="E2827" s="98"/>
      <c r="F2827" s="99"/>
      <c r="G2827" s="100"/>
      <c r="H2827" s="100"/>
    </row>
    <row r="2828" customHeight="1" spans="2:8">
      <c r="B2828" s="98"/>
      <c r="C2828" s="98"/>
      <c r="D2828" s="98"/>
      <c r="E2828" s="98"/>
      <c r="F2828" s="99"/>
      <c r="G2828" s="100"/>
      <c r="H2828" s="100"/>
    </row>
    <row r="2829" customHeight="1" spans="2:8">
      <c r="B2829" s="98"/>
      <c r="C2829" s="98"/>
      <c r="D2829" s="98"/>
      <c r="E2829" s="98"/>
      <c r="F2829" s="99"/>
      <c r="G2829" s="100"/>
      <c r="H2829" s="100"/>
    </row>
    <row r="2830" customHeight="1" spans="2:8">
      <c r="B2830" s="98"/>
      <c r="C2830" s="98"/>
      <c r="D2830" s="98"/>
      <c r="E2830" s="98"/>
      <c r="F2830" s="99"/>
      <c r="G2830" s="100"/>
      <c r="H2830" s="100"/>
    </row>
    <row r="2831" customHeight="1" spans="2:8">
      <c r="B2831" s="98"/>
      <c r="C2831" s="98"/>
      <c r="D2831" s="98"/>
      <c r="E2831" s="98"/>
      <c r="F2831" s="99"/>
      <c r="G2831" s="100"/>
      <c r="H2831" s="100"/>
    </row>
    <row r="2832" customHeight="1" spans="2:8">
      <c r="B2832" s="98"/>
      <c r="C2832" s="98"/>
      <c r="D2832" s="98"/>
      <c r="E2832" s="98"/>
      <c r="F2832" s="99"/>
      <c r="G2832" s="100"/>
      <c r="H2832" s="100"/>
    </row>
    <row r="2833" customHeight="1" spans="2:8">
      <c r="B2833" s="98"/>
      <c r="C2833" s="98"/>
      <c r="D2833" s="98"/>
      <c r="E2833" s="98"/>
      <c r="F2833" s="99"/>
      <c r="G2833" s="100"/>
      <c r="H2833" s="100"/>
    </row>
    <row r="2834" customHeight="1" spans="2:8">
      <c r="B2834" s="98"/>
      <c r="C2834" s="98"/>
      <c r="D2834" s="98"/>
      <c r="E2834" s="98"/>
      <c r="F2834" s="99"/>
      <c r="G2834" s="100"/>
      <c r="H2834" s="100"/>
    </row>
    <row r="2835" customHeight="1" spans="2:8">
      <c r="B2835" s="98"/>
      <c r="C2835" s="98"/>
      <c r="D2835" s="98"/>
      <c r="E2835" s="98"/>
      <c r="F2835" s="99"/>
      <c r="G2835" s="100"/>
      <c r="H2835" s="100"/>
    </row>
    <row r="2836" customHeight="1" spans="2:8">
      <c r="B2836" s="98"/>
      <c r="C2836" s="98"/>
      <c r="D2836" s="98"/>
      <c r="E2836" s="98"/>
      <c r="F2836" s="99"/>
      <c r="G2836" s="100"/>
      <c r="H2836" s="100"/>
    </row>
    <row r="2837" customHeight="1" spans="2:8">
      <c r="B2837" s="98"/>
      <c r="C2837" s="98"/>
      <c r="D2837" s="98"/>
      <c r="E2837" s="98"/>
      <c r="F2837" s="99"/>
      <c r="G2837" s="100"/>
      <c r="H2837" s="100"/>
    </row>
    <row r="2838" customHeight="1" spans="2:8">
      <c r="B2838" s="98"/>
      <c r="C2838" s="98"/>
      <c r="D2838" s="98"/>
      <c r="E2838" s="98"/>
      <c r="F2838" s="99"/>
      <c r="G2838" s="100"/>
      <c r="H2838" s="100"/>
    </row>
    <row r="2839" customHeight="1" spans="2:8">
      <c r="B2839" s="98"/>
      <c r="C2839" s="98"/>
      <c r="D2839" s="98"/>
      <c r="E2839" s="98"/>
      <c r="F2839" s="99"/>
      <c r="G2839" s="100"/>
      <c r="H2839" s="100"/>
    </row>
    <row r="2840" customHeight="1" spans="2:8">
      <c r="B2840" s="98"/>
      <c r="C2840" s="98"/>
      <c r="D2840" s="98"/>
      <c r="E2840" s="98"/>
      <c r="F2840" s="99"/>
      <c r="G2840" s="100"/>
      <c r="H2840" s="100"/>
    </row>
    <row r="2841" customHeight="1" spans="2:8">
      <c r="B2841" s="98"/>
      <c r="C2841" s="98"/>
      <c r="D2841" s="98"/>
      <c r="E2841" s="98"/>
      <c r="F2841" s="99"/>
      <c r="G2841" s="100"/>
      <c r="H2841" s="100"/>
    </row>
    <row r="2842" customHeight="1" spans="2:8">
      <c r="B2842" s="98"/>
      <c r="C2842" s="98"/>
      <c r="D2842" s="98"/>
      <c r="E2842" s="98"/>
      <c r="F2842" s="99"/>
      <c r="G2842" s="100"/>
      <c r="H2842" s="100"/>
    </row>
    <row r="2843" customHeight="1" spans="2:8">
      <c r="B2843" s="98"/>
      <c r="C2843" s="98"/>
      <c r="D2843" s="98"/>
      <c r="E2843" s="98"/>
      <c r="F2843" s="99"/>
      <c r="G2843" s="100"/>
      <c r="H2843" s="100"/>
    </row>
    <row r="2844" customHeight="1" spans="2:8">
      <c r="B2844" s="98"/>
      <c r="C2844" s="98"/>
      <c r="D2844" s="98"/>
      <c r="E2844" s="98"/>
      <c r="F2844" s="99"/>
      <c r="G2844" s="100"/>
      <c r="H2844" s="100"/>
    </row>
    <row r="2845" customHeight="1" spans="2:8">
      <c r="B2845" s="98"/>
      <c r="C2845" s="98"/>
      <c r="D2845" s="98"/>
      <c r="E2845" s="98"/>
      <c r="F2845" s="99"/>
      <c r="G2845" s="100"/>
      <c r="H2845" s="100"/>
    </row>
    <row r="2846" customHeight="1" spans="2:8">
      <c r="B2846" s="98"/>
      <c r="C2846" s="98"/>
      <c r="D2846" s="98"/>
      <c r="E2846" s="98"/>
      <c r="F2846" s="99"/>
      <c r="G2846" s="100"/>
      <c r="H2846" s="100"/>
    </row>
    <row r="2847" customHeight="1" spans="2:8">
      <c r="B2847" s="98"/>
      <c r="C2847" s="98"/>
      <c r="D2847" s="98"/>
      <c r="E2847" s="98"/>
      <c r="F2847" s="99"/>
      <c r="G2847" s="100"/>
      <c r="H2847" s="100"/>
    </row>
    <row r="2848" customHeight="1" spans="2:8">
      <c r="B2848" s="98"/>
      <c r="C2848" s="98"/>
      <c r="D2848" s="98"/>
      <c r="E2848" s="98"/>
      <c r="F2848" s="99"/>
      <c r="G2848" s="100"/>
      <c r="H2848" s="100"/>
    </row>
    <row r="2849" customHeight="1" spans="2:8">
      <c r="B2849" s="98"/>
      <c r="C2849" s="98"/>
      <c r="D2849" s="98"/>
      <c r="E2849" s="98"/>
      <c r="F2849" s="99"/>
      <c r="G2849" s="100"/>
      <c r="H2849" s="100"/>
    </row>
    <row r="2850" customHeight="1" spans="2:8">
      <c r="B2850" s="98"/>
      <c r="C2850" s="98"/>
      <c r="D2850" s="98"/>
      <c r="E2850" s="98"/>
      <c r="F2850" s="99"/>
      <c r="G2850" s="100"/>
      <c r="H2850" s="100"/>
    </row>
    <row r="2851" customHeight="1" spans="2:8">
      <c r="B2851" s="98"/>
      <c r="C2851" s="98"/>
      <c r="D2851" s="98"/>
      <c r="E2851" s="98"/>
      <c r="F2851" s="99"/>
      <c r="G2851" s="100"/>
      <c r="H2851" s="100"/>
    </row>
    <row r="2852" customHeight="1" spans="2:8">
      <c r="B2852" s="98"/>
      <c r="C2852" s="98"/>
      <c r="D2852" s="98"/>
      <c r="E2852" s="98"/>
      <c r="F2852" s="99"/>
      <c r="G2852" s="100"/>
      <c r="H2852" s="100"/>
    </row>
    <row r="2853" customHeight="1" spans="2:8">
      <c r="B2853" s="98"/>
      <c r="C2853" s="98"/>
      <c r="D2853" s="98"/>
      <c r="E2853" s="98"/>
      <c r="F2853" s="99"/>
      <c r="G2853" s="100"/>
      <c r="H2853" s="100"/>
    </row>
    <row r="2854" customHeight="1" spans="2:8">
      <c r="B2854" s="98"/>
      <c r="C2854" s="98"/>
      <c r="D2854" s="98"/>
      <c r="E2854" s="98"/>
      <c r="F2854" s="99"/>
      <c r="G2854" s="100"/>
      <c r="H2854" s="100"/>
    </row>
    <row r="2855" customHeight="1" spans="2:8">
      <c r="B2855" s="98"/>
      <c r="C2855" s="98"/>
      <c r="D2855" s="98"/>
      <c r="E2855" s="98"/>
      <c r="F2855" s="99"/>
      <c r="G2855" s="100"/>
      <c r="H2855" s="100"/>
    </row>
    <row r="2856" customHeight="1" spans="2:8">
      <c r="B2856" s="98"/>
      <c r="C2856" s="98"/>
      <c r="D2856" s="98"/>
      <c r="E2856" s="98"/>
      <c r="F2856" s="99"/>
      <c r="G2856" s="100"/>
      <c r="H2856" s="100"/>
    </row>
    <row r="2857" customHeight="1" spans="2:8">
      <c r="B2857" s="98"/>
      <c r="C2857" s="98"/>
      <c r="D2857" s="98"/>
      <c r="E2857" s="98"/>
      <c r="F2857" s="99"/>
      <c r="G2857" s="100"/>
      <c r="H2857" s="100"/>
    </row>
    <row r="2858" customHeight="1" spans="2:8">
      <c r="B2858" s="98"/>
      <c r="C2858" s="98"/>
      <c r="D2858" s="98"/>
      <c r="E2858" s="98"/>
      <c r="F2858" s="99"/>
      <c r="G2858" s="100"/>
      <c r="H2858" s="100"/>
    </row>
    <row r="2859" customHeight="1" spans="2:8">
      <c r="B2859" s="98"/>
      <c r="C2859" s="98"/>
      <c r="D2859" s="98"/>
      <c r="E2859" s="98"/>
      <c r="F2859" s="99"/>
      <c r="G2859" s="100"/>
      <c r="H2859" s="100"/>
    </row>
    <row r="2860" customHeight="1" spans="2:8">
      <c r="B2860" s="98"/>
      <c r="C2860" s="98"/>
      <c r="D2860" s="98"/>
      <c r="E2860" s="98"/>
      <c r="F2860" s="99"/>
      <c r="G2860" s="100"/>
      <c r="H2860" s="100"/>
    </row>
    <row r="2861" customHeight="1" spans="2:8">
      <c r="B2861" s="98"/>
      <c r="C2861" s="98"/>
      <c r="D2861" s="98"/>
      <c r="E2861" s="98"/>
      <c r="F2861" s="99"/>
      <c r="G2861" s="100"/>
      <c r="H2861" s="100"/>
    </row>
    <row r="2862" customHeight="1" spans="2:8">
      <c r="B2862" s="98"/>
      <c r="C2862" s="98"/>
      <c r="D2862" s="98"/>
      <c r="E2862" s="98"/>
      <c r="F2862" s="99"/>
      <c r="G2862" s="100"/>
      <c r="H2862" s="100"/>
    </row>
    <row r="2863" customHeight="1" spans="2:8">
      <c r="B2863" s="98"/>
      <c r="C2863" s="98"/>
      <c r="D2863" s="98"/>
      <c r="E2863" s="98"/>
      <c r="F2863" s="99"/>
      <c r="G2863" s="100"/>
      <c r="H2863" s="100"/>
    </row>
    <row r="2864" customHeight="1" spans="2:8">
      <c r="B2864" s="98"/>
      <c r="C2864" s="98"/>
      <c r="D2864" s="98"/>
      <c r="E2864" s="98"/>
      <c r="F2864" s="99"/>
      <c r="G2864" s="100"/>
      <c r="H2864" s="100"/>
    </row>
    <row r="2865" customHeight="1" spans="2:8">
      <c r="B2865" s="98"/>
      <c r="C2865" s="98"/>
      <c r="D2865" s="98"/>
      <c r="E2865" s="98"/>
      <c r="F2865" s="99"/>
      <c r="G2865" s="100"/>
      <c r="H2865" s="100"/>
    </row>
    <row r="2866" customHeight="1" spans="2:8">
      <c r="B2866" s="98"/>
      <c r="C2866" s="98"/>
      <c r="D2866" s="98"/>
      <c r="E2866" s="98"/>
      <c r="F2866" s="99"/>
      <c r="G2866" s="100"/>
      <c r="H2866" s="100"/>
    </row>
    <row r="2867" customHeight="1" spans="2:8">
      <c r="B2867" s="98"/>
      <c r="C2867" s="98"/>
      <c r="D2867" s="98"/>
      <c r="E2867" s="98"/>
      <c r="F2867" s="99"/>
      <c r="G2867" s="100"/>
      <c r="H2867" s="100"/>
    </row>
    <row r="2868" customHeight="1" spans="2:8">
      <c r="B2868" s="98"/>
      <c r="C2868" s="98"/>
      <c r="D2868" s="98"/>
      <c r="E2868" s="98"/>
      <c r="F2868" s="99"/>
      <c r="G2868" s="100"/>
      <c r="H2868" s="100"/>
    </row>
    <row r="2869" customHeight="1" spans="2:8">
      <c r="B2869" s="98"/>
      <c r="C2869" s="98"/>
      <c r="D2869" s="98"/>
      <c r="E2869" s="98"/>
      <c r="F2869" s="99"/>
      <c r="G2869" s="100"/>
      <c r="H2869" s="100"/>
    </row>
    <row r="2870" customHeight="1" spans="2:8">
      <c r="B2870" s="98"/>
      <c r="C2870" s="98"/>
      <c r="D2870" s="98"/>
      <c r="E2870" s="98"/>
      <c r="F2870" s="99"/>
      <c r="G2870" s="100"/>
      <c r="H2870" s="100"/>
    </row>
    <row r="2871" customHeight="1" spans="2:8">
      <c r="B2871" s="98"/>
      <c r="C2871" s="98"/>
      <c r="D2871" s="98"/>
      <c r="E2871" s="98"/>
      <c r="F2871" s="99"/>
      <c r="G2871" s="100"/>
      <c r="H2871" s="100"/>
    </row>
    <row r="2872" customHeight="1" spans="2:8">
      <c r="B2872" s="98"/>
      <c r="C2872" s="98"/>
      <c r="D2872" s="98"/>
      <c r="E2872" s="98"/>
      <c r="F2872" s="99"/>
      <c r="G2872" s="100"/>
      <c r="H2872" s="100"/>
    </row>
    <row r="2873" customHeight="1" spans="2:8">
      <c r="B2873" s="98"/>
      <c r="C2873" s="98"/>
      <c r="D2873" s="98"/>
      <c r="E2873" s="98"/>
      <c r="F2873" s="99"/>
      <c r="G2873" s="100"/>
      <c r="H2873" s="100"/>
    </row>
    <row r="2874" customHeight="1" spans="2:8">
      <c r="B2874" s="98"/>
      <c r="C2874" s="98"/>
      <c r="D2874" s="98"/>
      <c r="E2874" s="98"/>
      <c r="F2874" s="99"/>
      <c r="G2874" s="100"/>
      <c r="H2874" s="100"/>
    </row>
    <row r="2875" customHeight="1" spans="2:8">
      <c r="B2875" s="98"/>
      <c r="C2875" s="98"/>
      <c r="D2875" s="98"/>
      <c r="E2875" s="98"/>
      <c r="F2875" s="99"/>
      <c r="G2875" s="100"/>
      <c r="H2875" s="100"/>
    </row>
    <row r="2876" customHeight="1" spans="2:8">
      <c r="B2876" s="98"/>
      <c r="C2876" s="98"/>
      <c r="D2876" s="98"/>
      <c r="E2876" s="98"/>
      <c r="F2876" s="99"/>
      <c r="G2876" s="100"/>
      <c r="H2876" s="100"/>
    </row>
    <row r="2877" customHeight="1" spans="2:8">
      <c r="B2877" s="98"/>
      <c r="C2877" s="98"/>
      <c r="D2877" s="98"/>
      <c r="E2877" s="98"/>
      <c r="F2877" s="99"/>
      <c r="G2877" s="100"/>
      <c r="H2877" s="100"/>
    </row>
    <row r="2878" customHeight="1" spans="2:8">
      <c r="B2878" s="98"/>
      <c r="C2878" s="98"/>
      <c r="D2878" s="98"/>
      <c r="E2878" s="98"/>
      <c r="F2878" s="99"/>
      <c r="G2878" s="100"/>
      <c r="H2878" s="100"/>
    </row>
    <row r="2879" customHeight="1" spans="2:8">
      <c r="B2879" s="98"/>
      <c r="C2879" s="98"/>
      <c r="D2879" s="98"/>
      <c r="E2879" s="98"/>
      <c r="F2879" s="99"/>
      <c r="G2879" s="100"/>
      <c r="H2879" s="100"/>
    </row>
    <row r="2880" customHeight="1" spans="2:8">
      <c r="B2880" s="98"/>
      <c r="C2880" s="98"/>
      <c r="D2880" s="98"/>
      <c r="E2880" s="98"/>
      <c r="F2880" s="99"/>
      <c r="G2880" s="100"/>
      <c r="H2880" s="100"/>
    </row>
    <row r="2881" customHeight="1" spans="2:8">
      <c r="B2881" s="98"/>
      <c r="C2881" s="98"/>
      <c r="D2881" s="98"/>
      <c r="E2881" s="98"/>
      <c r="F2881" s="99"/>
      <c r="G2881" s="100"/>
      <c r="H2881" s="100"/>
    </row>
    <row r="2882" customHeight="1" spans="2:8">
      <c r="B2882" s="98"/>
      <c r="C2882" s="98"/>
      <c r="D2882" s="98"/>
      <c r="E2882" s="98"/>
      <c r="F2882" s="99"/>
      <c r="G2882" s="100"/>
      <c r="H2882" s="100"/>
    </row>
    <row r="2883" customHeight="1" spans="2:8">
      <c r="B2883" s="98"/>
      <c r="C2883" s="98"/>
      <c r="D2883" s="98"/>
      <c r="E2883" s="98"/>
      <c r="F2883" s="99"/>
      <c r="G2883" s="100"/>
      <c r="H2883" s="100"/>
    </row>
    <row r="2884" customHeight="1" spans="2:8">
      <c r="B2884" s="98"/>
      <c r="C2884" s="98"/>
      <c r="D2884" s="98"/>
      <c r="E2884" s="98"/>
      <c r="F2884" s="99"/>
      <c r="G2884" s="100"/>
      <c r="H2884" s="100"/>
    </row>
    <row r="2885" customHeight="1" spans="2:8">
      <c r="B2885" s="98"/>
      <c r="C2885" s="98"/>
      <c r="D2885" s="98"/>
      <c r="E2885" s="98"/>
      <c r="F2885" s="99"/>
      <c r="G2885" s="100"/>
      <c r="H2885" s="100"/>
    </row>
    <row r="2886" customHeight="1" spans="2:8">
      <c r="B2886" s="98"/>
      <c r="C2886" s="98"/>
      <c r="D2886" s="98"/>
      <c r="E2886" s="98"/>
      <c r="F2886" s="99"/>
      <c r="G2886" s="100"/>
      <c r="H2886" s="100"/>
    </row>
    <row r="2887" customHeight="1" spans="2:8">
      <c r="B2887" s="98"/>
      <c r="C2887" s="98"/>
      <c r="D2887" s="98"/>
      <c r="E2887" s="98"/>
      <c r="F2887" s="99"/>
      <c r="G2887" s="100"/>
      <c r="H2887" s="100"/>
    </row>
    <row r="2888" customHeight="1" spans="2:8">
      <c r="B2888" s="98"/>
      <c r="C2888" s="98"/>
      <c r="D2888" s="98"/>
      <c r="E2888" s="98"/>
      <c r="F2888" s="99"/>
      <c r="G2888" s="100"/>
      <c r="H2888" s="100"/>
    </row>
    <row r="2889" customHeight="1" spans="2:8">
      <c r="B2889" s="98"/>
      <c r="C2889" s="98"/>
      <c r="D2889" s="98"/>
      <c r="E2889" s="98"/>
      <c r="F2889" s="99"/>
      <c r="G2889" s="100"/>
      <c r="H2889" s="100"/>
    </row>
    <row r="2890" customHeight="1" spans="2:8">
      <c r="B2890" s="98"/>
      <c r="C2890" s="98"/>
      <c r="D2890" s="98"/>
      <c r="E2890" s="98"/>
      <c r="F2890" s="99"/>
      <c r="G2890" s="100"/>
      <c r="H2890" s="100"/>
    </row>
    <row r="2891" customHeight="1" spans="2:8">
      <c r="B2891" s="98"/>
      <c r="C2891" s="98"/>
      <c r="D2891" s="98"/>
      <c r="E2891" s="98"/>
      <c r="F2891" s="99"/>
      <c r="G2891" s="100"/>
      <c r="H2891" s="100"/>
    </row>
    <row r="2892" customHeight="1" spans="2:8">
      <c r="B2892" s="98"/>
      <c r="C2892" s="98"/>
      <c r="D2892" s="98"/>
      <c r="E2892" s="98"/>
      <c r="F2892" s="99"/>
      <c r="G2892" s="100"/>
      <c r="H2892" s="100"/>
    </row>
    <row r="2893" customHeight="1" spans="2:8">
      <c r="B2893" s="98"/>
      <c r="C2893" s="98"/>
      <c r="D2893" s="98"/>
      <c r="E2893" s="98"/>
      <c r="F2893" s="99"/>
      <c r="G2893" s="100"/>
      <c r="H2893" s="100"/>
    </row>
    <row r="2894" customHeight="1" spans="2:8">
      <c r="B2894" s="98"/>
      <c r="C2894" s="98"/>
      <c r="D2894" s="98"/>
      <c r="E2894" s="98"/>
      <c r="F2894" s="99"/>
      <c r="G2894" s="100"/>
      <c r="H2894" s="100"/>
    </row>
    <row r="2895" customHeight="1" spans="2:8">
      <c r="B2895" s="98"/>
      <c r="C2895" s="98"/>
      <c r="D2895" s="98"/>
      <c r="E2895" s="98"/>
      <c r="F2895" s="99"/>
      <c r="G2895" s="100"/>
      <c r="H2895" s="100"/>
    </row>
    <row r="2896" customHeight="1" spans="2:8">
      <c r="B2896" s="98"/>
      <c r="C2896" s="98"/>
      <c r="D2896" s="98"/>
      <c r="E2896" s="98"/>
      <c r="F2896" s="99"/>
      <c r="G2896" s="100"/>
      <c r="H2896" s="100"/>
    </row>
    <row r="2897" customHeight="1" spans="2:8">
      <c r="B2897" s="98"/>
      <c r="C2897" s="98"/>
      <c r="D2897" s="98"/>
      <c r="E2897" s="98"/>
      <c r="F2897" s="99"/>
      <c r="G2897" s="100"/>
      <c r="H2897" s="100"/>
    </row>
    <row r="2898" customHeight="1" spans="2:8">
      <c r="B2898" s="98"/>
      <c r="C2898" s="98"/>
      <c r="D2898" s="98"/>
      <c r="E2898" s="98"/>
      <c r="F2898" s="99"/>
      <c r="G2898" s="100"/>
      <c r="H2898" s="100"/>
    </row>
    <row r="2899" customHeight="1" spans="2:8">
      <c r="B2899" s="98"/>
      <c r="C2899" s="98"/>
      <c r="D2899" s="98"/>
      <c r="E2899" s="98"/>
      <c r="F2899" s="99"/>
      <c r="G2899" s="100"/>
      <c r="H2899" s="100"/>
    </row>
    <row r="2900" customHeight="1" spans="2:8">
      <c r="B2900" s="98"/>
      <c r="C2900" s="98"/>
      <c r="D2900" s="98"/>
      <c r="E2900" s="98"/>
      <c r="F2900" s="99"/>
      <c r="G2900" s="100"/>
      <c r="H2900" s="100"/>
    </row>
    <row r="2901" customHeight="1" spans="2:8">
      <c r="B2901" s="98"/>
      <c r="C2901" s="98"/>
      <c r="D2901" s="98"/>
      <c r="E2901" s="98"/>
      <c r="F2901" s="99"/>
      <c r="G2901" s="100"/>
      <c r="H2901" s="100"/>
    </row>
    <row r="2902" customHeight="1" spans="2:8">
      <c r="B2902" s="98"/>
      <c r="C2902" s="98"/>
      <c r="D2902" s="98"/>
      <c r="E2902" s="98"/>
      <c r="F2902" s="99"/>
      <c r="G2902" s="100"/>
      <c r="H2902" s="100"/>
    </row>
    <row r="2903" customHeight="1" spans="2:8">
      <c r="B2903" s="98"/>
      <c r="C2903" s="98"/>
      <c r="D2903" s="98"/>
      <c r="E2903" s="98"/>
      <c r="F2903" s="99"/>
      <c r="G2903" s="100"/>
      <c r="H2903" s="100"/>
    </row>
    <row r="2904" customHeight="1" spans="2:8">
      <c r="B2904" s="98"/>
      <c r="C2904" s="98"/>
      <c r="D2904" s="98"/>
      <c r="E2904" s="98"/>
      <c r="F2904" s="99"/>
      <c r="G2904" s="100"/>
      <c r="H2904" s="100"/>
    </row>
    <row r="2905" customHeight="1" spans="2:8">
      <c r="B2905" s="98"/>
      <c r="C2905" s="98"/>
      <c r="D2905" s="98"/>
      <c r="E2905" s="98"/>
      <c r="F2905" s="99"/>
      <c r="G2905" s="100"/>
      <c r="H2905" s="100"/>
    </row>
    <row r="2906" customHeight="1" spans="2:8">
      <c r="B2906" s="98"/>
      <c r="C2906" s="98"/>
      <c r="D2906" s="98"/>
      <c r="E2906" s="98"/>
      <c r="F2906" s="99"/>
      <c r="G2906" s="100"/>
      <c r="H2906" s="100"/>
    </row>
    <row r="2907" customHeight="1" spans="2:8">
      <c r="B2907" s="98"/>
      <c r="C2907" s="98"/>
      <c r="D2907" s="98"/>
      <c r="E2907" s="98"/>
      <c r="F2907" s="99"/>
      <c r="G2907" s="100"/>
      <c r="H2907" s="100"/>
    </row>
    <row r="2908" customHeight="1" spans="2:8">
      <c r="B2908" s="98"/>
      <c r="C2908" s="98"/>
      <c r="D2908" s="98"/>
      <c r="E2908" s="98"/>
      <c r="F2908" s="99"/>
      <c r="G2908" s="100"/>
      <c r="H2908" s="100"/>
    </row>
    <row r="2909" customHeight="1" spans="2:8">
      <c r="B2909" s="98"/>
      <c r="C2909" s="98"/>
      <c r="D2909" s="98"/>
      <c r="E2909" s="98"/>
      <c r="F2909" s="99"/>
      <c r="G2909" s="100"/>
      <c r="H2909" s="100"/>
    </row>
    <row r="2910" customHeight="1" spans="2:8">
      <c r="B2910" s="98"/>
      <c r="C2910" s="98"/>
      <c r="D2910" s="98"/>
      <c r="E2910" s="98"/>
      <c r="F2910" s="99"/>
      <c r="G2910" s="100"/>
      <c r="H2910" s="100"/>
    </row>
    <row r="2911" customHeight="1" spans="2:8">
      <c r="B2911" s="98"/>
      <c r="C2911" s="98"/>
      <c r="D2911" s="98"/>
      <c r="E2911" s="98"/>
      <c r="F2911" s="99"/>
      <c r="G2911" s="100"/>
      <c r="H2911" s="100"/>
    </row>
    <row r="2912" customHeight="1" spans="2:8">
      <c r="B2912" s="98"/>
      <c r="C2912" s="98"/>
      <c r="D2912" s="98"/>
      <c r="E2912" s="98"/>
      <c r="F2912" s="99"/>
      <c r="G2912" s="100"/>
      <c r="H2912" s="100"/>
    </row>
    <row r="2913" customHeight="1" spans="2:8">
      <c r="B2913" s="98"/>
      <c r="C2913" s="98"/>
      <c r="D2913" s="98"/>
      <c r="E2913" s="98"/>
      <c r="F2913" s="99"/>
      <c r="G2913" s="100"/>
      <c r="H2913" s="100"/>
    </row>
    <row r="2914" customHeight="1" spans="2:8">
      <c r="B2914" s="98"/>
      <c r="C2914" s="98"/>
      <c r="D2914" s="98"/>
      <c r="E2914" s="98"/>
      <c r="F2914" s="99"/>
      <c r="G2914" s="100"/>
      <c r="H2914" s="100"/>
    </row>
    <row r="2915" customHeight="1" spans="2:8">
      <c r="B2915" s="98"/>
      <c r="C2915" s="98"/>
      <c r="D2915" s="98"/>
      <c r="E2915" s="98"/>
      <c r="F2915" s="99"/>
      <c r="G2915" s="100"/>
      <c r="H2915" s="100"/>
    </row>
    <row r="2916" customHeight="1" spans="2:8">
      <c r="B2916" s="98"/>
      <c r="C2916" s="98"/>
      <c r="D2916" s="98"/>
      <c r="E2916" s="98"/>
      <c r="F2916" s="99"/>
      <c r="G2916" s="100"/>
      <c r="H2916" s="100"/>
    </row>
    <row r="2917" customHeight="1" spans="2:8">
      <c r="B2917" s="98"/>
      <c r="C2917" s="98"/>
      <c r="D2917" s="98"/>
      <c r="E2917" s="98"/>
      <c r="F2917" s="99"/>
      <c r="G2917" s="100"/>
      <c r="H2917" s="100"/>
    </row>
    <row r="2918" customHeight="1" spans="2:8">
      <c r="B2918" s="98"/>
      <c r="C2918" s="98"/>
      <c r="D2918" s="98"/>
      <c r="E2918" s="98"/>
      <c r="F2918" s="99"/>
      <c r="G2918" s="100"/>
      <c r="H2918" s="100"/>
    </row>
    <row r="2919" customHeight="1" spans="2:8">
      <c r="B2919" s="98"/>
      <c r="C2919" s="98"/>
      <c r="D2919" s="98"/>
      <c r="E2919" s="98"/>
      <c r="F2919" s="99"/>
      <c r="G2919" s="100"/>
      <c r="H2919" s="100"/>
    </row>
    <row r="2920" customHeight="1" spans="2:8">
      <c r="B2920" s="98"/>
      <c r="C2920" s="98"/>
      <c r="D2920" s="98"/>
      <c r="E2920" s="98"/>
      <c r="F2920" s="99"/>
      <c r="G2920" s="100"/>
      <c r="H2920" s="100"/>
    </row>
    <row r="2921" customHeight="1" spans="2:8">
      <c r="B2921" s="98"/>
      <c r="C2921" s="98"/>
      <c r="D2921" s="98"/>
      <c r="E2921" s="98"/>
      <c r="F2921" s="99"/>
      <c r="G2921" s="100"/>
      <c r="H2921" s="100"/>
    </row>
    <row r="2922" customHeight="1" spans="2:8">
      <c r="B2922" s="98"/>
      <c r="C2922" s="98"/>
      <c r="D2922" s="98"/>
      <c r="E2922" s="98"/>
      <c r="F2922" s="99"/>
      <c r="G2922" s="100"/>
      <c r="H2922" s="100"/>
    </row>
    <row r="2923" customHeight="1" spans="2:8">
      <c r="B2923" s="98"/>
      <c r="C2923" s="98"/>
      <c r="D2923" s="98"/>
      <c r="E2923" s="98"/>
      <c r="F2923" s="99"/>
      <c r="G2923" s="100"/>
      <c r="H2923" s="100"/>
    </row>
    <row r="2924" customHeight="1" spans="2:8">
      <c r="B2924" s="98"/>
      <c r="C2924" s="98"/>
      <c r="D2924" s="98"/>
      <c r="E2924" s="98"/>
      <c r="F2924" s="99"/>
      <c r="G2924" s="100"/>
      <c r="H2924" s="100"/>
    </row>
    <row r="2925" customHeight="1" spans="2:8">
      <c r="B2925" s="98"/>
      <c r="C2925" s="98"/>
      <c r="D2925" s="98"/>
      <c r="E2925" s="98"/>
      <c r="F2925" s="99"/>
      <c r="G2925" s="100"/>
      <c r="H2925" s="100"/>
    </row>
    <row r="2926" customHeight="1" spans="2:8">
      <c r="B2926" s="98"/>
      <c r="C2926" s="98"/>
      <c r="D2926" s="98"/>
      <c r="E2926" s="98"/>
      <c r="F2926" s="99"/>
      <c r="G2926" s="100"/>
      <c r="H2926" s="100"/>
    </row>
    <row r="2927" customHeight="1" spans="2:8">
      <c r="B2927" s="98"/>
      <c r="C2927" s="98"/>
      <c r="D2927" s="98"/>
      <c r="E2927" s="98"/>
      <c r="F2927" s="99"/>
      <c r="G2927" s="100"/>
      <c r="H2927" s="100"/>
    </row>
    <row r="2928" customHeight="1" spans="2:8">
      <c r="B2928" s="98"/>
      <c r="C2928" s="98"/>
      <c r="D2928" s="98"/>
      <c r="E2928" s="98"/>
      <c r="F2928" s="99"/>
      <c r="G2928" s="100"/>
      <c r="H2928" s="100"/>
    </row>
    <row r="2929" customHeight="1" spans="2:8">
      <c r="B2929" s="98"/>
      <c r="C2929" s="98"/>
      <c r="D2929" s="98"/>
      <c r="E2929" s="98"/>
      <c r="F2929" s="99"/>
      <c r="G2929" s="100"/>
      <c r="H2929" s="100"/>
    </row>
    <row r="2930" customHeight="1" spans="2:8">
      <c r="B2930" s="98"/>
      <c r="C2930" s="98"/>
      <c r="D2930" s="98"/>
      <c r="E2930" s="98"/>
      <c r="F2930" s="99"/>
      <c r="G2930" s="100"/>
      <c r="H2930" s="100"/>
    </row>
    <row r="2931" customHeight="1" spans="2:8">
      <c r="B2931" s="98"/>
      <c r="C2931" s="98"/>
      <c r="D2931" s="98"/>
      <c r="E2931" s="98"/>
      <c r="F2931" s="99"/>
      <c r="G2931" s="100"/>
      <c r="H2931" s="100"/>
    </row>
    <row r="2932" customHeight="1" spans="2:8">
      <c r="B2932" s="98"/>
      <c r="C2932" s="98"/>
      <c r="D2932" s="98"/>
      <c r="E2932" s="98"/>
      <c r="F2932" s="99"/>
      <c r="G2932" s="100"/>
      <c r="H2932" s="100"/>
    </row>
    <row r="2933" customHeight="1" spans="2:8">
      <c r="B2933" s="98"/>
      <c r="C2933" s="98"/>
      <c r="D2933" s="98"/>
      <c r="E2933" s="98"/>
      <c r="F2933" s="99"/>
      <c r="G2933" s="100"/>
      <c r="H2933" s="100"/>
    </row>
    <row r="2934" customHeight="1" spans="2:8">
      <c r="B2934" s="98"/>
      <c r="C2934" s="98"/>
      <c r="D2934" s="98"/>
      <c r="E2934" s="98"/>
      <c r="F2934" s="99"/>
      <c r="G2934" s="100"/>
      <c r="H2934" s="100"/>
    </row>
    <row r="2935" customHeight="1" spans="2:8">
      <c r="B2935" s="98"/>
      <c r="C2935" s="98"/>
      <c r="D2935" s="98"/>
      <c r="E2935" s="98"/>
      <c r="F2935" s="99"/>
      <c r="G2935" s="100"/>
      <c r="H2935" s="100"/>
    </row>
    <row r="2936" customHeight="1" spans="2:8">
      <c r="B2936" s="98"/>
      <c r="C2936" s="98"/>
      <c r="D2936" s="98"/>
      <c r="E2936" s="98"/>
      <c r="F2936" s="99"/>
      <c r="G2936" s="100"/>
      <c r="H2936" s="100"/>
    </row>
    <row r="2937" customHeight="1" spans="2:8">
      <c r="B2937" s="98"/>
      <c r="C2937" s="98"/>
      <c r="D2937" s="98"/>
      <c r="E2937" s="98"/>
      <c r="F2937" s="99"/>
      <c r="G2937" s="100"/>
      <c r="H2937" s="100"/>
    </row>
    <row r="2938" customHeight="1" spans="2:8">
      <c r="B2938" s="98"/>
      <c r="C2938" s="98"/>
      <c r="D2938" s="98"/>
      <c r="E2938" s="98"/>
      <c r="F2938" s="99"/>
      <c r="G2938" s="100"/>
      <c r="H2938" s="100"/>
    </row>
    <row r="2939" customHeight="1" spans="2:8">
      <c r="B2939" s="98"/>
      <c r="C2939" s="98"/>
      <c r="D2939" s="98"/>
      <c r="E2939" s="98"/>
      <c r="F2939" s="99"/>
      <c r="G2939" s="100"/>
      <c r="H2939" s="100"/>
    </row>
    <row r="2940" customHeight="1" spans="2:8">
      <c r="B2940" s="98"/>
      <c r="C2940" s="98"/>
      <c r="D2940" s="98"/>
      <c r="E2940" s="98"/>
      <c r="F2940" s="99"/>
      <c r="G2940" s="100"/>
      <c r="H2940" s="100"/>
    </row>
    <row r="2941" customHeight="1" spans="2:8">
      <c r="B2941" s="98"/>
      <c r="C2941" s="98"/>
      <c r="D2941" s="98"/>
      <c r="E2941" s="98"/>
      <c r="F2941" s="99"/>
      <c r="G2941" s="100"/>
      <c r="H2941" s="100"/>
    </row>
    <row r="2942" customHeight="1" spans="2:8">
      <c r="B2942" s="98"/>
      <c r="C2942" s="98"/>
      <c r="D2942" s="98"/>
      <c r="E2942" s="98"/>
      <c r="F2942" s="99"/>
      <c r="G2942" s="100"/>
      <c r="H2942" s="100"/>
    </row>
    <row r="2943" customHeight="1" spans="2:8">
      <c r="B2943" s="98"/>
      <c r="C2943" s="98"/>
      <c r="D2943" s="98"/>
      <c r="E2943" s="98"/>
      <c r="F2943" s="99"/>
      <c r="G2943" s="100"/>
      <c r="H2943" s="100"/>
    </row>
    <row r="2944" customHeight="1" spans="2:8">
      <c r="B2944" s="98"/>
      <c r="C2944" s="98"/>
      <c r="D2944" s="98"/>
      <c r="E2944" s="98"/>
      <c r="F2944" s="99"/>
      <c r="G2944" s="100"/>
      <c r="H2944" s="100"/>
    </row>
    <row r="2945" customHeight="1" spans="2:8">
      <c r="B2945" s="98"/>
      <c r="C2945" s="98"/>
      <c r="D2945" s="98"/>
      <c r="E2945" s="98"/>
      <c r="F2945" s="99"/>
      <c r="G2945" s="100"/>
      <c r="H2945" s="100"/>
    </row>
    <row r="2946" customHeight="1" spans="2:8">
      <c r="B2946" s="98"/>
      <c r="C2946" s="98"/>
      <c r="D2946" s="98"/>
      <c r="E2946" s="98"/>
      <c r="F2946" s="99"/>
      <c r="G2946" s="100"/>
      <c r="H2946" s="100"/>
    </row>
    <row r="2947" customHeight="1" spans="2:8">
      <c r="B2947" s="98"/>
      <c r="C2947" s="98"/>
      <c r="D2947" s="98"/>
      <c r="E2947" s="98"/>
      <c r="F2947" s="99"/>
      <c r="G2947" s="100"/>
      <c r="H2947" s="100"/>
    </row>
    <row r="2948" customHeight="1" spans="2:8">
      <c r="B2948" s="98"/>
      <c r="C2948" s="98"/>
      <c r="D2948" s="98"/>
      <c r="E2948" s="98"/>
      <c r="F2948" s="99"/>
      <c r="G2948" s="100"/>
      <c r="H2948" s="100"/>
    </row>
    <row r="2949" customHeight="1" spans="2:8">
      <c r="B2949" s="98"/>
      <c r="C2949" s="98"/>
      <c r="D2949" s="98"/>
      <c r="E2949" s="98"/>
      <c r="F2949" s="99"/>
      <c r="G2949" s="100"/>
      <c r="H2949" s="100"/>
    </row>
    <row r="2950" customHeight="1" spans="2:8">
      <c r="B2950" s="98"/>
      <c r="C2950" s="98"/>
      <c r="D2950" s="98"/>
      <c r="E2950" s="98"/>
      <c r="F2950" s="99"/>
      <c r="G2950" s="100"/>
      <c r="H2950" s="100"/>
    </row>
    <row r="2951" customHeight="1" spans="2:8">
      <c r="B2951" s="98"/>
      <c r="C2951" s="98"/>
      <c r="D2951" s="98"/>
      <c r="E2951" s="98"/>
      <c r="F2951" s="99"/>
      <c r="G2951" s="100"/>
      <c r="H2951" s="100"/>
    </row>
    <row r="2952" customHeight="1" spans="2:8">
      <c r="B2952" s="98"/>
      <c r="C2952" s="98"/>
      <c r="D2952" s="98"/>
      <c r="E2952" s="98"/>
      <c r="F2952" s="99"/>
      <c r="G2952" s="100"/>
      <c r="H2952" s="100"/>
    </row>
    <row r="2953" customHeight="1" spans="2:8">
      <c r="B2953" s="98"/>
      <c r="C2953" s="98"/>
      <c r="D2953" s="98"/>
      <c r="E2953" s="98"/>
      <c r="F2953" s="99"/>
      <c r="G2953" s="100"/>
      <c r="H2953" s="100"/>
    </row>
    <row r="2954" customHeight="1" spans="2:8">
      <c r="B2954" s="98"/>
      <c r="C2954" s="98"/>
      <c r="D2954" s="98"/>
      <c r="E2954" s="98"/>
      <c r="F2954" s="99"/>
      <c r="G2954" s="100"/>
      <c r="H2954" s="100"/>
    </row>
    <row r="2955" customHeight="1" spans="2:8">
      <c r="B2955" s="98"/>
      <c r="C2955" s="98"/>
      <c r="D2955" s="98"/>
      <c r="E2955" s="98"/>
      <c r="F2955" s="99"/>
      <c r="G2955" s="100"/>
      <c r="H2955" s="100"/>
    </row>
    <row r="2956" customHeight="1" spans="2:8">
      <c r="B2956" s="98"/>
      <c r="C2956" s="98"/>
      <c r="D2956" s="98"/>
      <c r="E2956" s="98"/>
      <c r="F2956" s="99"/>
      <c r="G2956" s="100"/>
      <c r="H2956" s="100"/>
    </row>
    <row r="2957" customHeight="1" spans="2:8">
      <c r="B2957" s="98"/>
      <c r="C2957" s="98"/>
      <c r="D2957" s="98"/>
      <c r="E2957" s="98"/>
      <c r="F2957" s="99"/>
      <c r="G2957" s="100"/>
      <c r="H2957" s="100"/>
    </row>
    <row r="2958" customHeight="1" spans="2:8">
      <c r="B2958" s="98"/>
      <c r="C2958" s="98"/>
      <c r="D2958" s="98"/>
      <c r="E2958" s="98"/>
      <c r="F2958" s="99"/>
      <c r="G2958" s="100"/>
      <c r="H2958" s="100"/>
    </row>
    <row r="2959" customHeight="1" spans="2:8">
      <c r="B2959" s="98"/>
      <c r="C2959" s="98"/>
      <c r="D2959" s="98"/>
      <c r="E2959" s="98"/>
      <c r="F2959" s="99"/>
      <c r="G2959" s="100"/>
      <c r="H2959" s="100"/>
    </row>
    <row r="2960" customHeight="1" spans="2:8">
      <c r="B2960" s="98"/>
      <c r="C2960" s="98"/>
      <c r="D2960" s="98"/>
      <c r="E2960" s="98"/>
      <c r="F2960" s="99"/>
      <c r="G2960" s="100"/>
      <c r="H2960" s="100"/>
    </row>
    <row r="2961" customHeight="1" spans="2:8">
      <c r="B2961" s="98"/>
      <c r="C2961" s="98"/>
      <c r="D2961" s="98"/>
      <c r="E2961" s="98"/>
      <c r="F2961" s="99"/>
      <c r="G2961" s="100"/>
      <c r="H2961" s="100"/>
    </row>
    <row r="2962" customHeight="1" spans="2:8">
      <c r="B2962" s="98"/>
      <c r="C2962" s="98"/>
      <c r="D2962" s="98"/>
      <c r="E2962" s="98"/>
      <c r="F2962" s="99"/>
      <c r="G2962" s="100"/>
      <c r="H2962" s="100"/>
    </row>
    <row r="2963" customHeight="1" spans="2:8">
      <c r="B2963" s="98"/>
      <c r="C2963" s="98"/>
      <c r="D2963" s="98"/>
      <c r="E2963" s="98"/>
      <c r="F2963" s="99"/>
      <c r="G2963" s="100"/>
      <c r="H2963" s="100"/>
    </row>
    <row r="2964" customHeight="1" spans="2:8">
      <c r="B2964" s="98"/>
      <c r="C2964" s="98"/>
      <c r="D2964" s="98"/>
      <c r="E2964" s="98"/>
      <c r="F2964" s="99"/>
      <c r="G2964" s="100"/>
      <c r="H2964" s="100"/>
    </row>
    <row r="2965" customHeight="1" spans="2:8">
      <c r="B2965" s="98"/>
      <c r="C2965" s="98"/>
      <c r="D2965" s="98"/>
      <c r="E2965" s="98"/>
      <c r="F2965" s="99"/>
      <c r="G2965" s="100"/>
      <c r="H2965" s="100"/>
    </row>
    <row r="2966" customHeight="1" spans="2:8">
      <c r="B2966" s="98"/>
      <c r="C2966" s="98"/>
      <c r="D2966" s="98"/>
      <c r="E2966" s="98"/>
      <c r="F2966" s="99"/>
      <c r="G2966" s="100"/>
      <c r="H2966" s="100"/>
    </row>
    <row r="2967" customHeight="1" spans="2:8">
      <c r="B2967" s="98"/>
      <c r="C2967" s="98"/>
      <c r="D2967" s="98"/>
      <c r="E2967" s="98"/>
      <c r="F2967" s="99"/>
      <c r="G2967" s="100"/>
      <c r="H2967" s="100"/>
    </row>
    <row r="2968" customHeight="1" spans="2:8">
      <c r="B2968" s="98"/>
      <c r="C2968" s="98"/>
      <c r="D2968" s="98"/>
      <c r="E2968" s="98"/>
      <c r="F2968" s="99"/>
      <c r="G2968" s="100"/>
      <c r="H2968" s="100"/>
    </row>
    <row r="2969" customHeight="1" spans="2:8">
      <c r="B2969" s="98"/>
      <c r="C2969" s="98"/>
      <c r="D2969" s="98"/>
      <c r="E2969" s="98"/>
      <c r="F2969" s="99"/>
      <c r="G2969" s="100"/>
      <c r="H2969" s="100"/>
    </row>
    <row r="2970" customHeight="1" spans="2:8">
      <c r="B2970" s="98"/>
      <c r="C2970" s="98"/>
      <c r="D2970" s="98"/>
      <c r="E2970" s="98"/>
      <c r="F2970" s="99"/>
      <c r="G2970" s="100"/>
      <c r="H2970" s="100"/>
    </row>
    <row r="2971" customHeight="1" spans="2:8">
      <c r="B2971" s="98"/>
      <c r="C2971" s="98"/>
      <c r="D2971" s="98"/>
      <c r="E2971" s="98"/>
      <c r="F2971" s="99"/>
      <c r="G2971" s="100"/>
      <c r="H2971" s="100"/>
    </row>
    <row r="2972" customHeight="1" spans="2:8">
      <c r="B2972" s="98"/>
      <c r="C2972" s="98"/>
      <c r="D2972" s="98"/>
      <c r="E2972" s="98"/>
      <c r="F2972" s="99"/>
      <c r="G2972" s="100"/>
      <c r="H2972" s="100"/>
    </row>
    <row r="2973" customHeight="1" spans="2:8">
      <c r="B2973" s="98"/>
      <c r="C2973" s="98"/>
      <c r="D2973" s="98"/>
      <c r="E2973" s="98"/>
      <c r="F2973" s="99"/>
      <c r="G2973" s="100"/>
      <c r="H2973" s="100"/>
    </row>
    <row r="2974" customHeight="1" spans="2:8">
      <c r="B2974" s="98"/>
      <c r="C2974" s="98"/>
      <c r="D2974" s="98"/>
      <c r="E2974" s="98"/>
      <c r="F2974" s="99"/>
      <c r="G2974" s="100"/>
      <c r="H2974" s="100"/>
    </row>
    <row r="2975" customHeight="1" spans="2:8">
      <c r="B2975" s="98"/>
      <c r="C2975" s="98"/>
      <c r="D2975" s="98"/>
      <c r="E2975" s="98"/>
      <c r="F2975" s="99"/>
      <c r="G2975" s="100"/>
      <c r="H2975" s="100"/>
    </row>
    <row r="2976" customHeight="1" spans="2:8">
      <c r="B2976" s="98"/>
      <c r="C2976" s="98"/>
      <c r="D2976" s="98"/>
      <c r="E2976" s="98"/>
      <c r="F2976" s="99"/>
      <c r="G2976" s="100"/>
      <c r="H2976" s="100"/>
    </row>
    <row r="2977" customHeight="1" spans="2:8">
      <c r="B2977" s="98"/>
      <c r="C2977" s="98"/>
      <c r="D2977" s="98"/>
      <c r="E2977" s="98"/>
      <c r="F2977" s="99"/>
      <c r="G2977" s="100"/>
      <c r="H2977" s="100"/>
    </row>
    <row r="2978" customHeight="1" spans="2:8">
      <c r="B2978" s="98"/>
      <c r="C2978" s="98"/>
      <c r="D2978" s="98"/>
      <c r="E2978" s="98"/>
      <c r="F2978" s="99"/>
      <c r="G2978" s="100"/>
      <c r="H2978" s="100"/>
    </row>
    <row r="2979" customHeight="1" spans="2:8">
      <c r="B2979" s="98"/>
      <c r="C2979" s="98"/>
      <c r="D2979" s="98"/>
      <c r="E2979" s="98"/>
      <c r="F2979" s="99"/>
      <c r="G2979" s="100"/>
      <c r="H2979" s="100"/>
    </row>
    <row r="2980" customHeight="1" spans="2:8">
      <c r="B2980" s="98"/>
      <c r="C2980" s="98"/>
      <c r="D2980" s="98"/>
      <c r="E2980" s="98"/>
      <c r="F2980" s="99"/>
      <c r="G2980" s="100"/>
      <c r="H2980" s="100"/>
    </row>
    <row r="2981" customHeight="1" spans="2:8">
      <c r="B2981" s="98"/>
      <c r="C2981" s="98"/>
      <c r="D2981" s="98"/>
      <c r="E2981" s="98"/>
      <c r="F2981" s="99"/>
      <c r="G2981" s="100"/>
      <c r="H2981" s="100"/>
    </row>
    <row r="2982" customHeight="1" spans="2:8">
      <c r="B2982" s="98"/>
      <c r="C2982" s="98"/>
      <c r="D2982" s="98"/>
      <c r="E2982" s="98"/>
      <c r="F2982" s="99"/>
      <c r="G2982" s="100"/>
      <c r="H2982" s="100"/>
    </row>
    <row r="2983" customHeight="1" spans="2:8">
      <c r="B2983" s="98"/>
      <c r="C2983" s="98"/>
      <c r="D2983" s="98"/>
      <c r="E2983" s="98"/>
      <c r="F2983" s="99"/>
      <c r="G2983" s="100"/>
      <c r="H2983" s="100"/>
    </row>
    <row r="2984" customHeight="1" spans="2:8">
      <c r="B2984" s="98"/>
      <c r="C2984" s="98"/>
      <c r="D2984" s="98"/>
      <c r="E2984" s="98"/>
      <c r="F2984" s="99"/>
      <c r="G2984" s="100"/>
      <c r="H2984" s="100"/>
    </row>
    <row r="2985" customHeight="1" spans="2:8">
      <c r="B2985" s="98"/>
      <c r="C2985" s="98"/>
      <c r="D2985" s="98"/>
      <c r="E2985" s="98"/>
      <c r="F2985" s="99"/>
      <c r="G2985" s="100"/>
      <c r="H2985" s="100"/>
    </row>
    <row r="2986" customHeight="1" spans="2:8">
      <c r="B2986" s="98"/>
      <c r="C2986" s="98"/>
      <c r="D2986" s="98"/>
      <c r="E2986" s="98"/>
      <c r="F2986" s="99"/>
      <c r="G2986" s="100"/>
      <c r="H2986" s="100"/>
    </row>
    <row r="2987" customHeight="1" spans="2:8">
      <c r="B2987" s="98"/>
      <c r="C2987" s="98"/>
      <c r="D2987" s="98"/>
      <c r="E2987" s="98"/>
      <c r="F2987" s="99"/>
      <c r="G2987" s="100"/>
      <c r="H2987" s="100"/>
    </row>
    <row r="2988" customHeight="1" spans="2:8">
      <c r="B2988" s="98"/>
      <c r="C2988" s="98"/>
      <c r="D2988" s="98"/>
      <c r="E2988" s="98"/>
      <c r="F2988" s="99"/>
      <c r="G2988" s="100"/>
      <c r="H2988" s="100"/>
    </row>
    <row r="2989" customHeight="1" spans="2:8">
      <c r="B2989" s="98"/>
      <c r="C2989" s="98"/>
      <c r="D2989" s="98"/>
      <c r="E2989" s="98"/>
      <c r="F2989" s="99"/>
      <c r="G2989" s="100"/>
      <c r="H2989" s="100"/>
    </row>
    <row r="2990" customHeight="1" spans="2:8">
      <c r="B2990" s="98"/>
      <c r="C2990" s="98"/>
      <c r="D2990" s="98"/>
      <c r="E2990" s="98"/>
      <c r="F2990" s="99"/>
      <c r="G2990" s="100"/>
      <c r="H2990" s="100"/>
    </row>
    <row r="2991" customHeight="1" spans="2:8">
      <c r="B2991" s="98"/>
      <c r="C2991" s="98"/>
      <c r="D2991" s="98"/>
      <c r="E2991" s="98"/>
      <c r="F2991" s="99"/>
      <c r="G2991" s="100"/>
      <c r="H2991" s="100"/>
    </row>
    <row r="2992" customHeight="1" spans="2:8">
      <c r="B2992" s="98"/>
      <c r="C2992" s="98"/>
      <c r="D2992" s="98"/>
      <c r="E2992" s="98"/>
      <c r="F2992" s="99"/>
      <c r="G2992" s="100"/>
      <c r="H2992" s="100"/>
    </row>
    <row r="2993" customHeight="1" spans="2:8">
      <c r="B2993" s="98"/>
      <c r="C2993" s="98"/>
      <c r="D2993" s="98"/>
      <c r="E2993" s="98"/>
      <c r="F2993" s="99"/>
      <c r="G2993" s="100"/>
      <c r="H2993" s="100"/>
    </row>
    <row r="2994" customHeight="1" spans="2:8">
      <c r="B2994" s="98"/>
      <c r="C2994" s="98"/>
      <c r="D2994" s="98"/>
      <c r="E2994" s="98"/>
      <c r="F2994" s="99"/>
      <c r="G2994" s="100"/>
      <c r="H2994" s="100"/>
    </row>
    <row r="2995" customHeight="1" spans="2:8">
      <c r="B2995" s="98"/>
      <c r="C2995" s="98"/>
      <c r="D2995" s="98"/>
      <c r="E2995" s="98"/>
      <c r="F2995" s="99"/>
      <c r="G2995" s="100"/>
      <c r="H2995" s="100"/>
    </row>
    <row r="2996" customHeight="1" spans="2:8">
      <c r="B2996" s="98"/>
      <c r="C2996" s="98"/>
      <c r="D2996" s="98"/>
      <c r="E2996" s="98"/>
      <c r="F2996" s="99"/>
      <c r="G2996" s="100"/>
      <c r="H2996" s="100"/>
    </row>
    <row r="2997" customHeight="1" spans="2:8">
      <c r="B2997" s="98"/>
      <c r="C2997" s="98"/>
      <c r="D2997" s="98"/>
      <c r="E2997" s="98"/>
      <c r="F2997" s="99"/>
      <c r="G2997" s="100"/>
      <c r="H2997" s="100"/>
    </row>
    <row r="2998" customHeight="1" spans="2:8">
      <c r="B2998" s="98"/>
      <c r="C2998" s="98"/>
      <c r="D2998" s="98"/>
      <c r="E2998" s="98"/>
      <c r="F2998" s="99"/>
      <c r="G2998" s="100"/>
      <c r="H2998" s="100"/>
    </row>
    <row r="2999" customHeight="1" spans="2:8">
      <c r="B2999" s="98"/>
      <c r="C2999" s="98"/>
      <c r="D2999" s="98"/>
      <c r="E2999" s="98"/>
      <c r="F2999" s="99"/>
      <c r="G2999" s="100"/>
      <c r="H2999" s="100"/>
    </row>
    <row r="3000" customHeight="1" spans="2:8">
      <c r="B3000" s="98"/>
      <c r="C3000" s="98"/>
      <c r="D3000" s="98"/>
      <c r="E3000" s="98"/>
      <c r="F3000" s="99"/>
      <c r="G3000" s="100"/>
      <c r="H3000" s="100"/>
    </row>
    <row r="3001" customHeight="1" spans="2:8">
      <c r="B3001" s="98"/>
      <c r="C3001" s="98"/>
      <c r="D3001" s="98"/>
      <c r="E3001" s="98"/>
      <c r="F3001" s="99"/>
      <c r="G3001" s="100"/>
      <c r="H3001" s="100"/>
    </row>
    <row r="3002" customHeight="1" spans="2:8">
      <c r="B3002" s="98"/>
      <c r="C3002" s="98"/>
      <c r="D3002" s="98"/>
      <c r="E3002" s="98"/>
      <c r="F3002" s="99"/>
      <c r="G3002" s="100"/>
      <c r="H3002" s="100"/>
    </row>
    <row r="3003" customHeight="1" spans="2:8">
      <c r="B3003" s="98"/>
      <c r="C3003" s="98"/>
      <c r="D3003" s="98"/>
      <c r="E3003" s="98"/>
      <c r="F3003" s="99"/>
      <c r="G3003" s="100"/>
      <c r="H3003" s="100"/>
    </row>
    <row r="3004" customHeight="1" spans="2:8">
      <c r="B3004" s="98"/>
      <c r="C3004" s="98"/>
      <c r="D3004" s="98"/>
      <c r="E3004" s="98"/>
      <c r="F3004" s="99"/>
      <c r="G3004" s="100"/>
      <c r="H3004" s="100"/>
    </row>
    <row r="3005" customHeight="1" spans="2:8">
      <c r="B3005" s="98"/>
      <c r="C3005" s="98"/>
      <c r="D3005" s="98"/>
      <c r="E3005" s="98"/>
      <c r="F3005" s="99"/>
      <c r="G3005" s="100"/>
      <c r="H3005" s="100"/>
    </row>
    <row r="3006" customHeight="1" spans="2:8">
      <c r="B3006" s="98"/>
      <c r="C3006" s="98"/>
      <c r="D3006" s="98"/>
      <c r="E3006" s="98"/>
      <c r="F3006" s="99"/>
      <c r="G3006" s="100"/>
      <c r="H3006" s="100"/>
    </row>
    <row r="3007" customHeight="1" spans="2:8">
      <c r="B3007" s="98"/>
      <c r="C3007" s="98"/>
      <c r="D3007" s="98"/>
      <c r="E3007" s="98"/>
      <c r="F3007" s="99"/>
      <c r="G3007" s="100"/>
      <c r="H3007" s="100"/>
    </row>
    <row r="3008" customHeight="1" spans="2:8">
      <c r="B3008" s="98"/>
      <c r="C3008" s="98"/>
      <c r="D3008" s="98"/>
      <c r="E3008" s="98"/>
      <c r="F3008" s="99"/>
      <c r="G3008" s="100"/>
      <c r="H3008" s="100"/>
    </row>
    <row r="3009" customHeight="1" spans="2:8">
      <c r="B3009" s="98"/>
      <c r="C3009" s="98"/>
      <c r="D3009" s="98"/>
      <c r="E3009" s="98"/>
      <c r="F3009" s="99"/>
      <c r="G3009" s="100"/>
      <c r="H3009" s="100"/>
    </row>
    <row r="3010" customHeight="1" spans="2:8">
      <c r="B3010" s="98"/>
      <c r="C3010" s="98"/>
      <c r="D3010" s="98"/>
      <c r="E3010" s="98"/>
      <c r="F3010" s="99"/>
      <c r="G3010" s="100"/>
      <c r="H3010" s="100"/>
    </row>
    <row r="3011" customHeight="1" spans="2:8">
      <c r="B3011" s="98"/>
      <c r="C3011" s="98"/>
      <c r="D3011" s="98"/>
      <c r="E3011" s="98"/>
      <c r="F3011" s="99"/>
      <c r="G3011" s="100"/>
      <c r="H3011" s="100"/>
    </row>
    <row r="3012" customHeight="1" spans="2:8">
      <c r="B3012" s="98"/>
      <c r="C3012" s="98"/>
      <c r="D3012" s="98"/>
      <c r="E3012" s="98"/>
      <c r="F3012" s="99"/>
      <c r="G3012" s="100"/>
      <c r="H3012" s="100"/>
    </row>
    <row r="3013" customHeight="1" spans="2:8">
      <c r="B3013" s="98"/>
      <c r="C3013" s="98"/>
      <c r="D3013" s="98"/>
      <c r="E3013" s="98"/>
      <c r="F3013" s="99"/>
      <c r="G3013" s="100"/>
      <c r="H3013" s="100"/>
    </row>
    <row r="3014" customHeight="1" spans="2:8">
      <c r="B3014" s="98"/>
      <c r="C3014" s="98"/>
      <c r="D3014" s="98"/>
      <c r="E3014" s="98"/>
      <c r="F3014" s="99"/>
      <c r="G3014" s="100"/>
      <c r="H3014" s="100"/>
    </row>
    <row r="3015" customHeight="1" spans="2:8">
      <c r="B3015" s="98"/>
      <c r="C3015" s="98"/>
      <c r="D3015" s="98"/>
      <c r="E3015" s="98"/>
      <c r="F3015" s="99"/>
      <c r="G3015" s="100"/>
      <c r="H3015" s="100"/>
    </row>
    <row r="3016" customHeight="1" spans="2:8">
      <c r="B3016" s="98"/>
      <c r="C3016" s="98"/>
      <c r="D3016" s="98"/>
      <c r="E3016" s="98"/>
      <c r="F3016" s="99"/>
      <c r="G3016" s="100"/>
      <c r="H3016" s="100"/>
    </row>
    <row r="3017" customHeight="1" spans="2:8">
      <c r="B3017" s="98"/>
      <c r="C3017" s="98"/>
      <c r="D3017" s="98"/>
      <c r="E3017" s="98"/>
      <c r="F3017" s="99"/>
      <c r="G3017" s="100"/>
      <c r="H3017" s="100"/>
    </row>
    <row r="3018" customHeight="1" spans="2:8">
      <c r="B3018" s="98"/>
      <c r="C3018" s="98"/>
      <c r="D3018" s="98"/>
      <c r="E3018" s="98"/>
      <c r="F3018" s="99"/>
      <c r="G3018" s="100"/>
      <c r="H3018" s="100"/>
    </row>
    <row r="3019" customHeight="1" spans="2:8">
      <c r="B3019" s="98"/>
      <c r="C3019" s="98"/>
      <c r="D3019" s="98"/>
      <c r="E3019" s="98"/>
      <c r="F3019" s="99"/>
      <c r="G3019" s="100"/>
      <c r="H3019" s="100"/>
    </row>
    <row r="3020" customHeight="1" spans="2:8">
      <c r="B3020" s="98"/>
      <c r="C3020" s="98"/>
      <c r="D3020" s="98"/>
      <c r="E3020" s="98"/>
      <c r="F3020" s="99"/>
      <c r="G3020" s="100"/>
      <c r="H3020" s="100"/>
    </row>
    <row r="3021" customHeight="1" spans="2:8">
      <c r="B3021" s="98"/>
      <c r="C3021" s="98"/>
      <c r="D3021" s="98"/>
      <c r="E3021" s="98"/>
      <c r="F3021" s="99"/>
      <c r="G3021" s="100"/>
      <c r="H3021" s="100"/>
    </row>
    <row r="3022" customHeight="1" spans="2:8">
      <c r="B3022" s="98"/>
      <c r="C3022" s="98"/>
      <c r="D3022" s="98"/>
      <c r="E3022" s="98"/>
      <c r="F3022" s="99"/>
      <c r="G3022" s="100"/>
      <c r="H3022" s="100"/>
    </row>
    <row r="3023" customHeight="1" spans="2:8">
      <c r="B3023" s="98"/>
      <c r="C3023" s="98"/>
      <c r="D3023" s="98"/>
      <c r="E3023" s="98"/>
      <c r="F3023" s="99"/>
      <c r="G3023" s="100"/>
      <c r="H3023" s="100"/>
    </row>
    <row r="3024" customHeight="1" spans="2:8">
      <c r="B3024" s="98"/>
      <c r="C3024" s="98"/>
      <c r="D3024" s="98"/>
      <c r="E3024" s="98"/>
      <c r="F3024" s="99"/>
      <c r="G3024" s="100"/>
      <c r="H3024" s="100"/>
    </row>
    <row r="3025" customHeight="1" spans="2:8">
      <c r="B3025" s="98"/>
      <c r="C3025" s="98"/>
      <c r="D3025" s="98"/>
      <c r="E3025" s="98"/>
      <c r="F3025" s="99"/>
      <c r="G3025" s="100"/>
      <c r="H3025" s="100"/>
    </row>
    <row r="3026" customHeight="1" spans="2:8">
      <c r="B3026" s="98"/>
      <c r="C3026" s="98"/>
      <c r="D3026" s="98"/>
      <c r="E3026" s="98"/>
      <c r="F3026" s="99"/>
      <c r="G3026" s="100"/>
      <c r="H3026" s="100"/>
    </row>
    <row r="3027" customHeight="1" spans="2:8">
      <c r="B3027" s="98"/>
      <c r="C3027" s="98"/>
      <c r="D3027" s="98"/>
      <c r="E3027" s="98"/>
      <c r="F3027" s="99"/>
      <c r="G3027" s="100"/>
      <c r="H3027" s="100"/>
    </row>
    <row r="3028" customHeight="1" spans="2:8">
      <c r="B3028" s="98"/>
      <c r="C3028" s="98"/>
      <c r="D3028" s="98"/>
      <c r="E3028" s="98"/>
      <c r="F3028" s="99"/>
      <c r="G3028" s="100"/>
      <c r="H3028" s="100"/>
    </row>
    <row r="3029" customHeight="1" spans="2:8">
      <c r="B3029" s="98"/>
      <c r="C3029" s="98"/>
      <c r="D3029" s="98"/>
      <c r="E3029" s="98"/>
      <c r="F3029" s="99"/>
      <c r="G3029" s="100"/>
      <c r="H3029" s="100"/>
    </row>
    <row r="3030" customHeight="1" spans="2:8">
      <c r="B3030" s="98"/>
      <c r="C3030" s="98"/>
      <c r="D3030" s="98"/>
      <c r="E3030" s="98"/>
      <c r="F3030" s="99"/>
      <c r="G3030" s="100"/>
      <c r="H3030" s="100"/>
    </row>
    <row r="3031" customHeight="1" spans="2:8">
      <c r="B3031" s="98"/>
      <c r="C3031" s="98"/>
      <c r="D3031" s="98"/>
      <c r="E3031" s="98"/>
      <c r="F3031" s="99"/>
      <c r="G3031" s="100"/>
      <c r="H3031" s="100"/>
    </row>
    <row r="3032" customHeight="1" spans="2:8">
      <c r="B3032" s="98"/>
      <c r="C3032" s="98"/>
      <c r="D3032" s="98"/>
      <c r="E3032" s="98"/>
      <c r="F3032" s="99"/>
      <c r="G3032" s="100"/>
      <c r="H3032" s="100"/>
    </row>
    <row r="3033" customHeight="1" spans="2:8">
      <c r="B3033" s="98"/>
      <c r="C3033" s="98"/>
      <c r="D3033" s="98"/>
      <c r="E3033" s="98"/>
      <c r="F3033" s="99"/>
      <c r="G3033" s="100"/>
      <c r="H3033" s="100"/>
    </row>
    <row r="3034" customHeight="1" spans="2:8">
      <c r="B3034" s="98"/>
      <c r="C3034" s="98"/>
      <c r="D3034" s="98"/>
      <c r="E3034" s="98"/>
      <c r="F3034" s="99"/>
      <c r="G3034" s="100"/>
      <c r="H3034" s="100"/>
    </row>
    <row r="3035" customHeight="1" spans="2:8">
      <c r="B3035" s="98"/>
      <c r="C3035" s="98"/>
      <c r="D3035" s="98"/>
      <c r="E3035" s="98"/>
      <c r="F3035" s="99"/>
      <c r="G3035" s="100"/>
      <c r="H3035" s="100"/>
    </row>
    <row r="3036" customHeight="1" spans="2:8">
      <c r="B3036" s="98"/>
      <c r="C3036" s="98"/>
      <c r="D3036" s="98"/>
      <c r="E3036" s="98"/>
      <c r="F3036" s="99"/>
      <c r="G3036" s="100"/>
      <c r="H3036" s="100"/>
    </row>
    <row r="3037" customHeight="1" spans="2:8">
      <c r="B3037" s="98"/>
      <c r="C3037" s="98"/>
      <c r="D3037" s="98"/>
      <c r="E3037" s="98"/>
      <c r="F3037" s="99"/>
      <c r="G3037" s="100"/>
      <c r="H3037" s="100"/>
    </row>
    <row r="3038" customHeight="1" spans="2:8">
      <c r="B3038" s="98"/>
      <c r="C3038" s="98"/>
      <c r="D3038" s="98"/>
      <c r="E3038" s="98"/>
      <c r="F3038" s="99"/>
      <c r="G3038" s="100"/>
      <c r="H3038" s="100"/>
    </row>
    <row r="3039" customHeight="1" spans="2:8">
      <c r="B3039" s="98"/>
      <c r="C3039" s="98"/>
      <c r="D3039" s="98"/>
      <c r="E3039" s="98"/>
      <c r="F3039" s="99"/>
      <c r="G3039" s="100"/>
      <c r="H3039" s="100"/>
    </row>
    <row r="3040" customHeight="1" spans="2:8">
      <c r="B3040" s="98"/>
      <c r="C3040" s="98"/>
      <c r="D3040" s="98"/>
      <c r="E3040" s="98"/>
      <c r="F3040" s="99"/>
      <c r="G3040" s="100"/>
      <c r="H3040" s="100"/>
    </row>
    <row r="3041" customHeight="1" spans="2:8">
      <c r="B3041" s="98"/>
      <c r="C3041" s="98"/>
      <c r="D3041" s="98"/>
      <c r="E3041" s="98"/>
      <c r="F3041" s="99"/>
      <c r="G3041" s="100"/>
      <c r="H3041" s="100"/>
    </row>
    <row r="3042" customHeight="1" spans="2:8">
      <c r="B3042" s="98"/>
      <c r="C3042" s="98"/>
      <c r="D3042" s="98"/>
      <c r="E3042" s="98"/>
      <c r="F3042" s="99"/>
      <c r="G3042" s="100"/>
      <c r="H3042" s="100"/>
    </row>
    <row r="3043" customHeight="1" spans="2:8">
      <c r="B3043" s="98"/>
      <c r="C3043" s="98"/>
      <c r="D3043" s="98"/>
      <c r="E3043" s="98"/>
      <c r="F3043" s="99"/>
      <c r="G3043" s="100"/>
      <c r="H3043" s="100"/>
    </row>
    <row r="3044" customHeight="1" spans="2:8">
      <c r="B3044" s="98"/>
      <c r="C3044" s="98"/>
      <c r="D3044" s="98"/>
      <c r="E3044" s="98"/>
      <c r="F3044" s="99"/>
      <c r="G3044" s="100"/>
      <c r="H3044" s="100"/>
    </row>
    <row r="3045" customHeight="1" spans="2:8">
      <c r="B3045" s="98"/>
      <c r="C3045" s="98"/>
      <c r="D3045" s="98"/>
      <c r="E3045" s="98"/>
      <c r="F3045" s="99"/>
      <c r="G3045" s="100"/>
      <c r="H3045" s="100"/>
    </row>
    <row r="3046" customHeight="1" spans="2:8">
      <c r="B3046" s="98"/>
      <c r="C3046" s="98"/>
      <c r="D3046" s="98"/>
      <c r="E3046" s="98"/>
      <c r="F3046" s="99"/>
      <c r="G3046" s="100"/>
      <c r="H3046" s="100"/>
    </row>
    <row r="3047" customHeight="1" spans="2:8">
      <c r="B3047" s="98"/>
      <c r="C3047" s="98"/>
      <c r="D3047" s="98"/>
      <c r="E3047" s="98"/>
      <c r="F3047" s="99"/>
      <c r="G3047" s="100"/>
      <c r="H3047" s="100"/>
    </row>
    <row r="3048" customHeight="1" spans="2:8">
      <c r="B3048" s="98"/>
      <c r="C3048" s="98"/>
      <c r="D3048" s="98"/>
      <c r="E3048" s="98"/>
      <c r="F3048" s="99"/>
      <c r="G3048" s="100"/>
      <c r="H3048" s="100"/>
    </row>
    <row r="3049" customHeight="1" spans="2:8">
      <c r="B3049" s="98"/>
      <c r="C3049" s="98"/>
      <c r="D3049" s="98"/>
      <c r="E3049" s="98"/>
      <c r="F3049" s="99"/>
      <c r="G3049" s="100"/>
      <c r="H3049" s="100"/>
    </row>
    <row r="3050" customHeight="1" spans="2:8">
      <c r="B3050" s="98"/>
      <c r="C3050" s="98"/>
      <c r="D3050" s="98"/>
      <c r="E3050" s="98"/>
      <c r="F3050" s="99"/>
      <c r="G3050" s="100"/>
      <c r="H3050" s="100"/>
    </row>
    <row r="3051" customHeight="1" spans="2:8">
      <c r="B3051" s="98"/>
      <c r="C3051" s="98"/>
      <c r="D3051" s="98"/>
      <c r="E3051" s="98"/>
      <c r="F3051" s="99"/>
      <c r="G3051" s="100"/>
      <c r="H3051" s="100"/>
    </row>
    <row r="3052" customHeight="1" spans="2:8">
      <c r="B3052" s="98"/>
      <c r="C3052" s="98"/>
      <c r="D3052" s="98"/>
      <c r="E3052" s="98"/>
      <c r="F3052" s="99"/>
      <c r="G3052" s="100"/>
      <c r="H3052" s="100"/>
    </row>
    <row r="3053" customHeight="1" spans="2:8">
      <c r="B3053" s="98"/>
      <c r="C3053" s="98"/>
      <c r="D3053" s="98"/>
      <c r="E3053" s="98"/>
      <c r="F3053" s="99"/>
      <c r="G3053" s="100"/>
      <c r="H3053" s="100"/>
    </row>
    <row r="3054" customHeight="1" spans="2:8">
      <c r="B3054" s="98"/>
      <c r="C3054" s="98"/>
      <c r="D3054" s="98"/>
      <c r="E3054" s="98"/>
      <c r="F3054" s="99"/>
      <c r="G3054" s="100"/>
      <c r="H3054" s="100"/>
    </row>
    <row r="3055" customHeight="1" spans="2:8">
      <c r="B3055" s="98"/>
      <c r="C3055" s="98"/>
      <c r="D3055" s="98"/>
      <c r="E3055" s="98"/>
      <c r="F3055" s="99"/>
      <c r="G3055" s="100"/>
      <c r="H3055" s="100"/>
    </row>
    <row r="3056" customHeight="1" spans="2:8">
      <c r="B3056" s="98"/>
      <c r="C3056" s="98"/>
      <c r="D3056" s="98"/>
      <c r="E3056" s="98"/>
      <c r="F3056" s="99"/>
      <c r="G3056" s="100"/>
      <c r="H3056" s="100"/>
    </row>
    <row r="3057" customHeight="1" spans="2:8">
      <c r="B3057" s="98"/>
      <c r="C3057" s="98"/>
      <c r="D3057" s="98"/>
      <c r="E3057" s="98"/>
      <c r="F3057" s="99"/>
      <c r="G3057" s="100"/>
      <c r="H3057" s="100"/>
    </row>
    <row r="3058" customHeight="1" spans="2:8">
      <c r="B3058" s="98"/>
      <c r="C3058" s="98"/>
      <c r="D3058" s="98"/>
      <c r="E3058" s="98"/>
      <c r="F3058" s="99"/>
      <c r="G3058" s="100"/>
      <c r="H3058" s="100"/>
    </row>
    <row r="3059" customHeight="1" spans="2:8">
      <c r="B3059" s="98"/>
      <c r="C3059" s="98"/>
      <c r="D3059" s="98"/>
      <c r="E3059" s="98"/>
      <c r="F3059" s="99"/>
      <c r="G3059" s="100"/>
      <c r="H3059" s="100"/>
    </row>
    <row r="3060" customHeight="1" spans="2:8">
      <c r="B3060" s="98"/>
      <c r="C3060" s="98"/>
      <c r="D3060" s="98"/>
      <c r="E3060" s="98"/>
      <c r="F3060" s="99"/>
      <c r="G3060" s="100"/>
      <c r="H3060" s="100"/>
    </row>
    <row r="3061" customHeight="1" spans="2:8">
      <c r="B3061" s="98"/>
      <c r="C3061" s="98"/>
      <c r="D3061" s="98"/>
      <c r="E3061" s="98"/>
      <c r="F3061" s="99"/>
      <c r="G3061" s="100"/>
      <c r="H3061" s="100"/>
    </row>
    <row r="3062" customHeight="1" spans="2:8">
      <c r="B3062" s="98"/>
      <c r="C3062" s="98"/>
      <c r="D3062" s="98"/>
      <c r="E3062" s="98"/>
      <c r="F3062" s="99"/>
      <c r="G3062" s="100"/>
      <c r="H3062" s="100"/>
    </row>
    <row r="3063" customHeight="1" spans="2:8">
      <c r="B3063" s="98"/>
      <c r="C3063" s="98"/>
      <c r="D3063" s="98"/>
      <c r="E3063" s="98"/>
      <c r="F3063" s="99"/>
      <c r="G3063" s="100"/>
      <c r="H3063" s="100"/>
    </row>
    <row r="3064" customHeight="1" spans="2:8">
      <c r="B3064" s="98"/>
      <c r="C3064" s="98"/>
      <c r="D3064" s="98"/>
      <c r="E3064" s="98"/>
      <c r="F3064" s="99"/>
      <c r="G3064" s="100"/>
      <c r="H3064" s="100"/>
    </row>
    <row r="3065" customHeight="1" spans="2:8">
      <c r="B3065" s="98"/>
      <c r="C3065" s="98"/>
      <c r="D3065" s="98"/>
      <c r="E3065" s="98"/>
      <c r="F3065" s="99"/>
      <c r="G3065" s="100"/>
      <c r="H3065" s="100"/>
    </row>
    <row r="3066" customHeight="1" spans="2:8">
      <c r="B3066" s="98"/>
      <c r="C3066" s="98"/>
      <c r="D3066" s="98"/>
      <c r="E3066" s="98"/>
      <c r="F3066" s="99"/>
      <c r="G3066" s="100"/>
      <c r="H3066" s="100"/>
    </row>
    <row r="3067" customHeight="1" spans="2:8">
      <c r="B3067" s="98"/>
      <c r="C3067" s="98"/>
      <c r="D3067" s="98"/>
      <c r="E3067" s="98"/>
      <c r="F3067" s="99"/>
      <c r="G3067" s="100"/>
      <c r="H3067" s="100"/>
    </row>
    <row r="3068" customHeight="1" spans="2:8">
      <c r="B3068" s="98"/>
      <c r="C3068" s="98"/>
      <c r="D3068" s="98"/>
      <c r="E3068" s="98"/>
      <c r="F3068" s="99"/>
      <c r="G3068" s="100"/>
      <c r="H3068" s="100"/>
    </row>
    <row r="3069" customHeight="1" spans="2:8">
      <c r="B3069" s="98"/>
      <c r="C3069" s="98"/>
      <c r="D3069" s="98"/>
      <c r="E3069" s="98"/>
      <c r="F3069" s="99"/>
      <c r="G3069" s="100"/>
      <c r="H3069" s="100"/>
    </row>
    <row r="3070" customHeight="1" spans="2:8">
      <c r="B3070" s="98"/>
      <c r="C3070" s="98"/>
      <c r="D3070" s="98"/>
      <c r="E3070" s="98"/>
      <c r="F3070" s="99"/>
      <c r="G3070" s="100"/>
      <c r="H3070" s="100"/>
    </row>
    <row r="3071" customHeight="1" spans="2:8">
      <c r="B3071" s="98"/>
      <c r="C3071" s="98"/>
      <c r="D3071" s="98"/>
      <c r="E3071" s="98"/>
      <c r="F3071" s="99"/>
      <c r="G3071" s="100"/>
      <c r="H3071" s="100"/>
    </row>
    <row r="3072" customHeight="1" spans="2:8">
      <c r="B3072" s="98"/>
      <c r="C3072" s="98"/>
      <c r="D3072" s="98"/>
      <c r="E3072" s="98"/>
      <c r="F3072" s="99"/>
      <c r="G3072" s="100"/>
      <c r="H3072" s="100"/>
    </row>
    <row r="3073" customHeight="1" spans="2:8">
      <c r="B3073" s="98"/>
      <c r="C3073" s="98"/>
      <c r="D3073" s="98"/>
      <c r="E3073" s="98"/>
      <c r="F3073" s="99"/>
      <c r="G3073" s="100"/>
      <c r="H3073" s="100"/>
    </row>
    <row r="3074" customHeight="1" spans="2:8">
      <c r="B3074" s="98"/>
      <c r="C3074" s="98"/>
      <c r="D3074" s="98"/>
      <c r="E3074" s="98"/>
      <c r="F3074" s="99"/>
      <c r="G3074" s="100"/>
      <c r="H3074" s="100"/>
    </row>
    <row r="3075" customHeight="1" spans="2:8">
      <c r="B3075" s="98"/>
      <c r="C3075" s="98"/>
      <c r="D3075" s="98"/>
      <c r="E3075" s="98"/>
      <c r="F3075" s="99"/>
      <c r="G3075" s="100"/>
      <c r="H3075" s="100"/>
    </row>
    <row r="3076" customHeight="1" spans="2:8">
      <c r="B3076" s="98"/>
      <c r="C3076" s="98"/>
      <c r="D3076" s="98"/>
      <c r="E3076" s="98"/>
      <c r="F3076" s="99"/>
      <c r="G3076" s="100"/>
      <c r="H3076" s="100"/>
    </row>
    <row r="3077" customHeight="1" spans="2:8">
      <c r="B3077" s="98"/>
      <c r="C3077" s="98"/>
      <c r="D3077" s="98"/>
      <c r="E3077" s="98"/>
      <c r="F3077" s="99"/>
      <c r="G3077" s="100"/>
      <c r="H3077" s="100"/>
    </row>
    <row r="3078" customHeight="1" spans="2:8">
      <c r="B3078" s="98"/>
      <c r="C3078" s="98"/>
      <c r="D3078" s="98"/>
      <c r="E3078" s="98"/>
      <c r="F3078" s="99"/>
      <c r="G3078" s="100"/>
      <c r="H3078" s="100"/>
    </row>
    <row r="3079" customHeight="1" spans="2:8">
      <c r="B3079" s="98"/>
      <c r="C3079" s="98"/>
      <c r="D3079" s="98"/>
      <c r="E3079" s="98"/>
      <c r="F3079" s="99"/>
      <c r="G3079" s="100"/>
      <c r="H3079" s="100"/>
    </row>
    <row r="3080" customHeight="1" spans="2:8">
      <c r="B3080" s="98"/>
      <c r="C3080" s="98"/>
      <c r="D3080" s="98"/>
      <c r="E3080" s="98"/>
      <c r="F3080" s="99"/>
      <c r="G3080" s="100"/>
      <c r="H3080" s="100"/>
    </row>
    <row r="3081" customHeight="1" spans="2:8">
      <c r="B3081" s="98"/>
      <c r="C3081" s="98"/>
      <c r="D3081" s="98"/>
      <c r="E3081" s="98"/>
      <c r="F3081" s="99"/>
      <c r="G3081" s="100"/>
      <c r="H3081" s="100"/>
    </row>
    <row r="3082" customHeight="1" spans="2:8">
      <c r="B3082" s="98"/>
      <c r="C3082" s="98"/>
      <c r="D3082" s="98"/>
      <c r="E3082" s="98"/>
      <c r="F3082" s="99"/>
      <c r="G3082" s="100"/>
      <c r="H3082" s="100"/>
    </row>
    <row r="3083" customHeight="1" spans="2:8">
      <c r="B3083" s="98"/>
      <c r="C3083" s="98"/>
      <c r="D3083" s="98"/>
      <c r="E3083" s="98"/>
      <c r="F3083" s="99"/>
      <c r="G3083" s="100"/>
      <c r="H3083" s="100"/>
    </row>
    <row r="3084" customHeight="1" spans="2:8">
      <c r="B3084" s="98"/>
      <c r="C3084" s="98"/>
      <c r="D3084" s="98"/>
      <c r="E3084" s="98"/>
      <c r="F3084" s="99"/>
      <c r="G3084" s="100"/>
      <c r="H3084" s="100"/>
    </row>
    <row r="3085" customHeight="1" spans="2:8">
      <c r="B3085" s="98"/>
      <c r="C3085" s="98"/>
      <c r="D3085" s="98"/>
      <c r="E3085" s="98"/>
      <c r="F3085" s="99"/>
      <c r="G3085" s="100"/>
      <c r="H3085" s="100"/>
    </row>
    <row r="3086" customHeight="1" spans="2:8">
      <c r="B3086" s="98"/>
      <c r="C3086" s="98"/>
      <c r="D3086" s="98"/>
      <c r="E3086" s="98"/>
      <c r="F3086" s="99"/>
      <c r="G3086" s="100"/>
      <c r="H3086" s="100"/>
    </row>
    <row r="3087" customHeight="1" spans="2:8">
      <c r="B3087" s="98"/>
      <c r="C3087" s="98"/>
      <c r="D3087" s="98"/>
      <c r="E3087" s="98"/>
      <c r="F3087" s="99"/>
      <c r="G3087" s="100"/>
      <c r="H3087" s="100"/>
    </row>
    <row r="3088" customHeight="1" spans="2:8">
      <c r="B3088" s="98"/>
      <c r="C3088" s="98"/>
      <c r="D3088" s="98"/>
      <c r="E3088" s="98"/>
      <c r="F3088" s="99"/>
      <c r="G3088" s="100"/>
      <c r="H3088" s="100"/>
    </row>
    <row r="3089" customHeight="1" spans="2:8">
      <c r="B3089" s="98"/>
      <c r="C3089" s="98"/>
      <c r="D3089" s="98"/>
      <c r="E3089" s="98"/>
      <c r="F3089" s="99"/>
      <c r="G3089" s="100"/>
      <c r="H3089" s="100"/>
    </row>
    <row r="3090" customHeight="1" spans="2:8">
      <c r="B3090" s="98"/>
      <c r="C3090" s="98"/>
      <c r="D3090" s="98"/>
      <c r="E3090" s="98"/>
      <c r="F3090" s="99"/>
      <c r="G3090" s="100"/>
      <c r="H3090" s="100"/>
    </row>
    <row r="3091" customHeight="1" spans="2:8">
      <c r="B3091" s="98"/>
      <c r="C3091" s="98"/>
      <c r="D3091" s="98"/>
      <c r="E3091" s="98"/>
      <c r="F3091" s="99"/>
      <c r="G3091" s="100"/>
      <c r="H3091" s="100"/>
    </row>
    <row r="3092" customHeight="1" spans="2:8">
      <c r="B3092" s="98"/>
      <c r="C3092" s="98"/>
      <c r="D3092" s="98"/>
      <c r="E3092" s="98"/>
      <c r="F3092" s="99"/>
      <c r="G3092" s="100"/>
      <c r="H3092" s="100"/>
    </row>
    <row r="3093" customHeight="1" spans="2:8">
      <c r="B3093" s="98"/>
      <c r="C3093" s="98"/>
      <c r="D3093" s="98"/>
      <c r="E3093" s="98"/>
      <c r="F3093" s="99"/>
      <c r="G3093" s="100"/>
      <c r="H3093" s="100"/>
    </row>
    <row r="3094" customHeight="1" spans="2:8">
      <c r="B3094" s="98"/>
      <c r="C3094" s="98"/>
      <c r="D3094" s="98"/>
      <c r="E3094" s="98"/>
      <c r="F3094" s="99"/>
      <c r="G3094" s="100"/>
      <c r="H3094" s="100"/>
    </row>
    <row r="3095" customHeight="1" spans="2:8">
      <c r="B3095" s="98"/>
      <c r="C3095" s="98"/>
      <c r="D3095" s="98"/>
      <c r="E3095" s="98"/>
      <c r="F3095" s="99"/>
      <c r="G3095" s="100"/>
      <c r="H3095" s="100"/>
    </row>
    <row r="3096" customHeight="1" spans="2:8">
      <c r="B3096" s="98"/>
      <c r="C3096" s="98"/>
      <c r="D3096" s="98"/>
      <c r="E3096" s="98"/>
      <c r="F3096" s="99"/>
      <c r="G3096" s="100"/>
      <c r="H3096" s="100"/>
    </row>
    <row r="3097" customHeight="1" spans="2:8">
      <c r="B3097" s="98"/>
      <c r="C3097" s="98"/>
      <c r="D3097" s="98"/>
      <c r="E3097" s="98"/>
      <c r="F3097" s="99"/>
      <c r="G3097" s="100"/>
      <c r="H3097" s="100"/>
    </row>
    <row r="3098" customHeight="1" spans="2:8">
      <c r="B3098" s="98"/>
      <c r="C3098" s="98"/>
      <c r="D3098" s="98"/>
      <c r="E3098" s="98"/>
      <c r="F3098" s="99"/>
      <c r="G3098" s="100"/>
      <c r="H3098" s="100"/>
    </row>
    <row r="3099" customHeight="1" spans="2:8">
      <c r="B3099" s="98"/>
      <c r="C3099" s="98"/>
      <c r="D3099" s="98"/>
      <c r="E3099" s="98"/>
      <c r="F3099" s="99"/>
      <c r="G3099" s="100"/>
      <c r="H3099" s="100"/>
    </row>
    <row r="3100" customHeight="1" spans="2:8">
      <c r="B3100" s="98"/>
      <c r="C3100" s="98"/>
      <c r="D3100" s="98"/>
      <c r="E3100" s="98"/>
      <c r="F3100" s="99"/>
      <c r="G3100" s="100"/>
      <c r="H3100" s="100"/>
    </row>
    <row r="3101" customHeight="1" spans="2:8">
      <c r="B3101" s="98"/>
      <c r="C3101" s="98"/>
      <c r="D3101" s="98"/>
      <c r="E3101" s="98"/>
      <c r="F3101" s="99"/>
      <c r="G3101" s="100"/>
      <c r="H3101" s="100"/>
    </row>
    <row r="3102" customHeight="1" spans="2:8">
      <c r="B3102" s="98"/>
      <c r="C3102" s="98"/>
      <c r="D3102" s="98"/>
      <c r="E3102" s="98"/>
      <c r="F3102" s="99"/>
      <c r="G3102" s="100"/>
      <c r="H3102" s="100"/>
    </row>
    <row r="3103" customHeight="1" spans="2:8">
      <c r="B3103" s="98"/>
      <c r="C3103" s="98"/>
      <c r="D3103" s="98"/>
      <c r="E3103" s="98"/>
      <c r="F3103" s="99"/>
      <c r="G3103" s="100"/>
      <c r="H3103" s="100"/>
    </row>
    <row r="3104" customHeight="1" spans="2:8">
      <c r="B3104" s="98"/>
      <c r="C3104" s="98"/>
      <c r="D3104" s="98"/>
      <c r="E3104" s="98"/>
      <c r="F3104" s="99"/>
      <c r="G3104" s="100"/>
      <c r="H3104" s="100"/>
    </row>
    <row r="3105" customHeight="1" spans="2:8">
      <c r="B3105" s="98"/>
      <c r="C3105" s="98"/>
      <c r="D3105" s="98"/>
      <c r="E3105" s="98"/>
      <c r="F3105" s="99"/>
      <c r="G3105" s="100"/>
      <c r="H3105" s="100"/>
    </row>
    <row r="3106" customHeight="1" spans="2:8">
      <c r="B3106" s="98"/>
      <c r="C3106" s="98"/>
      <c r="D3106" s="98"/>
      <c r="E3106" s="98"/>
      <c r="F3106" s="99"/>
      <c r="G3106" s="100"/>
      <c r="H3106" s="100"/>
    </row>
    <row r="3107" customHeight="1" spans="2:8">
      <c r="B3107" s="98"/>
      <c r="C3107" s="98"/>
      <c r="D3107" s="98"/>
      <c r="E3107" s="98"/>
      <c r="F3107" s="99"/>
      <c r="G3107" s="100"/>
      <c r="H3107" s="100"/>
    </row>
    <row r="3108" customHeight="1" spans="2:8">
      <c r="B3108" s="98"/>
      <c r="C3108" s="98"/>
      <c r="D3108" s="98"/>
      <c r="E3108" s="98"/>
      <c r="F3108" s="99"/>
      <c r="G3108" s="100"/>
      <c r="H3108" s="100"/>
    </row>
    <row r="3109" customHeight="1" spans="2:8">
      <c r="B3109" s="98"/>
      <c r="C3109" s="98"/>
      <c r="D3109" s="98"/>
      <c r="E3109" s="98"/>
      <c r="F3109" s="99"/>
      <c r="G3109" s="100"/>
      <c r="H3109" s="100"/>
    </row>
    <row r="3110" customHeight="1" spans="2:8">
      <c r="B3110" s="98"/>
      <c r="C3110" s="98"/>
      <c r="D3110" s="98"/>
      <c r="E3110" s="98"/>
      <c r="F3110" s="99"/>
      <c r="G3110" s="100"/>
      <c r="H3110" s="100"/>
    </row>
    <row r="3111" customHeight="1" spans="2:8">
      <c r="B3111" s="98"/>
      <c r="C3111" s="98"/>
      <c r="D3111" s="98"/>
      <c r="E3111" s="98"/>
      <c r="F3111" s="99"/>
      <c r="G3111" s="100"/>
      <c r="H3111" s="100"/>
    </row>
    <row r="3112" customHeight="1" spans="2:8">
      <c r="B3112" s="98"/>
      <c r="C3112" s="98"/>
      <c r="D3112" s="98"/>
      <c r="E3112" s="98"/>
      <c r="F3112" s="99"/>
      <c r="G3112" s="100"/>
      <c r="H3112" s="100"/>
    </row>
    <row r="3113" customHeight="1" spans="2:8">
      <c r="B3113" s="98"/>
      <c r="C3113" s="98"/>
      <c r="D3113" s="98"/>
      <c r="E3113" s="98"/>
      <c r="F3113" s="99"/>
      <c r="G3113" s="100"/>
      <c r="H3113" s="100"/>
    </row>
    <row r="3114" customHeight="1" spans="2:8">
      <c r="B3114" s="98"/>
      <c r="C3114" s="98"/>
      <c r="D3114" s="98"/>
      <c r="E3114" s="98"/>
      <c r="F3114" s="99"/>
      <c r="G3114" s="100"/>
      <c r="H3114" s="100"/>
    </row>
    <row r="3115" customHeight="1" spans="2:8">
      <c r="B3115" s="98"/>
      <c r="C3115" s="98"/>
      <c r="D3115" s="98"/>
      <c r="E3115" s="98"/>
      <c r="F3115" s="99"/>
      <c r="G3115" s="100"/>
      <c r="H3115" s="100"/>
    </row>
    <row r="3116" customHeight="1" spans="2:8">
      <c r="B3116" s="98"/>
      <c r="C3116" s="98"/>
      <c r="D3116" s="98"/>
      <c r="E3116" s="98"/>
      <c r="F3116" s="99"/>
      <c r="G3116" s="100"/>
      <c r="H3116" s="100"/>
    </row>
    <row r="3117" customHeight="1" spans="2:8">
      <c r="B3117" s="98"/>
      <c r="C3117" s="98"/>
      <c r="D3117" s="98"/>
      <c r="E3117" s="98"/>
      <c r="F3117" s="99"/>
      <c r="G3117" s="100"/>
      <c r="H3117" s="100"/>
    </row>
    <row r="3118" customHeight="1" spans="2:8">
      <c r="B3118" s="98"/>
      <c r="C3118" s="98"/>
      <c r="D3118" s="98"/>
      <c r="E3118" s="98"/>
      <c r="F3118" s="99"/>
      <c r="G3118" s="100"/>
      <c r="H3118" s="100"/>
    </row>
    <row r="3119" customHeight="1" spans="2:8">
      <c r="B3119" s="98"/>
      <c r="C3119" s="98"/>
      <c r="D3119" s="98"/>
      <c r="E3119" s="98"/>
      <c r="F3119" s="99"/>
      <c r="G3119" s="100"/>
      <c r="H3119" s="100"/>
    </row>
    <row r="3120" customHeight="1" spans="2:8">
      <c r="B3120" s="98"/>
      <c r="C3120" s="98"/>
      <c r="D3120" s="98"/>
      <c r="E3120" s="98"/>
      <c r="F3120" s="99"/>
      <c r="G3120" s="100"/>
      <c r="H3120" s="100"/>
    </row>
    <row r="3121" customHeight="1" spans="2:8">
      <c r="B3121" s="98"/>
      <c r="C3121" s="98"/>
      <c r="D3121" s="98"/>
      <c r="E3121" s="98"/>
      <c r="F3121" s="99"/>
      <c r="G3121" s="100"/>
      <c r="H3121" s="100"/>
    </row>
    <row r="3122" customHeight="1" spans="2:8">
      <c r="B3122" s="98"/>
      <c r="C3122" s="98"/>
      <c r="D3122" s="98"/>
      <c r="E3122" s="98"/>
      <c r="F3122" s="99"/>
      <c r="G3122" s="100"/>
      <c r="H3122" s="100"/>
    </row>
    <row r="3123" customHeight="1" spans="2:8">
      <c r="B3123" s="98"/>
      <c r="C3123" s="98"/>
      <c r="D3123" s="98"/>
      <c r="E3123" s="98"/>
      <c r="F3123" s="99"/>
      <c r="G3123" s="100"/>
      <c r="H3123" s="100"/>
    </row>
    <row r="3124" customHeight="1" spans="2:8">
      <c r="B3124" s="98"/>
      <c r="C3124" s="98"/>
      <c r="D3124" s="98"/>
      <c r="E3124" s="98"/>
      <c r="F3124" s="99"/>
      <c r="G3124" s="100"/>
      <c r="H3124" s="100"/>
    </row>
    <row r="3125" customHeight="1" spans="2:8">
      <c r="B3125" s="98"/>
      <c r="C3125" s="98"/>
      <c r="D3125" s="98"/>
      <c r="E3125" s="98"/>
      <c r="F3125" s="99"/>
      <c r="G3125" s="100"/>
      <c r="H3125" s="100"/>
    </row>
    <row r="3126" customHeight="1" spans="2:8">
      <c r="B3126" s="98"/>
      <c r="C3126" s="98"/>
      <c r="D3126" s="98"/>
      <c r="E3126" s="98"/>
      <c r="F3126" s="99"/>
      <c r="G3126" s="100"/>
      <c r="H3126" s="100"/>
    </row>
    <row r="3127" customHeight="1" spans="2:8">
      <c r="B3127" s="98"/>
      <c r="C3127" s="98"/>
      <c r="D3127" s="98"/>
      <c r="E3127" s="98"/>
      <c r="F3127" s="99"/>
      <c r="G3127" s="100"/>
      <c r="H3127" s="100"/>
    </row>
    <row r="3128" customHeight="1" spans="2:8">
      <c r="B3128" s="98"/>
      <c r="C3128" s="98"/>
      <c r="D3128" s="98"/>
      <c r="E3128" s="98"/>
      <c r="F3128" s="99"/>
      <c r="G3128" s="100"/>
      <c r="H3128" s="100"/>
    </row>
    <row r="3129" customHeight="1" spans="2:8">
      <c r="B3129" s="98"/>
      <c r="C3129" s="98"/>
      <c r="D3129" s="98"/>
      <c r="E3129" s="98"/>
      <c r="F3129" s="99"/>
      <c r="G3129" s="100"/>
      <c r="H3129" s="100"/>
    </row>
    <row r="3130" customHeight="1" spans="2:8">
      <c r="B3130" s="98"/>
      <c r="C3130" s="98"/>
      <c r="D3130" s="98"/>
      <c r="E3130" s="98"/>
      <c r="F3130" s="99"/>
      <c r="G3130" s="100"/>
      <c r="H3130" s="100"/>
    </row>
    <row r="3131" customHeight="1" spans="2:8">
      <c r="B3131" s="98"/>
      <c r="C3131" s="98"/>
      <c r="D3131" s="98"/>
      <c r="E3131" s="98"/>
      <c r="F3131" s="99"/>
      <c r="G3131" s="100"/>
      <c r="H3131" s="100"/>
    </row>
    <row r="3132" customHeight="1" spans="2:8">
      <c r="B3132" s="98"/>
      <c r="C3132" s="98"/>
      <c r="D3132" s="98"/>
      <c r="E3132" s="98"/>
      <c r="F3132" s="99"/>
      <c r="G3132" s="100"/>
      <c r="H3132" s="100"/>
    </row>
    <row r="3133" customHeight="1" spans="2:8">
      <c r="B3133" s="98"/>
      <c r="C3133" s="98"/>
      <c r="D3133" s="98"/>
      <c r="E3133" s="98"/>
      <c r="F3133" s="99"/>
      <c r="G3133" s="100"/>
      <c r="H3133" s="100"/>
    </row>
    <row r="3134" customHeight="1" spans="2:8">
      <c r="B3134" s="98"/>
      <c r="C3134" s="98"/>
      <c r="D3134" s="98"/>
      <c r="E3134" s="98"/>
      <c r="F3134" s="99"/>
      <c r="G3134" s="100"/>
      <c r="H3134" s="100"/>
    </row>
    <row r="3135" customHeight="1" spans="2:8">
      <c r="B3135" s="98"/>
      <c r="C3135" s="98"/>
      <c r="D3135" s="98"/>
      <c r="E3135" s="98"/>
      <c r="F3135" s="99"/>
      <c r="G3135" s="100"/>
      <c r="H3135" s="100"/>
    </row>
    <row r="3136" customHeight="1" spans="2:8">
      <c r="B3136" s="98"/>
      <c r="C3136" s="98"/>
      <c r="D3136" s="98"/>
      <c r="E3136" s="98"/>
      <c r="F3136" s="99"/>
      <c r="G3136" s="100"/>
      <c r="H3136" s="100"/>
    </row>
    <row r="3137" customHeight="1" spans="2:8">
      <c r="B3137" s="98"/>
      <c r="C3137" s="98"/>
      <c r="D3137" s="98"/>
      <c r="E3137" s="98"/>
      <c r="F3137" s="99"/>
      <c r="G3137" s="100"/>
      <c r="H3137" s="100"/>
    </row>
    <row r="3138" customHeight="1" spans="2:8">
      <c r="B3138" s="98"/>
      <c r="C3138" s="98"/>
      <c r="D3138" s="98"/>
      <c r="E3138" s="98"/>
      <c r="F3138" s="99"/>
      <c r="G3138" s="100"/>
      <c r="H3138" s="100"/>
    </row>
    <row r="3139" customHeight="1" spans="2:8">
      <c r="B3139" s="98"/>
      <c r="C3139" s="98"/>
      <c r="D3139" s="98"/>
      <c r="E3139" s="98"/>
      <c r="F3139" s="99"/>
      <c r="G3139" s="100"/>
      <c r="H3139" s="100"/>
    </row>
    <row r="3140" customHeight="1" spans="2:8">
      <c r="B3140" s="98"/>
      <c r="C3140" s="98"/>
      <c r="D3140" s="98"/>
      <c r="E3140" s="98"/>
      <c r="F3140" s="99"/>
      <c r="G3140" s="100"/>
      <c r="H3140" s="100"/>
    </row>
    <row r="3141" customHeight="1" spans="2:8">
      <c r="B3141" s="98"/>
      <c r="C3141" s="98"/>
      <c r="D3141" s="98"/>
      <c r="E3141" s="98"/>
      <c r="F3141" s="99"/>
      <c r="G3141" s="100"/>
      <c r="H3141" s="100"/>
    </row>
    <row r="3142" customHeight="1" spans="2:8">
      <c r="B3142" s="98"/>
      <c r="C3142" s="98"/>
      <c r="D3142" s="98"/>
      <c r="E3142" s="98"/>
      <c r="F3142" s="99"/>
      <c r="G3142" s="100"/>
      <c r="H3142" s="100"/>
    </row>
    <row r="3143" customHeight="1" spans="2:8">
      <c r="B3143" s="98"/>
      <c r="C3143" s="98"/>
      <c r="D3143" s="98"/>
      <c r="E3143" s="98"/>
      <c r="F3143" s="99"/>
      <c r="G3143" s="100"/>
      <c r="H3143" s="100"/>
    </row>
    <row r="3144" customHeight="1" spans="2:8">
      <c r="B3144" s="98"/>
      <c r="C3144" s="98"/>
      <c r="D3144" s="98"/>
      <c r="E3144" s="98"/>
      <c r="F3144" s="99"/>
      <c r="G3144" s="100"/>
      <c r="H3144" s="100"/>
    </row>
    <row r="3145" customHeight="1" spans="2:8">
      <c r="B3145" s="98"/>
      <c r="C3145" s="98"/>
      <c r="D3145" s="98"/>
      <c r="E3145" s="98"/>
      <c r="F3145" s="99"/>
      <c r="G3145" s="100"/>
      <c r="H3145" s="100"/>
    </row>
    <row r="3146" customHeight="1" spans="2:8">
      <c r="B3146" s="98"/>
      <c r="C3146" s="98"/>
      <c r="D3146" s="98"/>
      <c r="E3146" s="98"/>
      <c r="F3146" s="99"/>
      <c r="G3146" s="100"/>
      <c r="H3146" s="100"/>
    </row>
    <row r="3147" customHeight="1" spans="2:8">
      <c r="B3147" s="98"/>
      <c r="C3147" s="98"/>
      <c r="D3147" s="98"/>
      <c r="E3147" s="98"/>
      <c r="F3147" s="99"/>
      <c r="G3147" s="100"/>
      <c r="H3147" s="100"/>
    </row>
    <row r="3148" customHeight="1" spans="2:8">
      <c r="B3148" s="98"/>
      <c r="C3148" s="98"/>
      <c r="D3148" s="98"/>
      <c r="E3148" s="98"/>
      <c r="F3148" s="99"/>
      <c r="G3148" s="100"/>
      <c r="H3148" s="100"/>
    </row>
    <row r="3149" customHeight="1" spans="2:8">
      <c r="B3149" s="98"/>
      <c r="C3149" s="98"/>
      <c r="D3149" s="98"/>
      <c r="E3149" s="98"/>
      <c r="F3149" s="99"/>
      <c r="G3149" s="100"/>
      <c r="H3149" s="100"/>
    </row>
    <row r="3150" customHeight="1" spans="2:8">
      <c r="B3150" s="98"/>
      <c r="C3150" s="98"/>
      <c r="D3150" s="98"/>
      <c r="E3150" s="98"/>
      <c r="F3150" s="99"/>
      <c r="G3150" s="100"/>
      <c r="H3150" s="100"/>
    </row>
    <row r="3151" customHeight="1" spans="2:8">
      <c r="B3151" s="98"/>
      <c r="C3151" s="98"/>
      <c r="D3151" s="98"/>
      <c r="E3151" s="98"/>
      <c r="F3151" s="99"/>
      <c r="G3151" s="100"/>
      <c r="H3151" s="100"/>
    </row>
    <row r="3152" customHeight="1" spans="2:8">
      <c r="B3152" s="98"/>
      <c r="C3152" s="98"/>
      <c r="D3152" s="98"/>
      <c r="E3152" s="98"/>
      <c r="F3152" s="99"/>
      <c r="G3152" s="100"/>
      <c r="H3152" s="100"/>
    </row>
    <row r="3153" customHeight="1" spans="2:8">
      <c r="B3153" s="98"/>
      <c r="C3153" s="98"/>
      <c r="D3153" s="98"/>
      <c r="E3153" s="98"/>
      <c r="F3153" s="99"/>
      <c r="G3153" s="100"/>
      <c r="H3153" s="100"/>
    </row>
    <row r="3154" customHeight="1" spans="2:8">
      <c r="B3154" s="98"/>
      <c r="C3154" s="98"/>
      <c r="D3154" s="98"/>
      <c r="E3154" s="98"/>
      <c r="F3154" s="99"/>
      <c r="G3154" s="100"/>
      <c r="H3154" s="100"/>
    </row>
    <row r="3155" customHeight="1" spans="2:8">
      <c r="B3155" s="98"/>
      <c r="C3155" s="98"/>
      <c r="D3155" s="98"/>
      <c r="E3155" s="98"/>
      <c r="F3155" s="99"/>
      <c r="G3155" s="100"/>
      <c r="H3155" s="100"/>
    </row>
    <row r="3156" customHeight="1" spans="2:8">
      <c r="B3156" s="98"/>
      <c r="C3156" s="98"/>
      <c r="D3156" s="98"/>
      <c r="E3156" s="98"/>
      <c r="F3156" s="99"/>
      <c r="G3156" s="100"/>
      <c r="H3156" s="100"/>
    </row>
    <row r="3157" customHeight="1" spans="2:8">
      <c r="B3157" s="98"/>
      <c r="C3157" s="98"/>
      <c r="D3157" s="98"/>
      <c r="E3157" s="98"/>
      <c r="F3157" s="99"/>
      <c r="G3157" s="100"/>
      <c r="H3157" s="100"/>
    </row>
    <row r="3158" customHeight="1" spans="2:8">
      <c r="B3158" s="98"/>
      <c r="C3158" s="98"/>
      <c r="D3158" s="98"/>
      <c r="E3158" s="98"/>
      <c r="F3158" s="99"/>
      <c r="G3158" s="100"/>
      <c r="H3158" s="100"/>
    </row>
    <row r="3159" customHeight="1" spans="2:8">
      <c r="B3159" s="98"/>
      <c r="C3159" s="98"/>
      <c r="D3159" s="98"/>
      <c r="E3159" s="98"/>
      <c r="F3159" s="99"/>
      <c r="G3159" s="100"/>
      <c r="H3159" s="100"/>
    </row>
    <row r="3160" customHeight="1" spans="2:8">
      <c r="B3160" s="98"/>
      <c r="C3160" s="98"/>
      <c r="D3160" s="98"/>
      <c r="E3160" s="98"/>
      <c r="F3160" s="99"/>
      <c r="G3160" s="100"/>
      <c r="H3160" s="100"/>
    </row>
    <row r="3161" customHeight="1" spans="2:8">
      <c r="B3161" s="98"/>
      <c r="C3161" s="98"/>
      <c r="D3161" s="98"/>
      <c r="E3161" s="98"/>
      <c r="F3161" s="99"/>
      <c r="G3161" s="100"/>
      <c r="H3161" s="100"/>
    </row>
    <row r="3162" customHeight="1" spans="2:8">
      <c r="B3162" s="98"/>
      <c r="C3162" s="98"/>
      <c r="D3162" s="98"/>
      <c r="E3162" s="98"/>
      <c r="F3162" s="99"/>
      <c r="G3162" s="100"/>
      <c r="H3162" s="100"/>
    </row>
    <row r="3163" customHeight="1" spans="2:8">
      <c r="B3163" s="98"/>
      <c r="C3163" s="98"/>
      <c r="D3163" s="98"/>
      <c r="E3163" s="98"/>
      <c r="F3163" s="99"/>
      <c r="G3163" s="100"/>
      <c r="H3163" s="100"/>
    </row>
    <row r="3164" customHeight="1" spans="2:8">
      <c r="B3164" s="98"/>
      <c r="C3164" s="98"/>
      <c r="D3164" s="98"/>
      <c r="E3164" s="98"/>
      <c r="F3164" s="99"/>
      <c r="G3164" s="100"/>
      <c r="H3164" s="100"/>
    </row>
    <row r="3165" customHeight="1" spans="2:8">
      <c r="B3165" s="98"/>
      <c r="C3165" s="98"/>
      <c r="D3165" s="98"/>
      <c r="E3165" s="98"/>
      <c r="F3165" s="99"/>
      <c r="G3165" s="100"/>
      <c r="H3165" s="100"/>
    </row>
    <row r="3166" customHeight="1" spans="2:8">
      <c r="B3166" s="98"/>
      <c r="C3166" s="98"/>
      <c r="D3166" s="98"/>
      <c r="E3166" s="98"/>
      <c r="F3166" s="99"/>
      <c r="G3166" s="100"/>
      <c r="H3166" s="100"/>
    </row>
    <row r="3167" customHeight="1" spans="2:8">
      <c r="B3167" s="98"/>
      <c r="C3167" s="98"/>
      <c r="D3167" s="98"/>
      <c r="E3167" s="98"/>
      <c r="F3167" s="99"/>
      <c r="G3167" s="100"/>
      <c r="H3167" s="100"/>
    </row>
    <row r="3168" customHeight="1" spans="2:8">
      <c r="B3168" s="98"/>
      <c r="C3168" s="98"/>
      <c r="D3168" s="98"/>
      <c r="E3168" s="98"/>
      <c r="F3168" s="99"/>
      <c r="G3168" s="100"/>
      <c r="H3168" s="100"/>
    </row>
    <row r="3169" customHeight="1" spans="2:8">
      <c r="B3169" s="98"/>
      <c r="C3169" s="98"/>
      <c r="D3169" s="98"/>
      <c r="E3169" s="98"/>
      <c r="F3169" s="99"/>
      <c r="G3169" s="100"/>
      <c r="H3169" s="100"/>
    </row>
    <row r="3170" customHeight="1" spans="2:8">
      <c r="B3170" s="98"/>
      <c r="C3170" s="98"/>
      <c r="D3170" s="98"/>
      <c r="E3170" s="98"/>
      <c r="F3170" s="99"/>
      <c r="G3170" s="100"/>
      <c r="H3170" s="100"/>
    </row>
    <row r="3171" customHeight="1" spans="2:8">
      <c r="B3171" s="98"/>
      <c r="C3171" s="98"/>
      <c r="D3171" s="98"/>
      <c r="E3171" s="98"/>
      <c r="F3171" s="99"/>
      <c r="G3171" s="100"/>
      <c r="H3171" s="100"/>
    </row>
    <row r="3172" customHeight="1" spans="2:8">
      <c r="B3172" s="98"/>
      <c r="C3172" s="98"/>
      <c r="D3172" s="98"/>
      <c r="E3172" s="98"/>
      <c r="F3172" s="99"/>
      <c r="G3172" s="100"/>
      <c r="H3172" s="100"/>
    </row>
    <row r="3173" customHeight="1" spans="2:8">
      <c r="B3173" s="98"/>
      <c r="C3173" s="98"/>
      <c r="D3173" s="98"/>
      <c r="E3173" s="98"/>
      <c r="F3173" s="99"/>
      <c r="G3173" s="100"/>
      <c r="H3173" s="100"/>
    </row>
    <row r="3174" customHeight="1" spans="2:8">
      <c r="B3174" s="98"/>
      <c r="C3174" s="98"/>
      <c r="D3174" s="98"/>
      <c r="E3174" s="98"/>
      <c r="F3174" s="99"/>
      <c r="G3174" s="100"/>
      <c r="H3174" s="100"/>
    </row>
    <row r="3175" customHeight="1" spans="2:8">
      <c r="B3175" s="98"/>
      <c r="C3175" s="98"/>
      <c r="D3175" s="98"/>
      <c r="E3175" s="98"/>
      <c r="F3175" s="99"/>
      <c r="G3175" s="100"/>
      <c r="H3175" s="100"/>
    </row>
    <row r="3176" customHeight="1" spans="2:8">
      <c r="B3176" s="98"/>
      <c r="C3176" s="98"/>
      <c r="D3176" s="98"/>
      <c r="E3176" s="98"/>
      <c r="F3176" s="99"/>
      <c r="G3176" s="100"/>
      <c r="H3176" s="100"/>
    </row>
    <row r="3177" customHeight="1" spans="2:8">
      <c r="B3177" s="98"/>
      <c r="C3177" s="98"/>
      <c r="D3177" s="98"/>
      <c r="E3177" s="98"/>
      <c r="F3177" s="99"/>
      <c r="G3177" s="100"/>
      <c r="H3177" s="100"/>
    </row>
    <row r="3178" customHeight="1" spans="2:8">
      <c r="B3178" s="98"/>
      <c r="C3178" s="98"/>
      <c r="D3178" s="98"/>
      <c r="E3178" s="98"/>
      <c r="F3178" s="99"/>
      <c r="G3178" s="100"/>
      <c r="H3178" s="100"/>
    </row>
    <row r="3179" customHeight="1" spans="2:8">
      <c r="B3179" s="98"/>
      <c r="C3179" s="98"/>
      <c r="D3179" s="98"/>
      <c r="E3179" s="98"/>
      <c r="F3179" s="99"/>
      <c r="G3179" s="100"/>
      <c r="H3179" s="100"/>
    </row>
    <row r="3180" customHeight="1" spans="2:8">
      <c r="B3180" s="98"/>
      <c r="C3180" s="98"/>
      <c r="D3180" s="98"/>
      <c r="E3180" s="98"/>
      <c r="F3180" s="99"/>
      <c r="G3180" s="100"/>
      <c r="H3180" s="100"/>
    </row>
    <row r="3181" customHeight="1" spans="2:8">
      <c r="B3181" s="98"/>
      <c r="C3181" s="98"/>
      <c r="D3181" s="98"/>
      <c r="E3181" s="98"/>
      <c r="F3181" s="99"/>
      <c r="G3181" s="100"/>
      <c r="H3181" s="100"/>
    </row>
    <row r="3182" customHeight="1" spans="2:8">
      <c r="B3182" s="98"/>
      <c r="C3182" s="98"/>
      <c r="D3182" s="98"/>
      <c r="E3182" s="98"/>
      <c r="F3182" s="99"/>
      <c r="G3182" s="100"/>
      <c r="H3182" s="100"/>
    </row>
    <row r="3183" customHeight="1" spans="2:8">
      <c r="B3183" s="98"/>
      <c r="C3183" s="98"/>
      <c r="D3183" s="98"/>
      <c r="E3183" s="98"/>
      <c r="F3183" s="99"/>
      <c r="G3183" s="100"/>
      <c r="H3183" s="100"/>
    </row>
    <row r="3184" customHeight="1" spans="2:8">
      <c r="B3184" s="98"/>
      <c r="C3184" s="98"/>
      <c r="D3184" s="98"/>
      <c r="E3184" s="98"/>
      <c r="F3184" s="99"/>
      <c r="G3184" s="100"/>
      <c r="H3184" s="100"/>
    </row>
    <row r="3185" customHeight="1" spans="2:8">
      <c r="B3185" s="98"/>
      <c r="C3185" s="98"/>
      <c r="D3185" s="98"/>
      <c r="E3185" s="98"/>
      <c r="F3185" s="99"/>
      <c r="G3185" s="100"/>
      <c r="H3185" s="100"/>
    </row>
    <row r="3186" customHeight="1" spans="2:8">
      <c r="B3186" s="98"/>
      <c r="C3186" s="98"/>
      <c r="D3186" s="98"/>
      <c r="E3186" s="98"/>
      <c r="F3186" s="99"/>
      <c r="G3186" s="100"/>
      <c r="H3186" s="100"/>
    </row>
    <row r="3187" customHeight="1" spans="2:8">
      <c r="B3187" s="98"/>
      <c r="C3187" s="98"/>
      <c r="D3187" s="98"/>
      <c r="E3187" s="98"/>
      <c r="F3187" s="99"/>
      <c r="G3187" s="100"/>
      <c r="H3187" s="100"/>
    </row>
    <row r="3188" customHeight="1" spans="2:8">
      <c r="B3188" s="98"/>
      <c r="C3188" s="98"/>
      <c r="D3188" s="98"/>
      <c r="E3188" s="98"/>
      <c r="F3188" s="99"/>
      <c r="G3188" s="100"/>
      <c r="H3188" s="100"/>
    </row>
    <row r="3189" customHeight="1" spans="2:8">
      <c r="B3189" s="98"/>
      <c r="C3189" s="98"/>
      <c r="D3189" s="98"/>
      <c r="E3189" s="98"/>
      <c r="F3189" s="99"/>
      <c r="G3189" s="100"/>
      <c r="H3189" s="100"/>
    </row>
    <row r="3190" customHeight="1" spans="2:8">
      <c r="B3190" s="98"/>
      <c r="C3190" s="98"/>
      <c r="D3190" s="98"/>
      <c r="E3190" s="98"/>
      <c r="F3190" s="99"/>
      <c r="G3190" s="100"/>
      <c r="H3190" s="100"/>
    </row>
    <row r="3191" customHeight="1" spans="2:8">
      <c r="B3191" s="98"/>
      <c r="C3191" s="98"/>
      <c r="D3191" s="98"/>
      <c r="E3191" s="98"/>
      <c r="F3191" s="99"/>
      <c r="G3191" s="100"/>
      <c r="H3191" s="100"/>
    </row>
    <row r="3192" customHeight="1" spans="2:8">
      <c r="B3192" s="98"/>
      <c r="C3192" s="98"/>
      <c r="D3192" s="98"/>
      <c r="E3192" s="98"/>
      <c r="F3192" s="99"/>
      <c r="G3192" s="100"/>
      <c r="H3192" s="100"/>
    </row>
    <row r="3193" customHeight="1" spans="2:8">
      <c r="B3193" s="98"/>
      <c r="C3193" s="98"/>
      <c r="D3193" s="98"/>
      <c r="E3193" s="98"/>
      <c r="F3193" s="99"/>
      <c r="G3193" s="100"/>
      <c r="H3193" s="100"/>
    </row>
    <row r="3194" customHeight="1" spans="2:8">
      <c r="B3194" s="98"/>
      <c r="C3194" s="98"/>
      <c r="D3194" s="98"/>
      <c r="E3194" s="98"/>
      <c r="F3194" s="99"/>
      <c r="G3194" s="100"/>
      <c r="H3194" s="100"/>
    </row>
    <row r="3195" customHeight="1" spans="2:8">
      <c r="B3195" s="98"/>
      <c r="C3195" s="98"/>
      <c r="D3195" s="98"/>
      <c r="E3195" s="98"/>
      <c r="F3195" s="99"/>
      <c r="G3195" s="100"/>
      <c r="H3195" s="100"/>
    </row>
    <row r="3196" customHeight="1" spans="2:8">
      <c r="B3196" s="98"/>
      <c r="C3196" s="98"/>
      <c r="D3196" s="98"/>
      <c r="E3196" s="98"/>
      <c r="F3196" s="99"/>
      <c r="G3196" s="100"/>
      <c r="H3196" s="100"/>
    </row>
    <row r="3197" customHeight="1" spans="2:8">
      <c r="B3197" s="98"/>
      <c r="C3197" s="98"/>
      <c r="D3197" s="98"/>
      <c r="E3197" s="98"/>
      <c r="F3197" s="99"/>
      <c r="G3197" s="100"/>
      <c r="H3197" s="100"/>
    </row>
    <row r="3198" customHeight="1" spans="2:8">
      <c r="B3198" s="98"/>
      <c r="C3198" s="98"/>
      <c r="D3198" s="98"/>
      <c r="E3198" s="98"/>
      <c r="F3198" s="99"/>
      <c r="G3198" s="100"/>
      <c r="H3198" s="100"/>
    </row>
    <row r="3199" customHeight="1" spans="2:8">
      <c r="B3199" s="98"/>
      <c r="C3199" s="98"/>
      <c r="D3199" s="98"/>
      <c r="E3199" s="98"/>
      <c r="F3199" s="99"/>
      <c r="G3199" s="100"/>
      <c r="H3199" s="100"/>
    </row>
    <row r="3200" customHeight="1" spans="2:8">
      <c r="B3200" s="98"/>
      <c r="C3200" s="98"/>
      <c r="D3200" s="98"/>
      <c r="E3200" s="98"/>
      <c r="F3200" s="99"/>
      <c r="G3200" s="100"/>
      <c r="H3200" s="100"/>
    </row>
    <row r="3201" customHeight="1" spans="2:8">
      <c r="B3201" s="98"/>
      <c r="C3201" s="98"/>
      <c r="D3201" s="98"/>
      <c r="E3201" s="98"/>
      <c r="F3201" s="99"/>
      <c r="G3201" s="100"/>
      <c r="H3201" s="100"/>
    </row>
    <row r="3202" customHeight="1" spans="2:8">
      <c r="B3202" s="98"/>
      <c r="C3202" s="98"/>
      <c r="D3202" s="98"/>
      <c r="E3202" s="98"/>
      <c r="F3202" s="99"/>
      <c r="G3202" s="100"/>
      <c r="H3202" s="100"/>
    </row>
    <row r="3203" customHeight="1" spans="2:8">
      <c r="B3203" s="98"/>
      <c r="C3203" s="98"/>
      <c r="D3203" s="98"/>
      <c r="E3203" s="98"/>
      <c r="F3203" s="99"/>
      <c r="G3203" s="100"/>
      <c r="H3203" s="100"/>
    </row>
    <row r="3204" customHeight="1" spans="2:8">
      <c r="B3204" s="98"/>
      <c r="C3204" s="98"/>
      <c r="D3204" s="98"/>
      <c r="E3204" s="98"/>
      <c r="F3204" s="99"/>
      <c r="G3204" s="100"/>
      <c r="H3204" s="100"/>
    </row>
    <row r="3205" customHeight="1" spans="2:8">
      <c r="B3205" s="98"/>
      <c r="C3205" s="98"/>
      <c r="D3205" s="98"/>
      <c r="E3205" s="98"/>
      <c r="F3205" s="99"/>
      <c r="G3205" s="100"/>
      <c r="H3205" s="100"/>
    </row>
    <row r="3206" customHeight="1" spans="2:8">
      <c r="B3206" s="98"/>
      <c r="C3206" s="98"/>
      <c r="D3206" s="98"/>
      <c r="E3206" s="98"/>
      <c r="F3206" s="99"/>
      <c r="G3206" s="100"/>
      <c r="H3206" s="100"/>
    </row>
    <row r="3207" customHeight="1" spans="2:8">
      <c r="B3207" s="98"/>
      <c r="C3207" s="98"/>
      <c r="D3207" s="98"/>
      <c r="E3207" s="98"/>
      <c r="F3207" s="99"/>
      <c r="G3207" s="100"/>
      <c r="H3207" s="100"/>
    </row>
    <row r="3208" customHeight="1" spans="2:8">
      <c r="B3208" s="98"/>
      <c r="C3208" s="98"/>
      <c r="D3208" s="98"/>
      <c r="E3208" s="98"/>
      <c r="F3208" s="99"/>
      <c r="G3208" s="100"/>
      <c r="H3208" s="100"/>
    </row>
    <row r="3209" customHeight="1" spans="2:8">
      <c r="B3209" s="98"/>
      <c r="C3209" s="98"/>
      <c r="D3209" s="98"/>
      <c r="E3209" s="98"/>
      <c r="F3209" s="99"/>
      <c r="G3209" s="100"/>
      <c r="H3209" s="100"/>
    </row>
    <row r="3210" customHeight="1" spans="2:8">
      <c r="B3210" s="98"/>
      <c r="C3210" s="98"/>
      <c r="D3210" s="98"/>
      <c r="E3210" s="98"/>
      <c r="F3210" s="99"/>
      <c r="G3210" s="100"/>
      <c r="H3210" s="100"/>
    </row>
    <row r="3211" customHeight="1" spans="2:8">
      <c r="B3211" s="98"/>
      <c r="C3211" s="98"/>
      <c r="D3211" s="98"/>
      <c r="E3211" s="98"/>
      <c r="F3211" s="99"/>
      <c r="G3211" s="100"/>
      <c r="H3211" s="100"/>
    </row>
    <row r="3212" customHeight="1" spans="2:8">
      <c r="B3212" s="98"/>
      <c r="C3212" s="98"/>
      <c r="D3212" s="98"/>
      <c r="E3212" s="98"/>
      <c r="F3212" s="99"/>
      <c r="G3212" s="100"/>
      <c r="H3212" s="100"/>
    </row>
    <row r="3213" customHeight="1" spans="2:8">
      <c r="B3213" s="98"/>
      <c r="C3213" s="98"/>
      <c r="D3213" s="98"/>
      <c r="E3213" s="98"/>
      <c r="F3213" s="99"/>
      <c r="G3213" s="100"/>
      <c r="H3213" s="100"/>
    </row>
    <row r="3214" customHeight="1" spans="2:8">
      <c r="B3214" s="98"/>
      <c r="C3214" s="98"/>
      <c r="D3214" s="98"/>
      <c r="E3214" s="98"/>
      <c r="F3214" s="99"/>
      <c r="G3214" s="100"/>
      <c r="H3214" s="100"/>
    </row>
    <row r="3215" customHeight="1" spans="2:8">
      <c r="B3215" s="98"/>
      <c r="C3215" s="98"/>
      <c r="D3215" s="98"/>
      <c r="E3215" s="98"/>
      <c r="F3215" s="99"/>
      <c r="G3215" s="100"/>
      <c r="H3215" s="100"/>
    </row>
    <row r="3216" customHeight="1" spans="2:8">
      <c r="B3216" s="98"/>
      <c r="C3216" s="98"/>
      <c r="D3216" s="98"/>
      <c r="E3216" s="98"/>
      <c r="F3216" s="99"/>
      <c r="G3216" s="100"/>
      <c r="H3216" s="100"/>
    </row>
    <row r="3217" customHeight="1" spans="2:8">
      <c r="B3217" s="98"/>
      <c r="C3217" s="98"/>
      <c r="D3217" s="98"/>
      <c r="E3217" s="98"/>
      <c r="F3217" s="99"/>
      <c r="G3217" s="100"/>
      <c r="H3217" s="100"/>
    </row>
    <row r="3218" customHeight="1" spans="2:8">
      <c r="B3218" s="98"/>
      <c r="C3218" s="98"/>
      <c r="D3218" s="98"/>
      <c r="E3218" s="98"/>
      <c r="F3218" s="99"/>
      <c r="G3218" s="100"/>
      <c r="H3218" s="100"/>
    </row>
    <row r="3219" customHeight="1" spans="2:8">
      <c r="B3219" s="98"/>
      <c r="C3219" s="98"/>
      <c r="D3219" s="98"/>
      <c r="E3219" s="98"/>
      <c r="F3219" s="99"/>
      <c r="G3219" s="100"/>
      <c r="H3219" s="100"/>
    </row>
    <row r="3220" customHeight="1" spans="2:8">
      <c r="B3220" s="98"/>
      <c r="C3220" s="98"/>
      <c r="D3220" s="98"/>
      <c r="E3220" s="98"/>
      <c r="F3220" s="99"/>
      <c r="G3220" s="100"/>
      <c r="H3220" s="100"/>
    </row>
    <row r="3221" customHeight="1" spans="2:8">
      <c r="B3221" s="98"/>
      <c r="C3221" s="98"/>
      <c r="D3221" s="98"/>
      <c r="E3221" s="98"/>
      <c r="F3221" s="99"/>
      <c r="G3221" s="100"/>
      <c r="H3221" s="100"/>
    </row>
    <row r="3222" customHeight="1" spans="2:8">
      <c r="B3222" s="98"/>
      <c r="C3222" s="98"/>
      <c r="D3222" s="98"/>
      <c r="E3222" s="98"/>
      <c r="F3222" s="99"/>
      <c r="G3222" s="100"/>
      <c r="H3222" s="100"/>
    </row>
    <row r="3223" customHeight="1" spans="2:8">
      <c r="B3223" s="98"/>
      <c r="C3223" s="98"/>
      <c r="D3223" s="98"/>
      <c r="E3223" s="98"/>
      <c r="F3223" s="99"/>
      <c r="G3223" s="100"/>
      <c r="H3223" s="100"/>
    </row>
    <row r="3224" customHeight="1" spans="2:8">
      <c r="B3224" s="98"/>
      <c r="C3224" s="98"/>
      <c r="D3224" s="98"/>
      <c r="E3224" s="98"/>
      <c r="F3224" s="99"/>
      <c r="G3224" s="100"/>
      <c r="H3224" s="100"/>
    </row>
    <row r="3225" customHeight="1" spans="2:8">
      <c r="B3225" s="98"/>
      <c r="C3225" s="98"/>
      <c r="D3225" s="98"/>
      <c r="E3225" s="98"/>
      <c r="F3225" s="99"/>
      <c r="G3225" s="100"/>
      <c r="H3225" s="100"/>
    </row>
    <row r="3226" customHeight="1" spans="2:8">
      <c r="B3226" s="98"/>
      <c r="C3226" s="98"/>
      <c r="D3226" s="98"/>
      <c r="E3226" s="98"/>
      <c r="F3226" s="99"/>
      <c r="G3226" s="100"/>
      <c r="H3226" s="100"/>
    </row>
    <row r="3227" customHeight="1" spans="2:8">
      <c r="B3227" s="98"/>
      <c r="C3227" s="98"/>
      <c r="D3227" s="98"/>
      <c r="E3227" s="98"/>
      <c r="F3227" s="99"/>
      <c r="G3227" s="100"/>
      <c r="H3227" s="100"/>
    </row>
    <row r="3228" customHeight="1" spans="2:8">
      <c r="B3228" s="98"/>
      <c r="C3228" s="98"/>
      <c r="D3228" s="98"/>
      <c r="E3228" s="98"/>
      <c r="F3228" s="99"/>
      <c r="G3228" s="100"/>
      <c r="H3228" s="100"/>
    </row>
    <row r="3229" customHeight="1" spans="2:8">
      <c r="B3229" s="98"/>
      <c r="C3229" s="98"/>
      <c r="D3229" s="98"/>
      <c r="E3229" s="98"/>
      <c r="F3229" s="99"/>
      <c r="G3229" s="100"/>
      <c r="H3229" s="100"/>
    </row>
    <row r="3230" customHeight="1" spans="2:8">
      <c r="B3230" s="98"/>
      <c r="C3230" s="98"/>
      <c r="D3230" s="98"/>
      <c r="E3230" s="98"/>
      <c r="F3230" s="99"/>
      <c r="G3230" s="100"/>
      <c r="H3230" s="100"/>
    </row>
    <row r="3231" customHeight="1" spans="2:8">
      <c r="B3231" s="98"/>
      <c r="C3231" s="98"/>
      <c r="D3231" s="98"/>
      <c r="E3231" s="98"/>
      <c r="F3231" s="99"/>
      <c r="G3231" s="100"/>
      <c r="H3231" s="100"/>
    </row>
    <row r="3232" customHeight="1" spans="2:8">
      <c r="B3232" s="98"/>
      <c r="C3232" s="98"/>
      <c r="D3232" s="98"/>
      <c r="E3232" s="98"/>
      <c r="F3232" s="99"/>
      <c r="G3232" s="100"/>
      <c r="H3232" s="100"/>
    </row>
    <row r="3233" customHeight="1" spans="2:8">
      <c r="B3233" s="98"/>
      <c r="C3233" s="98"/>
      <c r="D3233" s="98"/>
      <c r="E3233" s="98"/>
      <c r="F3233" s="99"/>
      <c r="G3233" s="100"/>
      <c r="H3233" s="100"/>
    </row>
    <row r="3234" customHeight="1" spans="2:8">
      <c r="B3234" s="98"/>
      <c r="C3234" s="98"/>
      <c r="D3234" s="98"/>
      <c r="E3234" s="98"/>
      <c r="F3234" s="99"/>
      <c r="G3234" s="100"/>
      <c r="H3234" s="100"/>
    </row>
    <row r="3235" customHeight="1" spans="2:8">
      <c r="B3235" s="98"/>
      <c r="C3235" s="98"/>
      <c r="D3235" s="98"/>
      <c r="E3235" s="98"/>
      <c r="F3235" s="99"/>
      <c r="G3235" s="100"/>
      <c r="H3235" s="100"/>
    </row>
    <row r="3236" customHeight="1" spans="2:8">
      <c r="B3236" s="98"/>
      <c r="C3236" s="98"/>
      <c r="D3236" s="98"/>
      <c r="E3236" s="98"/>
      <c r="F3236" s="99"/>
      <c r="G3236" s="100"/>
      <c r="H3236" s="100"/>
    </row>
    <row r="3237" customHeight="1" spans="2:8">
      <c r="B3237" s="98"/>
      <c r="C3237" s="98"/>
      <c r="D3237" s="98"/>
      <c r="E3237" s="98"/>
      <c r="F3237" s="99"/>
      <c r="G3237" s="100"/>
      <c r="H3237" s="100"/>
    </row>
    <row r="3238" customHeight="1" spans="2:8">
      <c r="B3238" s="98"/>
      <c r="C3238" s="98"/>
      <c r="D3238" s="98"/>
      <c r="E3238" s="98"/>
      <c r="F3238" s="99"/>
      <c r="G3238" s="100"/>
      <c r="H3238" s="100"/>
    </row>
    <row r="3239" customHeight="1" spans="2:8">
      <c r="B3239" s="98"/>
      <c r="C3239" s="98"/>
      <c r="D3239" s="98"/>
      <c r="E3239" s="98"/>
      <c r="F3239" s="99"/>
      <c r="G3239" s="100"/>
      <c r="H3239" s="100"/>
    </row>
    <row r="3240" customHeight="1" spans="2:8">
      <c r="B3240" s="98"/>
      <c r="C3240" s="98"/>
      <c r="D3240" s="98"/>
      <c r="E3240" s="98"/>
      <c r="F3240" s="99"/>
      <c r="G3240" s="100"/>
      <c r="H3240" s="100"/>
    </row>
    <row r="3241" customHeight="1" spans="2:8">
      <c r="B3241" s="98"/>
      <c r="C3241" s="98"/>
      <c r="D3241" s="98"/>
      <c r="E3241" s="98"/>
      <c r="F3241" s="99"/>
      <c r="G3241" s="100"/>
      <c r="H3241" s="100"/>
    </row>
    <row r="3242" customHeight="1" spans="2:8">
      <c r="B3242" s="98"/>
      <c r="C3242" s="98"/>
      <c r="D3242" s="98"/>
      <c r="E3242" s="98"/>
      <c r="F3242" s="99"/>
      <c r="G3242" s="100"/>
      <c r="H3242" s="100"/>
    </row>
    <row r="3243" customHeight="1" spans="2:8">
      <c r="B3243" s="98"/>
      <c r="C3243" s="98"/>
      <c r="D3243" s="98"/>
      <c r="E3243" s="98"/>
      <c r="F3243" s="99"/>
      <c r="G3243" s="100"/>
      <c r="H3243" s="100"/>
    </row>
    <row r="3244" customHeight="1" spans="2:8">
      <c r="B3244" s="98"/>
      <c r="C3244" s="98"/>
      <c r="D3244" s="98"/>
      <c r="E3244" s="98"/>
      <c r="F3244" s="99"/>
      <c r="G3244" s="100"/>
      <c r="H3244" s="100"/>
    </row>
    <row r="3245" customHeight="1" spans="2:8">
      <c r="B3245" s="98"/>
      <c r="C3245" s="98"/>
      <c r="D3245" s="98"/>
      <c r="E3245" s="98"/>
      <c r="F3245" s="99"/>
      <c r="G3245" s="100"/>
      <c r="H3245" s="100"/>
    </row>
    <row r="3246" customHeight="1" spans="2:8">
      <c r="B3246" s="98"/>
      <c r="C3246" s="98"/>
      <c r="D3246" s="98"/>
      <c r="E3246" s="98"/>
      <c r="F3246" s="99"/>
      <c r="G3246" s="100"/>
      <c r="H3246" s="100"/>
    </row>
    <row r="3247" customHeight="1" spans="2:8">
      <c r="B3247" s="98"/>
      <c r="C3247" s="98"/>
      <c r="D3247" s="98"/>
      <c r="E3247" s="98"/>
      <c r="F3247" s="99"/>
      <c r="G3247" s="100"/>
      <c r="H3247" s="100"/>
    </row>
    <row r="3248" customHeight="1" spans="2:8">
      <c r="B3248" s="98"/>
      <c r="C3248" s="98"/>
      <c r="D3248" s="98"/>
      <c r="E3248" s="98"/>
      <c r="F3248" s="99"/>
      <c r="G3248" s="100"/>
      <c r="H3248" s="100"/>
    </row>
    <row r="3249" customHeight="1" spans="2:8">
      <c r="B3249" s="98"/>
      <c r="C3249" s="98"/>
      <c r="D3249" s="98"/>
      <c r="E3249" s="98"/>
      <c r="F3249" s="99"/>
      <c r="G3249" s="100"/>
      <c r="H3249" s="100"/>
    </row>
    <row r="3250" customHeight="1" spans="2:8">
      <c r="B3250" s="98"/>
      <c r="C3250" s="98"/>
      <c r="D3250" s="98"/>
      <c r="E3250" s="98"/>
      <c r="F3250" s="99"/>
      <c r="G3250" s="100"/>
      <c r="H3250" s="100"/>
    </row>
    <row r="3251" customHeight="1" spans="2:8">
      <c r="B3251" s="98"/>
      <c r="C3251" s="98"/>
      <c r="D3251" s="98"/>
      <c r="E3251" s="98"/>
      <c r="F3251" s="99"/>
      <c r="G3251" s="100"/>
      <c r="H3251" s="100"/>
    </row>
    <row r="3252" customHeight="1" spans="2:8">
      <c r="B3252" s="98"/>
      <c r="C3252" s="98"/>
      <c r="D3252" s="98"/>
      <c r="E3252" s="98"/>
      <c r="F3252" s="99"/>
      <c r="G3252" s="100"/>
      <c r="H3252" s="100"/>
    </row>
    <row r="3253" customHeight="1" spans="2:8">
      <c r="B3253" s="98"/>
      <c r="C3253" s="98"/>
      <c r="D3253" s="98"/>
      <c r="E3253" s="98"/>
      <c r="F3253" s="99"/>
      <c r="G3253" s="100"/>
      <c r="H3253" s="100"/>
    </row>
    <row r="3254" customHeight="1" spans="2:8">
      <c r="B3254" s="98"/>
      <c r="C3254" s="98"/>
      <c r="D3254" s="98"/>
      <c r="E3254" s="98"/>
      <c r="F3254" s="99"/>
      <c r="G3254" s="100"/>
      <c r="H3254" s="100"/>
    </row>
    <row r="3255" customHeight="1" spans="2:8">
      <c r="B3255" s="98"/>
      <c r="C3255" s="98"/>
      <c r="D3255" s="98"/>
      <c r="E3255" s="98"/>
      <c r="F3255" s="99"/>
      <c r="G3255" s="100"/>
      <c r="H3255" s="100"/>
    </row>
    <row r="3256" customHeight="1" spans="2:8">
      <c r="B3256" s="98"/>
      <c r="C3256" s="98"/>
      <c r="D3256" s="98"/>
      <c r="E3256" s="98"/>
      <c r="F3256" s="99"/>
      <c r="G3256" s="100"/>
      <c r="H3256" s="100"/>
    </row>
    <row r="3257" customHeight="1" spans="2:8">
      <c r="B3257" s="98"/>
      <c r="C3257" s="98"/>
      <c r="D3257" s="98"/>
      <c r="E3257" s="98"/>
      <c r="F3257" s="99"/>
      <c r="G3257" s="100"/>
      <c r="H3257" s="100"/>
    </row>
    <row r="3258" customHeight="1" spans="2:8">
      <c r="B3258" s="98"/>
      <c r="C3258" s="98"/>
      <c r="D3258" s="98"/>
      <c r="E3258" s="98"/>
      <c r="F3258" s="99"/>
      <c r="G3258" s="100"/>
      <c r="H3258" s="100"/>
    </row>
    <row r="3259" customHeight="1" spans="2:8">
      <c r="B3259" s="98"/>
      <c r="C3259" s="98"/>
      <c r="D3259" s="98"/>
      <c r="E3259" s="98"/>
      <c r="F3259" s="99"/>
      <c r="G3259" s="100"/>
      <c r="H3259" s="100"/>
    </row>
    <row r="3260" customHeight="1" spans="2:8">
      <c r="B3260" s="98"/>
      <c r="C3260" s="98"/>
      <c r="D3260" s="98"/>
      <c r="E3260" s="98"/>
      <c r="F3260" s="99"/>
      <c r="G3260" s="100"/>
      <c r="H3260" s="100"/>
    </row>
    <row r="3261" customHeight="1" spans="2:8">
      <c r="B3261" s="98"/>
      <c r="C3261" s="98"/>
      <c r="D3261" s="98"/>
      <c r="E3261" s="98"/>
      <c r="F3261" s="99"/>
      <c r="G3261" s="100"/>
      <c r="H3261" s="100"/>
    </row>
    <row r="3262" customHeight="1" spans="2:8">
      <c r="B3262" s="98"/>
      <c r="C3262" s="98"/>
      <c r="D3262" s="98"/>
      <c r="E3262" s="98"/>
      <c r="F3262" s="99"/>
      <c r="G3262" s="100"/>
      <c r="H3262" s="100"/>
    </row>
    <row r="3263" customHeight="1" spans="2:8">
      <c r="B3263" s="98"/>
      <c r="C3263" s="98"/>
      <c r="D3263" s="98"/>
      <c r="E3263" s="98"/>
      <c r="F3263" s="99"/>
      <c r="G3263" s="100"/>
      <c r="H3263" s="100"/>
    </row>
    <row r="3264" customHeight="1" spans="2:8">
      <c r="B3264" s="98"/>
      <c r="C3264" s="98"/>
      <c r="D3264" s="98"/>
      <c r="E3264" s="98"/>
      <c r="F3264" s="99"/>
      <c r="G3264" s="100"/>
      <c r="H3264" s="100"/>
    </row>
    <row r="3265" customHeight="1" spans="2:8">
      <c r="B3265" s="98"/>
      <c r="C3265" s="98"/>
      <c r="D3265" s="98"/>
      <c r="E3265" s="98"/>
      <c r="F3265" s="99"/>
      <c r="G3265" s="100"/>
      <c r="H3265" s="100"/>
    </row>
    <row r="3266" customHeight="1" spans="2:8">
      <c r="B3266" s="98"/>
      <c r="C3266" s="98"/>
      <c r="D3266" s="98"/>
      <c r="E3266" s="98"/>
      <c r="F3266" s="99"/>
      <c r="G3266" s="100"/>
      <c r="H3266" s="100"/>
    </row>
    <row r="3267" customHeight="1" spans="2:8">
      <c r="B3267" s="98"/>
      <c r="C3267" s="98"/>
      <c r="D3267" s="98"/>
      <c r="E3267" s="98"/>
      <c r="F3267" s="99"/>
      <c r="G3267" s="100"/>
      <c r="H3267" s="100"/>
    </row>
    <row r="3268" customHeight="1" spans="2:8">
      <c r="B3268" s="98"/>
      <c r="C3268" s="98"/>
      <c r="D3268" s="98"/>
      <c r="E3268" s="98"/>
      <c r="F3268" s="99"/>
      <c r="G3268" s="100"/>
      <c r="H3268" s="100"/>
    </row>
    <row r="3269" customHeight="1" spans="2:8">
      <c r="B3269" s="98"/>
      <c r="C3269" s="98"/>
      <c r="D3269" s="98"/>
      <c r="E3269" s="98"/>
      <c r="F3269" s="99"/>
      <c r="G3269" s="100"/>
      <c r="H3269" s="100"/>
    </row>
    <row r="3270" customHeight="1" spans="2:8">
      <c r="B3270" s="98"/>
      <c r="C3270" s="98"/>
      <c r="D3270" s="98"/>
      <c r="E3270" s="98"/>
      <c r="F3270" s="99"/>
      <c r="G3270" s="100"/>
      <c r="H3270" s="100"/>
    </row>
    <row r="3271" customHeight="1" spans="2:8">
      <c r="B3271" s="98"/>
      <c r="C3271" s="98"/>
      <c r="D3271" s="98"/>
      <c r="E3271" s="98"/>
      <c r="F3271" s="99"/>
      <c r="G3271" s="100"/>
      <c r="H3271" s="100"/>
    </row>
    <row r="3272" customHeight="1" spans="2:8">
      <c r="B3272" s="98"/>
      <c r="C3272" s="98"/>
      <c r="D3272" s="98"/>
      <c r="E3272" s="98"/>
      <c r="F3272" s="99"/>
      <c r="G3272" s="100"/>
      <c r="H3272" s="100"/>
    </row>
    <row r="3273" customHeight="1" spans="2:8">
      <c r="B3273" s="98"/>
      <c r="C3273" s="98"/>
      <c r="D3273" s="98"/>
      <c r="E3273" s="98"/>
      <c r="F3273" s="99"/>
      <c r="G3273" s="100"/>
      <c r="H3273" s="100"/>
    </row>
    <row r="3274" customHeight="1" spans="2:8">
      <c r="B3274" s="98"/>
      <c r="C3274" s="98"/>
      <c r="D3274" s="98"/>
      <c r="E3274" s="98"/>
      <c r="F3274" s="99"/>
      <c r="G3274" s="100"/>
      <c r="H3274" s="100"/>
    </row>
    <row r="3275" customHeight="1" spans="2:8">
      <c r="B3275" s="98"/>
      <c r="C3275" s="98"/>
      <c r="D3275" s="98"/>
      <c r="E3275" s="98"/>
      <c r="F3275" s="99"/>
      <c r="G3275" s="100"/>
      <c r="H3275" s="100"/>
    </row>
    <row r="3276" customHeight="1" spans="2:8">
      <c r="B3276" s="98"/>
      <c r="C3276" s="98"/>
      <c r="D3276" s="98"/>
      <c r="E3276" s="98"/>
      <c r="F3276" s="99"/>
      <c r="G3276" s="100"/>
      <c r="H3276" s="100"/>
    </row>
    <row r="3277" customHeight="1" spans="2:8">
      <c r="B3277" s="98"/>
      <c r="C3277" s="98"/>
      <c r="D3277" s="98"/>
      <c r="E3277" s="98"/>
      <c r="F3277" s="99"/>
      <c r="G3277" s="100"/>
      <c r="H3277" s="100"/>
    </row>
    <row r="3278" customHeight="1" spans="2:8">
      <c r="B3278" s="98"/>
      <c r="C3278" s="98"/>
      <c r="D3278" s="98"/>
      <c r="E3278" s="98"/>
      <c r="F3278" s="99"/>
      <c r="G3278" s="100"/>
      <c r="H3278" s="100"/>
    </row>
    <row r="3279" customHeight="1" spans="2:8">
      <c r="B3279" s="98"/>
      <c r="C3279" s="98"/>
      <c r="D3279" s="98"/>
      <c r="E3279" s="98"/>
      <c r="F3279" s="99"/>
      <c r="G3279" s="100"/>
      <c r="H3279" s="100"/>
    </row>
    <row r="3280" customHeight="1" spans="2:8">
      <c r="B3280" s="98"/>
      <c r="C3280" s="98"/>
      <c r="D3280" s="98"/>
      <c r="E3280" s="98"/>
      <c r="F3280" s="99"/>
      <c r="G3280" s="100"/>
      <c r="H3280" s="100"/>
    </row>
    <row r="3281" customHeight="1" spans="2:8">
      <c r="B3281" s="98"/>
      <c r="C3281" s="98"/>
      <c r="D3281" s="98"/>
      <c r="E3281" s="98"/>
      <c r="F3281" s="99"/>
      <c r="G3281" s="100"/>
      <c r="H3281" s="100"/>
    </row>
    <row r="3282" customHeight="1" spans="2:8">
      <c r="B3282" s="98"/>
      <c r="C3282" s="98"/>
      <c r="D3282" s="98"/>
      <c r="E3282" s="98"/>
      <c r="F3282" s="99"/>
      <c r="G3282" s="100"/>
      <c r="H3282" s="100"/>
    </row>
    <row r="3283" customHeight="1" spans="2:8">
      <c r="B3283" s="98"/>
      <c r="C3283" s="98"/>
      <c r="D3283" s="98"/>
      <c r="E3283" s="98"/>
      <c r="F3283" s="99"/>
      <c r="G3283" s="100"/>
      <c r="H3283" s="100"/>
    </row>
    <row r="3284" customHeight="1" spans="2:8">
      <c r="B3284" s="98"/>
      <c r="C3284" s="98"/>
      <c r="D3284" s="98"/>
      <c r="E3284" s="98"/>
      <c r="F3284" s="99"/>
      <c r="G3284" s="100"/>
      <c r="H3284" s="100"/>
    </row>
    <row r="3285" customHeight="1" spans="2:8">
      <c r="B3285" s="98"/>
      <c r="C3285" s="98"/>
      <c r="D3285" s="98"/>
      <c r="E3285" s="98"/>
      <c r="F3285" s="99"/>
      <c r="G3285" s="100"/>
      <c r="H3285" s="100"/>
    </row>
    <row r="3286" customHeight="1" spans="2:8">
      <c r="B3286" s="98"/>
      <c r="C3286" s="98"/>
      <c r="D3286" s="98"/>
      <c r="E3286" s="98"/>
      <c r="F3286" s="99"/>
      <c r="G3286" s="100"/>
      <c r="H3286" s="100"/>
    </row>
    <row r="3287" customHeight="1" spans="2:8">
      <c r="B3287" s="98"/>
      <c r="C3287" s="98"/>
      <c r="D3287" s="98"/>
      <c r="E3287" s="98"/>
      <c r="F3287" s="99"/>
      <c r="G3287" s="100"/>
      <c r="H3287" s="100"/>
    </row>
    <row r="3288" customHeight="1" spans="2:8">
      <c r="B3288" s="98"/>
      <c r="C3288" s="98"/>
      <c r="D3288" s="98"/>
      <c r="E3288" s="98"/>
      <c r="F3288" s="99"/>
      <c r="G3288" s="100"/>
      <c r="H3288" s="100"/>
    </row>
    <row r="3289" customHeight="1" spans="2:8">
      <c r="B3289" s="98"/>
      <c r="C3289" s="98"/>
      <c r="D3289" s="98"/>
      <c r="E3289" s="98"/>
      <c r="F3289" s="99"/>
      <c r="G3289" s="100"/>
      <c r="H3289" s="100"/>
    </row>
    <row r="3290" customHeight="1" spans="2:8">
      <c r="B3290" s="98"/>
      <c r="C3290" s="98"/>
      <c r="D3290" s="98"/>
      <c r="E3290" s="98"/>
      <c r="F3290" s="99"/>
      <c r="G3290" s="100"/>
      <c r="H3290" s="100"/>
    </row>
    <row r="3291" customHeight="1" spans="2:8">
      <c r="B3291" s="98"/>
      <c r="C3291" s="98"/>
      <c r="D3291" s="98"/>
      <c r="E3291" s="98"/>
      <c r="F3291" s="99"/>
      <c r="G3291" s="100"/>
      <c r="H3291" s="100"/>
    </row>
    <row r="3292" customHeight="1" spans="2:8">
      <c r="B3292" s="98"/>
      <c r="C3292" s="98"/>
      <c r="D3292" s="98"/>
      <c r="E3292" s="98"/>
      <c r="F3292" s="99"/>
      <c r="G3292" s="100"/>
      <c r="H3292" s="100"/>
    </row>
    <row r="3293" customHeight="1" spans="2:8">
      <c r="B3293" s="98"/>
      <c r="C3293" s="98"/>
      <c r="D3293" s="98"/>
      <c r="E3293" s="98"/>
      <c r="F3293" s="99"/>
      <c r="G3293" s="100"/>
      <c r="H3293" s="100"/>
    </row>
    <row r="3294" customHeight="1" spans="2:8">
      <c r="B3294" s="98"/>
      <c r="C3294" s="98"/>
      <c r="D3294" s="98"/>
      <c r="E3294" s="98"/>
      <c r="F3294" s="99"/>
      <c r="G3294" s="100"/>
      <c r="H3294" s="100"/>
    </row>
    <row r="3295" customHeight="1" spans="2:8">
      <c r="B3295" s="98"/>
      <c r="C3295" s="98"/>
      <c r="D3295" s="98"/>
      <c r="E3295" s="98"/>
      <c r="F3295" s="99"/>
      <c r="G3295" s="100"/>
      <c r="H3295" s="100"/>
    </row>
    <row r="3296" customHeight="1" spans="2:8">
      <c r="B3296" s="98"/>
      <c r="C3296" s="98"/>
      <c r="D3296" s="98"/>
      <c r="E3296" s="98"/>
      <c r="F3296" s="99"/>
      <c r="G3296" s="100"/>
      <c r="H3296" s="100"/>
    </row>
    <row r="3297" customHeight="1" spans="2:8">
      <c r="B3297" s="98"/>
      <c r="C3297" s="98"/>
      <c r="D3297" s="98"/>
      <c r="E3297" s="98"/>
      <c r="F3297" s="99"/>
      <c r="G3297" s="100"/>
      <c r="H3297" s="100"/>
    </row>
    <row r="3298" customHeight="1" spans="2:8">
      <c r="B3298" s="98"/>
      <c r="C3298" s="98"/>
      <c r="D3298" s="98"/>
      <c r="E3298" s="98"/>
      <c r="F3298" s="99"/>
      <c r="G3298" s="100"/>
      <c r="H3298" s="100"/>
    </row>
    <row r="3299" customHeight="1" spans="2:8">
      <c r="B3299" s="98"/>
      <c r="C3299" s="98"/>
      <c r="D3299" s="98"/>
      <c r="E3299" s="98"/>
      <c r="F3299" s="99"/>
      <c r="G3299" s="100"/>
      <c r="H3299" s="100"/>
    </row>
    <row r="3300" customHeight="1" spans="2:8">
      <c r="B3300" s="98"/>
      <c r="C3300" s="98"/>
      <c r="D3300" s="98"/>
      <c r="E3300" s="98"/>
      <c r="F3300" s="99"/>
      <c r="G3300" s="100"/>
      <c r="H3300" s="100"/>
    </row>
    <row r="3301" customHeight="1" spans="2:8">
      <c r="B3301" s="98"/>
      <c r="C3301" s="98"/>
      <c r="D3301" s="98"/>
      <c r="E3301" s="98"/>
      <c r="F3301" s="99"/>
      <c r="G3301" s="100"/>
      <c r="H3301" s="100"/>
    </row>
    <row r="3302" customHeight="1" spans="2:8">
      <c r="B3302" s="98"/>
      <c r="C3302" s="98"/>
      <c r="D3302" s="98"/>
      <c r="E3302" s="98"/>
      <c r="F3302" s="99"/>
      <c r="G3302" s="100"/>
      <c r="H3302" s="100"/>
    </row>
    <row r="3303" customHeight="1" spans="2:8">
      <c r="B3303" s="98"/>
      <c r="C3303" s="98"/>
      <c r="D3303" s="98"/>
      <c r="E3303" s="98"/>
      <c r="F3303" s="99"/>
      <c r="G3303" s="100"/>
      <c r="H3303" s="100"/>
    </row>
    <row r="3304" customHeight="1" spans="2:8">
      <c r="B3304" s="98"/>
      <c r="C3304" s="98"/>
      <c r="D3304" s="98"/>
      <c r="E3304" s="98"/>
      <c r="F3304" s="99"/>
      <c r="G3304" s="100"/>
      <c r="H3304" s="100"/>
    </row>
    <row r="3305" customHeight="1" spans="2:8">
      <c r="B3305" s="98"/>
      <c r="C3305" s="98"/>
      <c r="D3305" s="98"/>
      <c r="E3305" s="98"/>
      <c r="F3305" s="99"/>
      <c r="G3305" s="100"/>
      <c r="H3305" s="100"/>
    </row>
    <row r="3306" customHeight="1" spans="2:8">
      <c r="B3306" s="98"/>
      <c r="C3306" s="98"/>
      <c r="D3306" s="98"/>
      <c r="E3306" s="98"/>
      <c r="F3306" s="99"/>
      <c r="G3306" s="100"/>
      <c r="H3306" s="100"/>
    </row>
    <row r="3307" customHeight="1" spans="2:8">
      <c r="B3307" s="98"/>
      <c r="C3307" s="98"/>
      <c r="D3307" s="98"/>
      <c r="E3307" s="98"/>
      <c r="F3307" s="99"/>
      <c r="G3307" s="100"/>
      <c r="H3307" s="100"/>
    </row>
    <row r="3308" customHeight="1" spans="2:8">
      <c r="B3308" s="98"/>
      <c r="C3308" s="98"/>
      <c r="D3308" s="98"/>
      <c r="E3308" s="98"/>
      <c r="F3308" s="99"/>
      <c r="G3308" s="100"/>
      <c r="H3308" s="100"/>
    </row>
    <row r="3309" customHeight="1" spans="2:8">
      <c r="B3309" s="98"/>
      <c r="C3309" s="98"/>
      <c r="D3309" s="98"/>
      <c r="E3309" s="98"/>
      <c r="F3309" s="99"/>
      <c r="G3309" s="100"/>
      <c r="H3309" s="100"/>
    </row>
    <row r="3310" customHeight="1" spans="2:8">
      <c r="B3310" s="98"/>
      <c r="C3310" s="98"/>
      <c r="D3310" s="98"/>
      <c r="E3310" s="98"/>
      <c r="F3310" s="99"/>
      <c r="G3310" s="100"/>
      <c r="H3310" s="100"/>
    </row>
    <row r="3311" customHeight="1" spans="2:8">
      <c r="B3311" s="98"/>
      <c r="C3311" s="98"/>
      <c r="D3311" s="98"/>
      <c r="E3311" s="98"/>
      <c r="F3311" s="99"/>
      <c r="G3311" s="100"/>
      <c r="H3311" s="100"/>
    </row>
    <row r="3312" customHeight="1" spans="2:8">
      <c r="B3312" s="98"/>
      <c r="C3312" s="98"/>
      <c r="D3312" s="98"/>
      <c r="E3312" s="98"/>
      <c r="F3312" s="99"/>
      <c r="G3312" s="100"/>
      <c r="H3312" s="100"/>
    </row>
    <row r="3313" customHeight="1" spans="2:8">
      <c r="B3313" s="98"/>
      <c r="C3313" s="98"/>
      <c r="D3313" s="98"/>
      <c r="E3313" s="98"/>
      <c r="F3313" s="99"/>
      <c r="G3313" s="100"/>
      <c r="H3313" s="100"/>
    </row>
    <row r="3314" customHeight="1" spans="2:8">
      <c r="B3314" s="98"/>
      <c r="C3314" s="98"/>
      <c r="D3314" s="98"/>
      <c r="E3314" s="98"/>
      <c r="F3314" s="99"/>
      <c r="G3314" s="100"/>
      <c r="H3314" s="100"/>
    </row>
    <row r="3315" customHeight="1" spans="2:8">
      <c r="B3315" s="98"/>
      <c r="C3315" s="98"/>
      <c r="D3315" s="98"/>
      <c r="E3315" s="98"/>
      <c r="F3315" s="99"/>
      <c r="G3315" s="100"/>
      <c r="H3315" s="100"/>
    </row>
    <row r="3316" customHeight="1" spans="2:8">
      <c r="B3316" s="98"/>
      <c r="C3316" s="98"/>
      <c r="D3316" s="98"/>
      <c r="E3316" s="98"/>
      <c r="F3316" s="99"/>
      <c r="G3316" s="100"/>
      <c r="H3316" s="100"/>
    </row>
    <row r="3317" customHeight="1" spans="2:8">
      <c r="B3317" s="98"/>
      <c r="C3317" s="98"/>
      <c r="D3317" s="98"/>
      <c r="E3317" s="98"/>
      <c r="F3317" s="99"/>
      <c r="G3317" s="100"/>
      <c r="H3317" s="100"/>
    </row>
    <row r="3318" customHeight="1" spans="2:8">
      <c r="B3318" s="98"/>
      <c r="C3318" s="98"/>
      <c r="D3318" s="98"/>
      <c r="E3318" s="98"/>
      <c r="F3318" s="99"/>
      <c r="G3318" s="100"/>
      <c r="H3318" s="100"/>
    </row>
    <row r="3319" customHeight="1" spans="2:8">
      <c r="B3319" s="98"/>
      <c r="C3319" s="98"/>
      <c r="D3319" s="98"/>
      <c r="E3319" s="98"/>
      <c r="F3319" s="99"/>
      <c r="G3319" s="100"/>
      <c r="H3319" s="100"/>
    </row>
    <row r="3320" customHeight="1" spans="2:8">
      <c r="B3320" s="98"/>
      <c r="C3320" s="98"/>
      <c r="D3320" s="98"/>
      <c r="E3320" s="98"/>
      <c r="F3320" s="99"/>
      <c r="G3320" s="100"/>
      <c r="H3320" s="100"/>
    </row>
    <row r="3321" customHeight="1" spans="2:8">
      <c r="B3321" s="98"/>
      <c r="C3321" s="98"/>
      <c r="D3321" s="98"/>
      <c r="E3321" s="98"/>
      <c r="F3321" s="99"/>
      <c r="G3321" s="100"/>
      <c r="H3321" s="100"/>
    </row>
    <row r="3322" customHeight="1" spans="2:8">
      <c r="B3322" s="98"/>
      <c r="C3322" s="98"/>
      <c r="D3322" s="98"/>
      <c r="E3322" s="98"/>
      <c r="F3322" s="99"/>
      <c r="G3322" s="100"/>
      <c r="H3322" s="100"/>
    </row>
    <row r="3323" customHeight="1" spans="2:8">
      <c r="B3323" s="98"/>
      <c r="C3323" s="98"/>
      <c r="D3323" s="98"/>
      <c r="E3323" s="98"/>
      <c r="F3323" s="99"/>
      <c r="G3323" s="100"/>
      <c r="H3323" s="100"/>
    </row>
    <row r="3324" customHeight="1" spans="2:8">
      <c r="B3324" s="98"/>
      <c r="C3324" s="98"/>
      <c r="D3324" s="98"/>
      <c r="E3324" s="98"/>
      <c r="F3324" s="99"/>
      <c r="G3324" s="100"/>
      <c r="H3324" s="100"/>
    </row>
    <row r="3325" customHeight="1" spans="2:8">
      <c r="B3325" s="98"/>
      <c r="C3325" s="98"/>
      <c r="D3325" s="98"/>
      <c r="E3325" s="98"/>
      <c r="F3325" s="99"/>
      <c r="G3325" s="100"/>
      <c r="H3325" s="100"/>
    </row>
    <row r="3326" customHeight="1" spans="2:8">
      <c r="B3326" s="98"/>
      <c r="C3326" s="98"/>
      <c r="D3326" s="98"/>
      <c r="E3326" s="98"/>
      <c r="F3326" s="99"/>
      <c r="G3326" s="100"/>
      <c r="H3326" s="100"/>
    </row>
    <row r="3327" customHeight="1" spans="2:8">
      <c r="B3327" s="98"/>
      <c r="C3327" s="98"/>
      <c r="D3327" s="98"/>
      <c r="E3327" s="98"/>
      <c r="F3327" s="99"/>
      <c r="G3327" s="100"/>
      <c r="H3327" s="100"/>
    </row>
    <row r="3328" customHeight="1" spans="2:8">
      <c r="B3328" s="98"/>
      <c r="C3328" s="98"/>
      <c r="D3328" s="98"/>
      <c r="E3328" s="98"/>
      <c r="F3328" s="99"/>
      <c r="G3328" s="100"/>
      <c r="H3328" s="100"/>
    </row>
    <row r="3329" customHeight="1" spans="2:8">
      <c r="B3329" s="98"/>
      <c r="C3329" s="98"/>
      <c r="D3329" s="98"/>
      <c r="E3329" s="98"/>
      <c r="F3329" s="99"/>
      <c r="G3329" s="100"/>
      <c r="H3329" s="100"/>
    </row>
    <row r="3330" customHeight="1" spans="2:8">
      <c r="B3330" s="98"/>
      <c r="C3330" s="98"/>
      <c r="D3330" s="98"/>
      <c r="E3330" s="98"/>
      <c r="F3330" s="99"/>
      <c r="G3330" s="100"/>
      <c r="H3330" s="100"/>
    </row>
    <row r="3331" customHeight="1" spans="2:8">
      <c r="B3331" s="98"/>
      <c r="C3331" s="98"/>
      <c r="D3331" s="98"/>
      <c r="E3331" s="98"/>
      <c r="F3331" s="99"/>
      <c r="G3331" s="100"/>
      <c r="H3331" s="100"/>
    </row>
    <row r="3332" customHeight="1" spans="2:8">
      <c r="B3332" s="98"/>
      <c r="C3332" s="98"/>
      <c r="D3332" s="98"/>
      <c r="E3332" s="98"/>
      <c r="F3332" s="99"/>
      <c r="G3332" s="100"/>
      <c r="H3332" s="100"/>
    </row>
    <row r="3333" customHeight="1" spans="2:8">
      <c r="B3333" s="98"/>
      <c r="C3333" s="98"/>
      <c r="D3333" s="98"/>
      <c r="E3333" s="98"/>
      <c r="F3333" s="99"/>
      <c r="G3333" s="100"/>
      <c r="H3333" s="100"/>
    </row>
    <row r="3334" customHeight="1" spans="2:8">
      <c r="B3334" s="98"/>
      <c r="C3334" s="98"/>
      <c r="D3334" s="98"/>
      <c r="E3334" s="98"/>
      <c r="F3334" s="99"/>
      <c r="G3334" s="100"/>
      <c r="H3334" s="100"/>
    </row>
    <row r="3335" customHeight="1" spans="2:8">
      <c r="B3335" s="98"/>
      <c r="C3335" s="98"/>
      <c r="D3335" s="98"/>
      <c r="E3335" s="98"/>
      <c r="F3335" s="99"/>
      <c r="G3335" s="100"/>
      <c r="H3335" s="100"/>
    </row>
    <row r="3336" customHeight="1" spans="2:8">
      <c r="B3336" s="98"/>
      <c r="C3336" s="98"/>
      <c r="D3336" s="98"/>
      <c r="E3336" s="98"/>
      <c r="F3336" s="99"/>
      <c r="G3336" s="100"/>
      <c r="H3336" s="100"/>
    </row>
    <row r="3337" customHeight="1" spans="2:8">
      <c r="B3337" s="98"/>
      <c r="C3337" s="98"/>
      <c r="D3337" s="98"/>
      <c r="E3337" s="98"/>
      <c r="F3337" s="99"/>
      <c r="G3337" s="100"/>
      <c r="H3337" s="100"/>
    </row>
    <row r="3338" customHeight="1" spans="2:8">
      <c r="B3338" s="98"/>
      <c r="C3338" s="98"/>
      <c r="D3338" s="98"/>
      <c r="E3338" s="98"/>
      <c r="F3338" s="99"/>
      <c r="G3338" s="100"/>
      <c r="H3338" s="100"/>
    </row>
    <row r="3339" customHeight="1" spans="2:8">
      <c r="B3339" s="98"/>
      <c r="C3339" s="98"/>
      <c r="D3339" s="98"/>
      <c r="E3339" s="98"/>
      <c r="F3339" s="99"/>
      <c r="G3339" s="100"/>
      <c r="H3339" s="100"/>
    </row>
    <row r="3340" customHeight="1" spans="2:8">
      <c r="B3340" s="98"/>
      <c r="C3340" s="98"/>
      <c r="D3340" s="98"/>
      <c r="E3340" s="98"/>
      <c r="F3340" s="99"/>
      <c r="G3340" s="100"/>
      <c r="H3340" s="100"/>
    </row>
    <row r="3341" customHeight="1" spans="2:8">
      <c r="B3341" s="98"/>
      <c r="C3341" s="98"/>
      <c r="D3341" s="98"/>
      <c r="E3341" s="98"/>
      <c r="F3341" s="99"/>
      <c r="G3341" s="100"/>
      <c r="H3341" s="100"/>
    </row>
    <row r="3342" customHeight="1" spans="2:8">
      <c r="B3342" s="98"/>
      <c r="C3342" s="98"/>
      <c r="D3342" s="98"/>
      <c r="E3342" s="98"/>
      <c r="F3342" s="99"/>
      <c r="G3342" s="100"/>
      <c r="H3342" s="100"/>
    </row>
    <row r="3343" customHeight="1" spans="2:8">
      <c r="B3343" s="98"/>
      <c r="C3343" s="98"/>
      <c r="D3343" s="98"/>
      <c r="E3343" s="98"/>
      <c r="F3343" s="99"/>
      <c r="G3343" s="100"/>
      <c r="H3343" s="100"/>
    </row>
    <row r="3344" customHeight="1" spans="2:8">
      <c r="B3344" s="98"/>
      <c r="C3344" s="98"/>
      <c r="D3344" s="98"/>
      <c r="E3344" s="98"/>
      <c r="F3344" s="99"/>
      <c r="G3344" s="100"/>
      <c r="H3344" s="100"/>
    </row>
    <row r="3345" customHeight="1" spans="2:8">
      <c r="B3345" s="98"/>
      <c r="C3345" s="98"/>
      <c r="D3345" s="98"/>
      <c r="E3345" s="98"/>
      <c r="F3345" s="99"/>
      <c r="G3345" s="100"/>
      <c r="H3345" s="100"/>
    </row>
    <row r="3346" customHeight="1" spans="2:8">
      <c r="B3346" s="98"/>
      <c r="C3346" s="98"/>
      <c r="D3346" s="98"/>
      <c r="E3346" s="98"/>
      <c r="F3346" s="99"/>
      <c r="G3346" s="100"/>
      <c r="H3346" s="100"/>
    </row>
    <row r="3347" customHeight="1" spans="2:8">
      <c r="B3347" s="98"/>
      <c r="C3347" s="98"/>
      <c r="D3347" s="98"/>
      <c r="E3347" s="98"/>
      <c r="F3347" s="99"/>
      <c r="G3347" s="100"/>
      <c r="H3347" s="100"/>
    </row>
    <row r="3348" customHeight="1" spans="2:8">
      <c r="B3348" s="98"/>
      <c r="C3348" s="98"/>
      <c r="D3348" s="98"/>
      <c r="E3348" s="98"/>
      <c r="F3348" s="99"/>
      <c r="G3348" s="100"/>
      <c r="H3348" s="100"/>
    </row>
    <row r="3349" customHeight="1" spans="2:8">
      <c r="B3349" s="98"/>
      <c r="C3349" s="98"/>
      <c r="D3349" s="98"/>
      <c r="E3349" s="98"/>
      <c r="F3349" s="99"/>
      <c r="G3349" s="100"/>
      <c r="H3349" s="100"/>
    </row>
    <row r="3350" customHeight="1" spans="2:8">
      <c r="B3350" s="98"/>
      <c r="C3350" s="98"/>
      <c r="D3350" s="98"/>
      <c r="E3350" s="98"/>
      <c r="F3350" s="99"/>
      <c r="G3350" s="100"/>
      <c r="H3350" s="100"/>
    </row>
    <row r="3351" customHeight="1" spans="2:8">
      <c r="B3351" s="98"/>
      <c r="C3351" s="98"/>
      <c r="D3351" s="98"/>
      <c r="E3351" s="98"/>
      <c r="F3351" s="99"/>
      <c r="G3351" s="100"/>
      <c r="H3351" s="100"/>
    </row>
    <row r="3352" customHeight="1" spans="2:8">
      <c r="B3352" s="98"/>
      <c r="C3352" s="98"/>
      <c r="D3352" s="98"/>
      <c r="E3352" s="98"/>
      <c r="F3352" s="99"/>
      <c r="G3352" s="100"/>
      <c r="H3352" s="100"/>
    </row>
    <row r="3353" customHeight="1" spans="2:8">
      <c r="B3353" s="98"/>
      <c r="C3353" s="98"/>
      <c r="D3353" s="98"/>
      <c r="E3353" s="98"/>
      <c r="F3353" s="99"/>
      <c r="G3353" s="100"/>
      <c r="H3353" s="100"/>
    </row>
    <row r="3354" customHeight="1" spans="2:8">
      <c r="B3354" s="98"/>
      <c r="C3354" s="98"/>
      <c r="D3354" s="98"/>
      <c r="E3354" s="98"/>
      <c r="F3354" s="99"/>
      <c r="G3354" s="100"/>
      <c r="H3354" s="100"/>
    </row>
    <row r="3355" customHeight="1" spans="2:8">
      <c r="B3355" s="98"/>
      <c r="C3355" s="98"/>
      <c r="D3355" s="98"/>
      <c r="E3355" s="98"/>
      <c r="F3355" s="99"/>
      <c r="G3355" s="100"/>
      <c r="H3355" s="100"/>
    </row>
    <row r="3356" customHeight="1" spans="2:8">
      <c r="B3356" s="98"/>
      <c r="C3356" s="98"/>
      <c r="D3356" s="98"/>
      <c r="E3356" s="98"/>
      <c r="F3356" s="99"/>
      <c r="G3356" s="100"/>
      <c r="H3356" s="100"/>
    </row>
    <row r="3357" customHeight="1" spans="2:8">
      <c r="B3357" s="98"/>
      <c r="C3357" s="98"/>
      <c r="D3357" s="98"/>
      <c r="E3357" s="98"/>
      <c r="F3357" s="99"/>
      <c r="G3357" s="100"/>
      <c r="H3357" s="100"/>
    </row>
    <row r="3358" customHeight="1" spans="2:8">
      <c r="B3358" s="98"/>
      <c r="C3358" s="98"/>
      <c r="D3358" s="98"/>
      <c r="E3358" s="98"/>
      <c r="F3358" s="99"/>
      <c r="G3358" s="100"/>
      <c r="H3358" s="100"/>
    </row>
    <row r="3359" customHeight="1" spans="2:8">
      <c r="B3359" s="98"/>
      <c r="C3359" s="98"/>
      <c r="D3359" s="98"/>
      <c r="E3359" s="98"/>
      <c r="F3359" s="99"/>
      <c r="G3359" s="100"/>
      <c r="H3359" s="100"/>
    </row>
    <row r="3360" customHeight="1" spans="2:8">
      <c r="B3360" s="98"/>
      <c r="C3360" s="98"/>
      <c r="D3360" s="98"/>
      <c r="E3360" s="98"/>
      <c r="F3360" s="99"/>
      <c r="G3360" s="100"/>
      <c r="H3360" s="100"/>
    </row>
    <row r="3361" customHeight="1" spans="2:8">
      <c r="B3361" s="98"/>
      <c r="C3361" s="98"/>
      <c r="D3361" s="98"/>
      <c r="E3361" s="98"/>
      <c r="F3361" s="99"/>
      <c r="G3361" s="100"/>
      <c r="H3361" s="100"/>
    </row>
    <row r="3362" customHeight="1" spans="2:8">
      <c r="B3362" s="98"/>
      <c r="C3362" s="98"/>
      <c r="D3362" s="98"/>
      <c r="E3362" s="98"/>
      <c r="F3362" s="99"/>
      <c r="G3362" s="100"/>
      <c r="H3362" s="100"/>
    </row>
    <row r="3363" customHeight="1" spans="2:8">
      <c r="B3363" s="98"/>
      <c r="C3363" s="98"/>
      <c r="D3363" s="98"/>
      <c r="E3363" s="98"/>
      <c r="F3363" s="99"/>
      <c r="G3363" s="100"/>
      <c r="H3363" s="100"/>
    </row>
    <row r="3364" customHeight="1" spans="2:8">
      <c r="B3364" s="98"/>
      <c r="C3364" s="98"/>
      <c r="D3364" s="98"/>
      <c r="E3364" s="98"/>
      <c r="F3364" s="99"/>
      <c r="G3364" s="100"/>
      <c r="H3364" s="100"/>
    </row>
    <row r="3365" customHeight="1" spans="2:8">
      <c r="B3365" s="98"/>
      <c r="C3365" s="98"/>
      <c r="D3365" s="98"/>
      <c r="E3365" s="98"/>
      <c r="F3365" s="99"/>
      <c r="G3365" s="100"/>
      <c r="H3365" s="100"/>
    </row>
    <row r="3366" customHeight="1" spans="2:8">
      <c r="B3366" s="98"/>
      <c r="C3366" s="98"/>
      <c r="D3366" s="98"/>
      <c r="E3366" s="98"/>
      <c r="F3366" s="99"/>
      <c r="G3366" s="100"/>
      <c r="H3366" s="100"/>
    </row>
    <row r="3367" customHeight="1" spans="2:8">
      <c r="B3367" s="98"/>
      <c r="C3367" s="98"/>
      <c r="D3367" s="98"/>
      <c r="E3367" s="98"/>
      <c r="F3367" s="99"/>
      <c r="G3367" s="100"/>
      <c r="H3367" s="100"/>
    </row>
    <row r="3368" customHeight="1" spans="2:8">
      <c r="B3368" s="98"/>
      <c r="C3368" s="98"/>
      <c r="D3368" s="98"/>
      <c r="E3368" s="98"/>
      <c r="F3368" s="99"/>
      <c r="G3368" s="100"/>
      <c r="H3368" s="100"/>
    </row>
    <row r="3369" customHeight="1" spans="2:8">
      <c r="B3369" s="98"/>
      <c r="C3369" s="98"/>
      <c r="D3369" s="98"/>
      <c r="E3369" s="98"/>
      <c r="F3369" s="99"/>
      <c r="G3369" s="100"/>
      <c r="H3369" s="100"/>
    </row>
    <row r="3370" customHeight="1" spans="2:8">
      <c r="B3370" s="98"/>
      <c r="C3370" s="98"/>
      <c r="D3370" s="98"/>
      <c r="E3370" s="98"/>
      <c r="F3370" s="99"/>
      <c r="G3370" s="100"/>
      <c r="H3370" s="100"/>
    </row>
    <row r="3371" customHeight="1" spans="2:8">
      <c r="B3371" s="98"/>
      <c r="C3371" s="98"/>
      <c r="D3371" s="98"/>
      <c r="E3371" s="98"/>
      <c r="F3371" s="99"/>
      <c r="G3371" s="100"/>
      <c r="H3371" s="100"/>
    </row>
    <row r="3372" customHeight="1" spans="2:8">
      <c r="B3372" s="98"/>
      <c r="C3372" s="98"/>
      <c r="D3372" s="98"/>
      <c r="E3372" s="98"/>
      <c r="F3372" s="99"/>
      <c r="G3372" s="100"/>
      <c r="H3372" s="100"/>
    </row>
    <row r="3373" customHeight="1" spans="2:8">
      <c r="B3373" s="98"/>
      <c r="C3373" s="98"/>
      <c r="D3373" s="98"/>
      <c r="E3373" s="98"/>
      <c r="F3373" s="99"/>
      <c r="G3373" s="100"/>
      <c r="H3373" s="100"/>
    </row>
    <row r="3374" customHeight="1" spans="2:8">
      <c r="B3374" s="98"/>
      <c r="C3374" s="98"/>
      <c r="D3374" s="98"/>
      <c r="E3374" s="98"/>
      <c r="F3374" s="99"/>
      <c r="G3374" s="100"/>
      <c r="H3374" s="100"/>
    </row>
    <row r="3375" customHeight="1" spans="2:8">
      <c r="B3375" s="98"/>
      <c r="C3375" s="98"/>
      <c r="D3375" s="98"/>
      <c r="E3375" s="98"/>
      <c r="F3375" s="99"/>
      <c r="G3375" s="100"/>
      <c r="H3375" s="100"/>
    </row>
    <row r="3376" customHeight="1" spans="2:8">
      <c r="B3376" s="98"/>
      <c r="C3376" s="98"/>
      <c r="D3376" s="98"/>
      <c r="E3376" s="98"/>
      <c r="F3376" s="99"/>
      <c r="G3376" s="100"/>
      <c r="H3376" s="100"/>
    </row>
    <row r="3377" customHeight="1" spans="2:8">
      <c r="B3377" s="98"/>
      <c r="C3377" s="98"/>
      <c r="D3377" s="98"/>
      <c r="E3377" s="98"/>
      <c r="F3377" s="99"/>
      <c r="G3377" s="100"/>
      <c r="H3377" s="100"/>
    </row>
    <row r="3378" customHeight="1" spans="2:8">
      <c r="B3378" s="98"/>
      <c r="C3378" s="98"/>
      <c r="D3378" s="98"/>
      <c r="E3378" s="98"/>
      <c r="F3378" s="99"/>
      <c r="G3378" s="100"/>
      <c r="H3378" s="100"/>
    </row>
    <row r="3379" customHeight="1" spans="2:8">
      <c r="B3379" s="98"/>
      <c r="C3379" s="98"/>
      <c r="D3379" s="98"/>
      <c r="E3379" s="98"/>
      <c r="F3379" s="99"/>
      <c r="G3379" s="100"/>
      <c r="H3379" s="100"/>
    </row>
    <row r="3380" customHeight="1" spans="2:8">
      <c r="B3380" s="98"/>
      <c r="C3380" s="98"/>
      <c r="D3380" s="98"/>
      <c r="E3380" s="98"/>
      <c r="F3380" s="99"/>
      <c r="G3380" s="100"/>
      <c r="H3380" s="100"/>
    </row>
    <row r="3381" customHeight="1" spans="2:8">
      <c r="B3381" s="98"/>
      <c r="C3381" s="98"/>
      <c r="D3381" s="98"/>
      <c r="E3381" s="98"/>
      <c r="F3381" s="99"/>
      <c r="G3381" s="100"/>
      <c r="H3381" s="100"/>
    </row>
    <row r="3382" customHeight="1" spans="2:8">
      <c r="B3382" s="98"/>
      <c r="C3382" s="98"/>
      <c r="D3382" s="98"/>
      <c r="E3382" s="98"/>
      <c r="F3382" s="99"/>
      <c r="G3382" s="100"/>
      <c r="H3382" s="100"/>
    </row>
    <row r="3383" customHeight="1" spans="2:8">
      <c r="B3383" s="98"/>
      <c r="C3383" s="98"/>
      <c r="D3383" s="98"/>
      <c r="E3383" s="98"/>
      <c r="F3383" s="99"/>
      <c r="G3383" s="100"/>
      <c r="H3383" s="100"/>
    </row>
    <row r="3384" customHeight="1" spans="2:8">
      <c r="B3384" s="98"/>
      <c r="C3384" s="98"/>
      <c r="D3384" s="98"/>
      <c r="E3384" s="98"/>
      <c r="F3384" s="99"/>
      <c r="G3384" s="100"/>
      <c r="H3384" s="100"/>
    </row>
    <row r="3385" customHeight="1" spans="2:8">
      <c r="B3385" s="98"/>
      <c r="C3385" s="98"/>
      <c r="D3385" s="98"/>
      <c r="E3385" s="98"/>
      <c r="F3385" s="99"/>
      <c r="G3385" s="100"/>
      <c r="H3385" s="100"/>
    </row>
    <row r="3386" customHeight="1" spans="2:8">
      <c r="B3386" s="98"/>
      <c r="C3386" s="98"/>
      <c r="D3386" s="98"/>
      <c r="E3386" s="98"/>
      <c r="F3386" s="99"/>
      <c r="G3386" s="100"/>
      <c r="H3386" s="100"/>
    </row>
    <row r="3387" customHeight="1" spans="2:8">
      <c r="B3387" s="98"/>
      <c r="C3387" s="98"/>
      <c r="D3387" s="98"/>
      <c r="E3387" s="98"/>
      <c r="F3387" s="99"/>
      <c r="G3387" s="100"/>
      <c r="H3387" s="100"/>
    </row>
    <row r="3388" customHeight="1" spans="2:8">
      <c r="B3388" s="98"/>
      <c r="C3388" s="98"/>
      <c r="D3388" s="98"/>
      <c r="E3388" s="98"/>
      <c r="F3388" s="99"/>
      <c r="G3388" s="100"/>
      <c r="H3388" s="100"/>
    </row>
    <row r="3389" customHeight="1" spans="2:8">
      <c r="B3389" s="98"/>
      <c r="C3389" s="98"/>
      <c r="D3389" s="98"/>
      <c r="E3389" s="98"/>
      <c r="F3389" s="99"/>
      <c r="G3389" s="100"/>
      <c r="H3389" s="100"/>
    </row>
    <row r="3390" customHeight="1" spans="2:8">
      <c r="B3390" s="98"/>
      <c r="C3390" s="98"/>
      <c r="D3390" s="98"/>
      <c r="E3390" s="98"/>
      <c r="F3390" s="99"/>
      <c r="G3390" s="100"/>
      <c r="H3390" s="100"/>
    </row>
    <row r="3391" customHeight="1" spans="2:8">
      <c r="B3391" s="98"/>
      <c r="C3391" s="98"/>
      <c r="D3391" s="98"/>
      <c r="E3391" s="98"/>
      <c r="F3391" s="99"/>
      <c r="G3391" s="100"/>
      <c r="H3391" s="100"/>
    </row>
    <row r="3392" customHeight="1" spans="2:8">
      <c r="B3392" s="98"/>
      <c r="C3392" s="98"/>
      <c r="D3392" s="98"/>
      <c r="E3392" s="98"/>
      <c r="F3392" s="99"/>
      <c r="G3392" s="100"/>
      <c r="H3392" s="100"/>
    </row>
    <row r="3393" customHeight="1" spans="2:8">
      <c r="B3393" s="98"/>
      <c r="C3393" s="98"/>
      <c r="D3393" s="98"/>
      <c r="E3393" s="98"/>
      <c r="F3393" s="99"/>
      <c r="G3393" s="100"/>
      <c r="H3393" s="100"/>
    </row>
    <row r="3394" customHeight="1" spans="2:8">
      <c r="B3394" s="98"/>
      <c r="C3394" s="98"/>
      <c r="D3394" s="98"/>
      <c r="E3394" s="98"/>
      <c r="F3394" s="99"/>
      <c r="G3394" s="100"/>
      <c r="H3394" s="100"/>
    </row>
    <row r="3395" customHeight="1" spans="2:8">
      <c r="B3395" s="98"/>
      <c r="C3395" s="98"/>
      <c r="D3395" s="98"/>
      <c r="E3395" s="98"/>
      <c r="F3395" s="99"/>
      <c r="G3395" s="100"/>
      <c r="H3395" s="100"/>
    </row>
    <row r="3396" customHeight="1" spans="2:8">
      <c r="B3396" s="98"/>
      <c r="C3396" s="98"/>
      <c r="D3396" s="98"/>
      <c r="E3396" s="98"/>
      <c r="F3396" s="99"/>
      <c r="G3396" s="100"/>
      <c r="H3396" s="100"/>
    </row>
    <row r="3397" customHeight="1" spans="2:8">
      <c r="B3397" s="98"/>
      <c r="C3397" s="98"/>
      <c r="D3397" s="98"/>
      <c r="E3397" s="98"/>
      <c r="F3397" s="99"/>
      <c r="G3397" s="100"/>
      <c r="H3397" s="100"/>
    </row>
    <row r="3398" customHeight="1" spans="2:8">
      <c r="B3398" s="98"/>
      <c r="C3398" s="98"/>
      <c r="D3398" s="98"/>
      <c r="E3398" s="98"/>
      <c r="F3398" s="99"/>
      <c r="G3398" s="100"/>
      <c r="H3398" s="100"/>
    </row>
    <row r="3399" customHeight="1" spans="2:8">
      <c r="B3399" s="98"/>
      <c r="C3399" s="98"/>
      <c r="D3399" s="98"/>
      <c r="E3399" s="98"/>
      <c r="F3399" s="99"/>
      <c r="G3399" s="100"/>
      <c r="H3399" s="100"/>
    </row>
    <row r="3400" customHeight="1" spans="2:8">
      <c r="B3400" s="98"/>
      <c r="C3400" s="98"/>
      <c r="D3400" s="98"/>
      <c r="E3400" s="98"/>
      <c r="F3400" s="99"/>
      <c r="G3400" s="100"/>
      <c r="H3400" s="100"/>
    </row>
    <row r="3401" customHeight="1" spans="2:8">
      <c r="B3401" s="98"/>
      <c r="C3401" s="98"/>
      <c r="D3401" s="98"/>
      <c r="E3401" s="98"/>
      <c r="F3401" s="99"/>
      <c r="G3401" s="100"/>
      <c r="H3401" s="100"/>
    </row>
    <row r="3402" customHeight="1" spans="2:8">
      <c r="B3402" s="98"/>
      <c r="C3402" s="98"/>
      <c r="D3402" s="98"/>
      <c r="E3402" s="98"/>
      <c r="F3402" s="99"/>
      <c r="G3402" s="100"/>
      <c r="H3402" s="100"/>
    </row>
    <row r="3403" customHeight="1" spans="2:8">
      <c r="B3403" s="98"/>
      <c r="C3403" s="98"/>
      <c r="D3403" s="98"/>
      <c r="E3403" s="98"/>
      <c r="F3403" s="99"/>
      <c r="G3403" s="100"/>
      <c r="H3403" s="100"/>
    </row>
    <row r="3404" customHeight="1" spans="2:8">
      <c r="B3404" s="98"/>
      <c r="C3404" s="98"/>
      <c r="D3404" s="98"/>
      <c r="E3404" s="98"/>
      <c r="F3404" s="99"/>
      <c r="G3404" s="100"/>
      <c r="H3404" s="100"/>
    </row>
    <row r="3405" customHeight="1" spans="2:8">
      <c r="B3405" s="98"/>
      <c r="C3405" s="98"/>
      <c r="D3405" s="98"/>
      <c r="E3405" s="98"/>
      <c r="F3405" s="99"/>
      <c r="G3405" s="100"/>
      <c r="H3405" s="100"/>
    </row>
    <row r="3406" customHeight="1" spans="2:8">
      <c r="B3406" s="98"/>
      <c r="C3406" s="98"/>
      <c r="D3406" s="98"/>
      <c r="E3406" s="98"/>
      <c r="F3406" s="99"/>
      <c r="G3406" s="100"/>
      <c r="H3406" s="100"/>
    </row>
    <row r="3407" customHeight="1" spans="2:8">
      <c r="B3407" s="98"/>
      <c r="C3407" s="98"/>
      <c r="D3407" s="98"/>
      <c r="E3407" s="98"/>
      <c r="F3407" s="99"/>
      <c r="G3407" s="100"/>
      <c r="H3407" s="100"/>
    </row>
    <row r="3408" customHeight="1" spans="2:8">
      <c r="B3408" s="98"/>
      <c r="C3408" s="98"/>
      <c r="D3408" s="98"/>
      <c r="E3408" s="98"/>
      <c r="F3408" s="99"/>
      <c r="G3408" s="100"/>
      <c r="H3408" s="100"/>
    </row>
    <row r="3409" customHeight="1" spans="2:8">
      <c r="B3409" s="98"/>
      <c r="C3409" s="98"/>
      <c r="D3409" s="98"/>
      <c r="E3409" s="98"/>
      <c r="F3409" s="99"/>
      <c r="G3409" s="100"/>
      <c r="H3409" s="100"/>
    </row>
    <row r="3410" customHeight="1" spans="2:8">
      <c r="B3410" s="98"/>
      <c r="C3410" s="98"/>
      <c r="D3410" s="98"/>
      <c r="E3410" s="98"/>
      <c r="F3410" s="99"/>
      <c r="G3410" s="100"/>
      <c r="H3410" s="100"/>
    </row>
    <row r="3411" customHeight="1" spans="2:8">
      <c r="B3411" s="98"/>
      <c r="C3411" s="98"/>
      <c r="D3411" s="98"/>
      <c r="E3411" s="98"/>
      <c r="F3411" s="99"/>
      <c r="G3411" s="100"/>
      <c r="H3411" s="100"/>
    </row>
    <row r="3412" customHeight="1" spans="2:8">
      <c r="B3412" s="98"/>
      <c r="C3412" s="98"/>
      <c r="D3412" s="98"/>
      <c r="E3412" s="98"/>
      <c r="F3412" s="99"/>
      <c r="G3412" s="100"/>
      <c r="H3412" s="100"/>
    </row>
    <row r="3413" customHeight="1" spans="2:8">
      <c r="B3413" s="98"/>
      <c r="C3413" s="98"/>
      <c r="D3413" s="98"/>
      <c r="E3413" s="98"/>
      <c r="F3413" s="99"/>
      <c r="G3413" s="100"/>
      <c r="H3413" s="100"/>
    </row>
    <row r="3414" customHeight="1" spans="2:8">
      <c r="B3414" s="98"/>
      <c r="C3414" s="98"/>
      <c r="D3414" s="98"/>
      <c r="E3414" s="98"/>
      <c r="F3414" s="99"/>
      <c r="G3414" s="100"/>
      <c r="H3414" s="100"/>
    </row>
    <row r="3415" customHeight="1" spans="2:8">
      <c r="B3415" s="98"/>
      <c r="C3415" s="98"/>
      <c r="D3415" s="98"/>
      <c r="E3415" s="98"/>
      <c r="F3415" s="99"/>
      <c r="G3415" s="100"/>
      <c r="H3415" s="100"/>
    </row>
    <row r="3416" customHeight="1" spans="2:8">
      <c r="B3416" s="98"/>
      <c r="C3416" s="98"/>
      <c r="D3416" s="98"/>
      <c r="E3416" s="98"/>
      <c r="F3416" s="99"/>
      <c r="G3416" s="100"/>
      <c r="H3416" s="100"/>
    </row>
    <row r="3417" customHeight="1" spans="2:8">
      <c r="B3417" s="98"/>
      <c r="C3417" s="98"/>
      <c r="D3417" s="98"/>
      <c r="E3417" s="98"/>
      <c r="F3417" s="99"/>
      <c r="G3417" s="100"/>
      <c r="H3417" s="100"/>
    </row>
    <row r="3418" customHeight="1" spans="2:8">
      <c r="B3418" s="98"/>
      <c r="C3418" s="98"/>
      <c r="D3418" s="98"/>
      <c r="E3418" s="98"/>
      <c r="F3418" s="99"/>
      <c r="G3418" s="100"/>
      <c r="H3418" s="100"/>
    </row>
    <row r="3419" customHeight="1" spans="2:8">
      <c r="B3419" s="98"/>
      <c r="C3419" s="98"/>
      <c r="D3419" s="98"/>
      <c r="E3419" s="98"/>
      <c r="F3419" s="99"/>
      <c r="G3419" s="100"/>
      <c r="H3419" s="100"/>
    </row>
    <row r="3420" customHeight="1" spans="2:8">
      <c r="B3420" s="98"/>
      <c r="C3420" s="98"/>
      <c r="D3420" s="98"/>
      <c r="E3420" s="98"/>
      <c r="F3420" s="99"/>
      <c r="G3420" s="100"/>
      <c r="H3420" s="100"/>
    </row>
    <row r="3421" customHeight="1" spans="2:8">
      <c r="B3421" s="98"/>
      <c r="C3421" s="98"/>
      <c r="D3421" s="98"/>
      <c r="E3421" s="98"/>
      <c r="F3421" s="99"/>
      <c r="G3421" s="100"/>
      <c r="H3421" s="100"/>
    </row>
    <row r="3422" customHeight="1" spans="2:8">
      <c r="B3422" s="98"/>
      <c r="C3422" s="98"/>
      <c r="D3422" s="98"/>
      <c r="E3422" s="98"/>
      <c r="F3422" s="99"/>
      <c r="G3422" s="100"/>
      <c r="H3422" s="100"/>
    </row>
    <row r="3423" customHeight="1" spans="2:8">
      <c r="B3423" s="98"/>
      <c r="C3423" s="98"/>
      <c r="D3423" s="98"/>
      <c r="E3423" s="98"/>
      <c r="F3423" s="99"/>
      <c r="G3423" s="100"/>
      <c r="H3423" s="100"/>
    </row>
    <row r="3424" customHeight="1" spans="2:8">
      <c r="B3424" s="98"/>
      <c r="C3424" s="98"/>
      <c r="D3424" s="98"/>
      <c r="E3424" s="98"/>
      <c r="F3424" s="99"/>
      <c r="G3424" s="100"/>
      <c r="H3424" s="100"/>
    </row>
    <row r="3425" customHeight="1" spans="2:8">
      <c r="B3425" s="98"/>
      <c r="C3425" s="98"/>
      <c r="D3425" s="98"/>
      <c r="E3425" s="98"/>
      <c r="F3425" s="99"/>
      <c r="G3425" s="100"/>
      <c r="H3425" s="100"/>
    </row>
    <row r="3426" customHeight="1" spans="2:8">
      <c r="B3426" s="98"/>
      <c r="C3426" s="98"/>
      <c r="D3426" s="98"/>
      <c r="E3426" s="98"/>
      <c r="F3426" s="99"/>
      <c r="G3426" s="100"/>
      <c r="H3426" s="100"/>
    </row>
    <row r="3427" customHeight="1" spans="2:8">
      <c r="B3427" s="98"/>
      <c r="C3427" s="98"/>
      <c r="D3427" s="98"/>
      <c r="E3427" s="98"/>
      <c r="F3427" s="99"/>
      <c r="G3427" s="100"/>
      <c r="H3427" s="100"/>
    </row>
    <row r="3428" customHeight="1" spans="2:8">
      <c r="B3428" s="98"/>
      <c r="C3428" s="98"/>
      <c r="D3428" s="98"/>
      <c r="E3428" s="98"/>
      <c r="F3428" s="99"/>
      <c r="G3428" s="100"/>
      <c r="H3428" s="100"/>
    </row>
    <row r="3429" customHeight="1" spans="2:8">
      <c r="B3429" s="98"/>
      <c r="C3429" s="98"/>
      <c r="D3429" s="98"/>
      <c r="E3429" s="98"/>
      <c r="F3429" s="99"/>
      <c r="G3429" s="100"/>
      <c r="H3429" s="100"/>
    </row>
    <row r="3430" customHeight="1" spans="2:8">
      <c r="B3430" s="98"/>
      <c r="C3430" s="98"/>
      <c r="D3430" s="98"/>
      <c r="E3430" s="98"/>
      <c r="F3430" s="99"/>
      <c r="G3430" s="100"/>
      <c r="H3430" s="100"/>
    </row>
    <row r="3431" customHeight="1" spans="2:8">
      <c r="B3431" s="98"/>
      <c r="C3431" s="98"/>
      <c r="D3431" s="98"/>
      <c r="E3431" s="98"/>
      <c r="F3431" s="99"/>
      <c r="G3431" s="100"/>
      <c r="H3431" s="100"/>
    </row>
    <row r="3432" customHeight="1" spans="2:8">
      <c r="B3432" s="98"/>
      <c r="C3432" s="98"/>
      <c r="D3432" s="98"/>
      <c r="E3432" s="98"/>
      <c r="F3432" s="99"/>
      <c r="G3432" s="100"/>
      <c r="H3432" s="100"/>
    </row>
    <row r="3433" customHeight="1" spans="2:8">
      <c r="B3433" s="98"/>
      <c r="C3433" s="98"/>
      <c r="D3433" s="98"/>
      <c r="E3433" s="98"/>
      <c r="F3433" s="99"/>
      <c r="G3433" s="100"/>
      <c r="H3433" s="100"/>
    </row>
    <row r="3434" customHeight="1" spans="2:8">
      <c r="B3434" s="98"/>
      <c r="C3434" s="98"/>
      <c r="D3434" s="98"/>
      <c r="E3434" s="98"/>
      <c r="F3434" s="99"/>
      <c r="G3434" s="100"/>
      <c r="H3434" s="100"/>
    </row>
    <row r="3435" customHeight="1" spans="2:8">
      <c r="B3435" s="98"/>
      <c r="C3435" s="98"/>
      <c r="D3435" s="98"/>
      <c r="E3435" s="98"/>
      <c r="F3435" s="99"/>
      <c r="G3435" s="100"/>
      <c r="H3435" s="100"/>
    </row>
    <row r="3436" customHeight="1" spans="2:8">
      <c r="B3436" s="98"/>
      <c r="C3436" s="98"/>
      <c r="D3436" s="98"/>
      <c r="E3436" s="98"/>
      <c r="F3436" s="99"/>
      <c r="G3436" s="100"/>
      <c r="H3436" s="100"/>
    </row>
    <row r="3437" customHeight="1" spans="2:8">
      <c r="B3437" s="98"/>
      <c r="C3437" s="98"/>
      <c r="D3437" s="98"/>
      <c r="E3437" s="98"/>
      <c r="F3437" s="99"/>
      <c r="G3437" s="100"/>
      <c r="H3437" s="100"/>
    </row>
    <row r="3438" customHeight="1" spans="2:8">
      <c r="B3438" s="98"/>
      <c r="C3438" s="98"/>
      <c r="D3438" s="98"/>
      <c r="E3438" s="98"/>
      <c r="F3438" s="99"/>
      <c r="G3438" s="100"/>
      <c r="H3438" s="100"/>
    </row>
    <row r="3439" customHeight="1" spans="2:8">
      <c r="B3439" s="98"/>
      <c r="C3439" s="98"/>
      <c r="D3439" s="98"/>
      <c r="E3439" s="98"/>
      <c r="F3439" s="99"/>
      <c r="G3439" s="100"/>
      <c r="H3439" s="100"/>
    </row>
    <row r="3440" customHeight="1" spans="2:8">
      <c r="B3440" s="98"/>
      <c r="C3440" s="98"/>
      <c r="D3440" s="98"/>
      <c r="E3440" s="98"/>
      <c r="F3440" s="99"/>
      <c r="G3440" s="100"/>
      <c r="H3440" s="100"/>
    </row>
    <row r="3441" customHeight="1" spans="2:8">
      <c r="B3441" s="98"/>
      <c r="C3441" s="98"/>
      <c r="D3441" s="98"/>
      <c r="E3441" s="98"/>
      <c r="F3441" s="99"/>
      <c r="G3441" s="100"/>
      <c r="H3441" s="100"/>
    </row>
    <row r="3442" customHeight="1" spans="2:8">
      <c r="B3442" s="98"/>
      <c r="C3442" s="98"/>
      <c r="D3442" s="98"/>
      <c r="E3442" s="98"/>
      <c r="F3442" s="99"/>
      <c r="G3442" s="100"/>
      <c r="H3442" s="100"/>
    </row>
    <row r="3443" customHeight="1" spans="2:8">
      <c r="B3443" s="98"/>
      <c r="C3443" s="98"/>
      <c r="D3443" s="98"/>
      <c r="E3443" s="98"/>
      <c r="F3443" s="99"/>
      <c r="G3443" s="100"/>
      <c r="H3443" s="100"/>
    </row>
    <row r="3444" customHeight="1" spans="2:8">
      <c r="B3444" s="98"/>
      <c r="C3444" s="98"/>
      <c r="D3444" s="98"/>
      <c r="E3444" s="98"/>
      <c r="F3444" s="99"/>
      <c r="G3444" s="100"/>
      <c r="H3444" s="100"/>
    </row>
    <row r="3445" customHeight="1" spans="2:8">
      <c r="B3445" s="98"/>
      <c r="C3445" s="98"/>
      <c r="D3445" s="98"/>
      <c r="E3445" s="98"/>
      <c r="F3445" s="99"/>
      <c r="G3445" s="100"/>
      <c r="H3445" s="100"/>
    </row>
    <row r="3446" customHeight="1" spans="2:8">
      <c r="B3446" s="98"/>
      <c r="C3446" s="98"/>
      <c r="D3446" s="98"/>
      <c r="E3446" s="98"/>
      <c r="F3446" s="99"/>
      <c r="G3446" s="100"/>
      <c r="H3446" s="100"/>
    </row>
    <row r="3447" customHeight="1" spans="2:8">
      <c r="B3447" s="98"/>
      <c r="C3447" s="98"/>
      <c r="D3447" s="98"/>
      <c r="E3447" s="98"/>
      <c r="F3447" s="99"/>
      <c r="G3447" s="100"/>
      <c r="H3447" s="100"/>
    </row>
    <row r="3448" customHeight="1" spans="2:8">
      <c r="B3448" s="98"/>
      <c r="C3448" s="98"/>
      <c r="D3448" s="98"/>
      <c r="E3448" s="98"/>
      <c r="F3448" s="99"/>
      <c r="G3448" s="100"/>
      <c r="H3448" s="100"/>
    </row>
    <row r="3449" customHeight="1" spans="2:8">
      <c r="B3449" s="98"/>
      <c r="C3449" s="98"/>
      <c r="D3449" s="98"/>
      <c r="E3449" s="98"/>
      <c r="F3449" s="99"/>
      <c r="G3449" s="100"/>
      <c r="H3449" s="100"/>
    </row>
    <row r="3450" customHeight="1" spans="2:8">
      <c r="B3450" s="98"/>
      <c r="C3450" s="98"/>
      <c r="D3450" s="98"/>
      <c r="E3450" s="98"/>
      <c r="F3450" s="99"/>
      <c r="G3450" s="100"/>
      <c r="H3450" s="100"/>
    </row>
    <row r="3451" customHeight="1" spans="2:8">
      <c r="B3451" s="98"/>
      <c r="C3451" s="98"/>
      <c r="D3451" s="98"/>
      <c r="E3451" s="98"/>
      <c r="F3451" s="99"/>
      <c r="G3451" s="100"/>
      <c r="H3451" s="100"/>
    </row>
    <row r="3452" customHeight="1" spans="2:8">
      <c r="B3452" s="98"/>
      <c r="C3452" s="98"/>
      <c r="D3452" s="98"/>
      <c r="E3452" s="98"/>
      <c r="F3452" s="99"/>
      <c r="G3452" s="100"/>
      <c r="H3452" s="100"/>
    </row>
    <row r="3453" customHeight="1" spans="2:8">
      <c r="B3453" s="98"/>
      <c r="C3453" s="98"/>
      <c r="D3453" s="98"/>
      <c r="E3453" s="98"/>
      <c r="F3453" s="99"/>
      <c r="G3453" s="100"/>
      <c r="H3453" s="100"/>
    </row>
    <row r="3454" customHeight="1" spans="2:8">
      <c r="B3454" s="98"/>
      <c r="C3454" s="98"/>
      <c r="D3454" s="98"/>
      <c r="E3454" s="98"/>
      <c r="F3454" s="99"/>
      <c r="G3454" s="100"/>
      <c r="H3454" s="100"/>
    </row>
    <row r="3455" customHeight="1" spans="2:8">
      <c r="B3455" s="98"/>
      <c r="C3455" s="98"/>
      <c r="D3455" s="98"/>
      <c r="E3455" s="98"/>
      <c r="F3455" s="99"/>
      <c r="G3455" s="100"/>
      <c r="H3455" s="100"/>
    </row>
  </sheetData>
  <mergeCells count="15">
    <mergeCell ref="G2:H2"/>
    <mergeCell ref="R2:S2"/>
    <mergeCell ref="A57:B57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  <mergeCell ref="P2:P3"/>
    <mergeCell ref="Q2:Q3"/>
  </mergeCells>
  <conditionalFormatting sqref="G4">
    <cfRule type="expression" dxfId="1" priority="3" stopIfTrue="1">
      <formula>$E4&lt;&gt;0</formula>
    </cfRule>
  </conditionalFormatting>
  <conditionalFormatting sqref="G5">
    <cfRule type="expression" dxfId="1" priority="1" stopIfTrue="1">
      <formula>$E5&lt;&gt;0</formula>
    </cfRule>
  </conditionalFormatting>
  <conditionalFormatting sqref="G6">
    <cfRule type="expression" dxfId="1" priority="70" stopIfTrue="1">
      <formula>$E6&lt;&gt;0</formula>
    </cfRule>
  </conditionalFormatting>
  <conditionalFormatting sqref="G9">
    <cfRule type="expression" dxfId="1" priority="73" stopIfTrue="1">
      <formula>$E9&lt;&gt;0</formula>
    </cfRule>
  </conditionalFormatting>
  <conditionalFormatting sqref="G10">
    <cfRule type="expression" dxfId="1" priority="61" stopIfTrue="1">
      <formula>$E10&lt;&gt;0</formula>
    </cfRule>
  </conditionalFormatting>
  <conditionalFormatting sqref="G11">
    <cfRule type="expression" dxfId="1" priority="44" stopIfTrue="1">
      <formula>$E11&lt;&gt;0</formula>
    </cfRule>
  </conditionalFormatting>
  <conditionalFormatting sqref="G12">
    <cfRule type="expression" dxfId="1" priority="59" stopIfTrue="1">
      <formula>$E12&lt;&gt;0</formula>
    </cfRule>
  </conditionalFormatting>
  <conditionalFormatting sqref="G13">
    <cfRule type="expression" dxfId="1" priority="43" stopIfTrue="1">
      <formula>$E13&lt;&gt;0</formula>
    </cfRule>
  </conditionalFormatting>
  <conditionalFormatting sqref="G14">
    <cfRule type="expression" dxfId="1" priority="57" stopIfTrue="1">
      <formula>$E14&lt;&gt;0</formula>
    </cfRule>
  </conditionalFormatting>
  <conditionalFormatting sqref="G15">
    <cfRule type="expression" dxfId="1" priority="42" stopIfTrue="1">
      <formula>$E15&lt;&gt;0</formula>
    </cfRule>
  </conditionalFormatting>
  <conditionalFormatting sqref="G16">
    <cfRule type="expression" dxfId="1" priority="55" stopIfTrue="1">
      <formula>$E16&lt;&gt;0</formula>
    </cfRule>
  </conditionalFormatting>
  <conditionalFormatting sqref="G17">
    <cfRule type="expression" dxfId="1" priority="40" stopIfTrue="1">
      <formula>$E17&lt;&gt;0</formula>
    </cfRule>
  </conditionalFormatting>
  <conditionalFormatting sqref="G18">
    <cfRule type="expression" dxfId="1" priority="53" stopIfTrue="1">
      <formula>$E18&lt;&gt;0</formula>
    </cfRule>
  </conditionalFormatting>
  <conditionalFormatting sqref="G19">
    <cfRule type="expression" dxfId="1" priority="38" stopIfTrue="1">
      <formula>$E19&lt;&gt;0</formula>
    </cfRule>
  </conditionalFormatting>
  <conditionalFormatting sqref="G20">
    <cfRule type="expression" dxfId="1" priority="51" stopIfTrue="1">
      <formula>$E20&lt;&gt;0</formula>
    </cfRule>
  </conditionalFormatting>
  <conditionalFormatting sqref="G21">
    <cfRule type="expression" dxfId="1" priority="36" stopIfTrue="1">
      <formula>$E21&lt;&gt;0</formula>
    </cfRule>
  </conditionalFormatting>
  <conditionalFormatting sqref="G22">
    <cfRule type="expression" dxfId="1" priority="49" stopIfTrue="1">
      <formula>$E22&lt;&gt;0</formula>
    </cfRule>
  </conditionalFormatting>
  <conditionalFormatting sqref="G23">
    <cfRule type="expression" dxfId="1" priority="34" stopIfTrue="1">
      <formula>$E23&lt;&gt;0</formula>
    </cfRule>
  </conditionalFormatting>
  <conditionalFormatting sqref="G24">
    <cfRule type="expression" dxfId="1" priority="47" stopIfTrue="1">
      <formula>$E24&lt;&gt;0</formula>
    </cfRule>
  </conditionalFormatting>
  <conditionalFormatting sqref="G25">
    <cfRule type="expression" dxfId="1" priority="45" stopIfTrue="1">
      <formula>$E25&lt;&gt;0</formula>
    </cfRule>
  </conditionalFormatting>
  <conditionalFormatting sqref="G26">
    <cfRule type="expression" dxfId="1" priority="32" stopIfTrue="1">
      <formula>$E26&lt;&gt;0</formula>
    </cfRule>
  </conditionalFormatting>
  <conditionalFormatting sqref="G29">
    <cfRule type="expression" dxfId="1" priority="67" stopIfTrue="1">
      <formula>$E29&lt;&gt;0</formula>
    </cfRule>
  </conditionalFormatting>
  <conditionalFormatting sqref="G31">
    <cfRule type="expression" dxfId="1" priority="31" stopIfTrue="1">
      <formula>$E31&lt;&gt;0</formula>
    </cfRule>
  </conditionalFormatting>
  <conditionalFormatting sqref="G32">
    <cfRule type="expression" dxfId="1" priority="23" stopIfTrue="1">
      <formula>$E32&lt;&gt;0</formula>
    </cfRule>
  </conditionalFormatting>
  <conditionalFormatting sqref="G33">
    <cfRule type="expression" dxfId="1" priority="30" stopIfTrue="1">
      <formula>$E33&lt;&gt;0</formula>
    </cfRule>
  </conditionalFormatting>
  <conditionalFormatting sqref="G34">
    <cfRule type="expression" dxfId="1" priority="22" stopIfTrue="1">
      <formula>$E34&lt;&gt;0</formula>
    </cfRule>
  </conditionalFormatting>
  <conditionalFormatting sqref="G35">
    <cfRule type="expression" dxfId="1" priority="29" stopIfTrue="1">
      <formula>$E35&lt;&gt;0</formula>
    </cfRule>
  </conditionalFormatting>
  <conditionalFormatting sqref="G36">
    <cfRule type="expression" dxfId="1" priority="21" stopIfTrue="1">
      <formula>$E36&lt;&gt;0</formula>
    </cfRule>
  </conditionalFormatting>
  <conditionalFormatting sqref="G37">
    <cfRule type="expression" dxfId="1" priority="28" stopIfTrue="1">
      <formula>$E37&lt;&gt;0</formula>
    </cfRule>
  </conditionalFormatting>
  <conditionalFormatting sqref="G38">
    <cfRule type="expression" dxfId="1" priority="20" stopIfTrue="1">
      <formula>$E38&lt;&gt;0</formula>
    </cfRule>
  </conditionalFormatting>
  <conditionalFormatting sqref="G39">
    <cfRule type="expression" dxfId="1" priority="27" stopIfTrue="1">
      <formula>$E39&lt;&gt;0</formula>
    </cfRule>
  </conditionalFormatting>
  <conditionalFormatting sqref="G40">
    <cfRule type="expression" dxfId="1" priority="19" stopIfTrue="1">
      <formula>$E40&lt;&gt;0</formula>
    </cfRule>
  </conditionalFormatting>
  <conditionalFormatting sqref="G41">
    <cfRule type="expression" dxfId="1" priority="26" stopIfTrue="1">
      <formula>$E41&lt;&gt;0</formula>
    </cfRule>
  </conditionalFormatting>
  <conditionalFormatting sqref="G42">
    <cfRule type="expression" dxfId="1" priority="18" stopIfTrue="1">
      <formula>$E42&lt;&gt;0</formula>
    </cfRule>
  </conditionalFormatting>
  <conditionalFormatting sqref="G43">
    <cfRule type="expression" dxfId="1" priority="25" stopIfTrue="1">
      <formula>$E43&lt;&gt;0</formula>
    </cfRule>
  </conditionalFormatting>
  <conditionalFormatting sqref="G45">
    <cfRule type="expression" dxfId="1" priority="24" stopIfTrue="1">
      <formula>$E45&lt;&gt;0</formula>
    </cfRule>
  </conditionalFormatting>
  <conditionalFormatting sqref="G46">
    <cfRule type="expression" dxfId="1" priority="17" stopIfTrue="1">
      <formula>$E46&lt;&gt;0</formula>
    </cfRule>
  </conditionalFormatting>
  <conditionalFormatting sqref="G47">
    <cfRule type="expression" dxfId="1" priority="63" stopIfTrue="1">
      <formula>$E47&lt;&gt;0</formula>
    </cfRule>
  </conditionalFormatting>
  <conditionalFormatting sqref="G50">
    <cfRule type="expression" dxfId="1" priority="15" stopIfTrue="1">
      <formula>$E50&lt;&gt;0</formula>
    </cfRule>
  </conditionalFormatting>
  <conditionalFormatting sqref="G51">
    <cfRule type="expression" dxfId="1" priority="13" stopIfTrue="1">
      <formula>$E51&lt;&gt;0</formula>
    </cfRule>
  </conditionalFormatting>
  <conditionalFormatting sqref="G52">
    <cfRule type="expression" dxfId="1" priority="11" stopIfTrue="1">
      <formula>$E52&lt;&gt;0</formula>
    </cfRule>
  </conditionalFormatting>
  <conditionalFormatting sqref="G53">
    <cfRule type="expression" dxfId="1" priority="9" stopIfTrue="1">
      <formula>$E53&lt;&gt;0</formula>
    </cfRule>
  </conditionalFormatting>
  <conditionalFormatting sqref="G54">
    <cfRule type="expression" dxfId="1" priority="7" stopIfTrue="1">
      <formula>$E54&lt;&gt;0</formula>
    </cfRule>
  </conditionalFormatting>
  <conditionalFormatting sqref="G55">
    <cfRule type="expression" dxfId="1" priority="5" stopIfTrue="1">
      <formula>$E55&lt;&gt;0</formula>
    </cfRule>
  </conditionalFormatting>
  <conditionalFormatting sqref="G7:G8">
    <cfRule type="expression" dxfId="1" priority="68" stopIfTrue="1">
      <formula>$E7&lt;&gt;0</formula>
    </cfRule>
  </conditionalFormatting>
  <conditionalFormatting sqref="G27:G28">
    <cfRule type="expression" dxfId="1" priority="72" stopIfTrue="1">
      <formula>$E27&lt;&gt;0</formula>
    </cfRule>
  </conditionalFormatting>
  <conditionalFormatting sqref="G48:G49">
    <cfRule type="expression" dxfId="1" priority="65" stopIfTrue="1">
      <formula>$E48&lt;&gt;0</formula>
    </cfRule>
  </conditionalFormatting>
  <conditionalFormatting sqref="G9 G11 G13 G15">
    <cfRule type="expression" dxfId="1" priority="75" stopIfTrue="1">
      <formula>$E9&lt;&gt;0</formula>
    </cfRule>
  </conditionalFormatting>
  <conditionalFormatting sqref="G30 G44">
    <cfRule type="expression" dxfId="1" priority="74" stopIfTrue="1">
      <formula>$E30&lt;&gt;0</formula>
    </cfRule>
  </conditionalFormatting>
  <pageMargins left="0.275" right="0.196527777777778" top="1.41666666666667" bottom="0.236111111111111" header="0.5" footer="0.5"/>
  <pageSetup paperSize="9" orientation="portrait"/>
  <headerFooter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3"/>
  <sheetViews>
    <sheetView workbookViewId="0">
      <pane ySplit="2" topLeftCell="A315" activePane="bottomLeft" state="frozen"/>
      <selection/>
      <selection pane="bottomLeft" activeCell="C46" sqref="C46:R46"/>
    </sheetView>
  </sheetViews>
  <sheetFormatPr defaultColWidth="9" defaultRowHeight="23" customHeight="1"/>
  <cols>
    <col min="1" max="1" width="9" style="31"/>
    <col min="2" max="2" width="10" style="31" customWidth="1"/>
    <col min="3" max="3" width="17.25" style="31" customWidth="1"/>
    <col min="4" max="4" width="21.875" style="31" customWidth="1"/>
    <col min="5" max="5" width="28.5" style="31" customWidth="1"/>
    <col min="6" max="7" width="8" style="31" customWidth="1"/>
    <col min="8" max="10" width="9" style="31"/>
    <col min="11" max="11" width="11.125" style="31"/>
    <col min="12" max="12" width="18.375" style="32" customWidth="1"/>
    <col min="13" max="13" width="9" style="31"/>
    <col min="14" max="14" width="18.25" style="33"/>
    <col min="15" max="15" width="17.125" style="33"/>
    <col min="16" max="16384" width="9" style="31"/>
  </cols>
  <sheetData>
    <row r="1" customHeight="1" spans="1:15">
      <c r="A1" s="34"/>
      <c r="B1" s="35" t="s">
        <v>288</v>
      </c>
      <c r="C1" s="36" t="s">
        <v>289</v>
      </c>
      <c r="D1" s="36" t="s">
        <v>291</v>
      </c>
      <c r="E1" s="36" t="s">
        <v>292</v>
      </c>
      <c r="F1" s="36"/>
      <c r="G1" s="36"/>
      <c r="H1" s="36" t="s">
        <v>294</v>
      </c>
      <c r="I1" s="37" t="s">
        <v>1264</v>
      </c>
      <c r="J1" s="36" t="s">
        <v>296</v>
      </c>
      <c r="K1" s="36" t="s">
        <v>297</v>
      </c>
      <c r="L1" s="38" t="s">
        <v>298</v>
      </c>
    </row>
    <row r="2" customHeight="1" spans="1:15">
      <c r="A2" s="34"/>
      <c r="B2" s="35"/>
      <c r="C2" s="36"/>
      <c r="D2" s="36"/>
      <c r="E2" s="36"/>
      <c r="F2" s="36"/>
      <c r="G2" s="36"/>
      <c r="H2" s="36"/>
      <c r="I2" s="39"/>
      <c r="J2" s="36"/>
      <c r="K2" s="36"/>
      <c r="L2" s="38"/>
      <c r="N2" s="33" t="s">
        <v>6719</v>
      </c>
      <c r="O2" s="33" t="s">
        <v>14</v>
      </c>
    </row>
    <row r="3" customHeight="1" spans="1:15">
      <c r="B3" s="40"/>
      <c r="C3" s="41" t="s">
        <v>6720</v>
      </c>
      <c r="D3" s="41"/>
      <c r="E3" s="40" t="s">
        <v>1335</v>
      </c>
      <c r="F3" s="40"/>
      <c r="G3" s="40"/>
      <c r="H3" s="42" t="s">
        <v>1336</v>
      </c>
      <c r="I3" s="41">
        <v>149.84</v>
      </c>
      <c r="J3" s="41">
        <v>149.84</v>
      </c>
      <c r="K3" s="41"/>
      <c r="L3" s="43">
        <v>20000</v>
      </c>
      <c r="N3" s="33">
        <f>L3/1.09</f>
        <v>18348.623853211</v>
      </c>
      <c r="O3" s="33">
        <f>L3-N3</f>
        <v>1651.37614678899</v>
      </c>
    </row>
    <row r="4" customHeight="1" spans="1:15">
      <c r="A4" s="31">
        <v>1</v>
      </c>
      <c r="B4" s="40" t="s">
        <v>1347</v>
      </c>
      <c r="C4" s="41">
        <v>20230001464</v>
      </c>
      <c r="D4" s="1023" t="s">
        <v>1339</v>
      </c>
      <c r="E4" s="40" t="s">
        <v>1340</v>
      </c>
      <c r="F4" s="40"/>
      <c r="G4" s="40"/>
      <c r="H4" s="42" t="s">
        <v>1342</v>
      </c>
      <c r="I4" s="41">
        <v>140.29</v>
      </c>
      <c r="J4" s="41">
        <v>140.29</v>
      </c>
      <c r="K4" s="41">
        <v>7863</v>
      </c>
      <c r="L4" s="43">
        <v>1103100</v>
      </c>
      <c r="N4" s="33">
        <f t="shared" ref="N4:N67" si="0">L4/1.09</f>
        <v>1012018.34862385</v>
      </c>
      <c r="O4" s="33">
        <f t="shared" ref="O4:O67" si="1">L4-N4</f>
        <v>91081.6513761468</v>
      </c>
    </row>
    <row r="5" customHeight="1" spans="1:15">
      <c r="A5" s="31">
        <v>2</v>
      </c>
      <c r="B5" s="40" t="s">
        <v>1354</v>
      </c>
      <c r="C5" s="41">
        <v>20230004789</v>
      </c>
      <c r="D5" s="1023" t="s">
        <v>1350</v>
      </c>
      <c r="E5" s="41" t="s">
        <v>1310</v>
      </c>
      <c r="F5" s="41"/>
      <c r="G5" s="41"/>
      <c r="H5" s="44" t="s">
        <v>1352</v>
      </c>
      <c r="I5" s="41">
        <v>146.97</v>
      </c>
      <c r="J5" s="41">
        <v>146.97</v>
      </c>
      <c r="K5" s="41">
        <v>5270</v>
      </c>
      <c r="L5" s="43">
        <v>774532</v>
      </c>
      <c r="N5" s="33">
        <f t="shared" si="0"/>
        <v>710579.816513761</v>
      </c>
      <c r="O5" s="33">
        <f t="shared" si="1"/>
        <v>63952.1834862386</v>
      </c>
    </row>
    <row r="6" customHeight="1" spans="1:15">
      <c r="A6" s="31">
        <v>3</v>
      </c>
      <c r="B6" s="40" t="s">
        <v>1359</v>
      </c>
      <c r="C6" s="41">
        <v>20230006624</v>
      </c>
      <c r="D6" s="1023" t="s">
        <v>1355</v>
      </c>
      <c r="E6" s="41" t="s">
        <v>1356</v>
      </c>
      <c r="F6" s="41"/>
      <c r="G6" s="41"/>
      <c r="H6" s="42" t="s">
        <v>1358</v>
      </c>
      <c r="I6" s="41">
        <v>137.77</v>
      </c>
      <c r="J6" s="41">
        <v>137.77</v>
      </c>
      <c r="K6" s="41">
        <v>5334.97</v>
      </c>
      <c r="L6" s="43">
        <v>735000</v>
      </c>
      <c r="N6" s="33">
        <f t="shared" si="0"/>
        <v>674311.926605505</v>
      </c>
      <c r="O6" s="33">
        <f t="shared" si="1"/>
        <v>60688.0733944954</v>
      </c>
    </row>
    <row r="7" customHeight="1" spans="1:15">
      <c r="A7" s="31">
        <v>4</v>
      </c>
      <c r="B7" s="40" t="s">
        <v>1365</v>
      </c>
      <c r="C7" s="41">
        <v>20230001743</v>
      </c>
      <c r="D7" s="41" t="s">
        <v>1361</v>
      </c>
      <c r="E7" s="41" t="s">
        <v>1362</v>
      </c>
      <c r="F7" s="41"/>
      <c r="G7" s="41"/>
      <c r="H7" s="44" t="s">
        <v>1363</v>
      </c>
      <c r="I7" s="41">
        <v>146.97</v>
      </c>
      <c r="J7" s="41">
        <v>146.97</v>
      </c>
      <c r="K7" s="41">
        <v>5245.55</v>
      </c>
      <c r="L7" s="43">
        <v>770939</v>
      </c>
      <c r="N7" s="33">
        <f t="shared" si="0"/>
        <v>707283.486238532</v>
      </c>
      <c r="O7" s="33">
        <f t="shared" si="1"/>
        <v>63655.513761468</v>
      </c>
    </row>
    <row r="8" customHeight="1" spans="1:15">
      <c r="A8" s="31">
        <v>5</v>
      </c>
      <c r="B8" s="40" t="s">
        <v>1346</v>
      </c>
      <c r="C8" s="41">
        <v>20230001404</v>
      </c>
      <c r="D8" s="1023" t="s">
        <v>1366</v>
      </c>
      <c r="E8" s="40" t="s">
        <v>1367</v>
      </c>
      <c r="F8" s="40"/>
      <c r="G8" s="40"/>
      <c r="H8" s="42" t="s">
        <v>1369</v>
      </c>
      <c r="I8" s="41">
        <v>137.77</v>
      </c>
      <c r="J8" s="41">
        <v>137.77</v>
      </c>
      <c r="K8" s="45">
        <v>5140.96</v>
      </c>
      <c r="L8" s="43">
        <v>708270</v>
      </c>
      <c r="N8" s="33">
        <f t="shared" si="0"/>
        <v>649788.990825688</v>
      </c>
      <c r="O8" s="33">
        <f t="shared" si="1"/>
        <v>58481.009174312</v>
      </c>
    </row>
    <row r="9" customHeight="1" spans="1:15">
      <c r="A9" s="31">
        <v>6</v>
      </c>
      <c r="B9" s="40" t="s">
        <v>1347</v>
      </c>
      <c r="C9" s="41">
        <v>20230001431</v>
      </c>
      <c r="D9" s="1023" t="s">
        <v>1373</v>
      </c>
      <c r="E9" s="41" t="s">
        <v>1322</v>
      </c>
      <c r="F9" s="41"/>
      <c r="G9" s="41"/>
      <c r="H9" s="44" t="s">
        <v>1375</v>
      </c>
      <c r="I9" s="41">
        <v>146.97</v>
      </c>
      <c r="J9" s="41">
        <v>146.97</v>
      </c>
      <c r="K9" s="41">
        <v>5300</v>
      </c>
      <c r="L9" s="43">
        <v>778941</v>
      </c>
      <c r="N9" s="33">
        <f t="shared" si="0"/>
        <v>714624.770642202</v>
      </c>
      <c r="O9" s="33">
        <f t="shared" si="1"/>
        <v>64316.2293577982</v>
      </c>
    </row>
    <row r="10" customHeight="1" spans="1:15">
      <c r="A10" s="31">
        <v>7</v>
      </c>
      <c r="B10" s="40" t="s">
        <v>1383</v>
      </c>
      <c r="C10" s="41">
        <v>20230000706</v>
      </c>
      <c r="D10" s="1023" t="s">
        <v>1378</v>
      </c>
      <c r="E10" s="40" t="s">
        <v>1379</v>
      </c>
      <c r="F10" s="40"/>
      <c r="G10" s="40"/>
      <c r="H10" s="42" t="s">
        <v>1380</v>
      </c>
      <c r="I10" s="41">
        <v>137.77</v>
      </c>
      <c r="J10" s="41">
        <v>137.77</v>
      </c>
      <c r="K10" s="41">
        <v>5320</v>
      </c>
      <c r="L10" s="43">
        <v>732936</v>
      </c>
      <c r="N10" s="33">
        <f t="shared" si="0"/>
        <v>672418.348623853</v>
      </c>
      <c r="O10" s="33">
        <f t="shared" si="1"/>
        <v>60517.6513761468</v>
      </c>
    </row>
    <row r="11" customHeight="1" spans="1:15">
      <c r="A11" s="31">
        <v>8</v>
      </c>
      <c r="B11" s="40" t="s">
        <v>1346</v>
      </c>
      <c r="C11" s="41">
        <v>20230001400</v>
      </c>
      <c r="D11" s="41" t="s">
        <v>1385</v>
      </c>
      <c r="E11" s="40" t="s">
        <v>6721</v>
      </c>
      <c r="F11" s="40"/>
      <c r="G11" s="40"/>
      <c r="H11" s="44" t="s">
        <v>1388</v>
      </c>
      <c r="I11" s="41">
        <v>146.97</v>
      </c>
      <c r="J11" s="41">
        <v>146.97</v>
      </c>
      <c r="K11" s="41">
        <v>5208.96</v>
      </c>
      <c r="L11" s="43">
        <v>765561</v>
      </c>
      <c r="N11" s="33">
        <f t="shared" si="0"/>
        <v>702349.541284404</v>
      </c>
      <c r="O11" s="33">
        <f t="shared" si="1"/>
        <v>63211.4587155964</v>
      </c>
    </row>
    <row r="12" customHeight="1" spans="1:15">
      <c r="A12" s="31">
        <v>9</v>
      </c>
      <c r="B12" s="40" t="s">
        <v>751</v>
      </c>
      <c r="C12" s="41">
        <v>20230003790</v>
      </c>
      <c r="D12" s="1023" t="s">
        <v>1392</v>
      </c>
      <c r="E12" s="40" t="s">
        <v>1393</v>
      </c>
      <c r="F12" s="40"/>
      <c r="G12" s="40"/>
      <c r="H12" s="42" t="s">
        <v>1395</v>
      </c>
      <c r="I12" s="41">
        <v>137.77</v>
      </c>
      <c r="J12" s="41">
        <v>137.77</v>
      </c>
      <c r="K12" s="41">
        <v>5421.94</v>
      </c>
      <c r="L12" s="43">
        <v>746980</v>
      </c>
      <c r="N12" s="33">
        <f t="shared" si="0"/>
        <v>685302.752293578</v>
      </c>
      <c r="O12" s="33">
        <f t="shared" si="1"/>
        <v>61677.2477064221</v>
      </c>
    </row>
    <row r="13" customHeight="1" spans="1:15">
      <c r="A13" s="31">
        <v>10</v>
      </c>
      <c r="B13" s="40">
        <v>2023.6</v>
      </c>
      <c r="C13" s="41">
        <v>20230004864</v>
      </c>
      <c r="D13" s="46" t="s">
        <v>1401</v>
      </c>
      <c r="E13" s="41" t="s">
        <v>1402</v>
      </c>
      <c r="F13" s="41"/>
      <c r="G13" s="41"/>
      <c r="H13" s="44" t="s">
        <v>1404</v>
      </c>
      <c r="I13" s="41">
        <v>146.97</v>
      </c>
      <c r="J13" s="41">
        <v>146.97</v>
      </c>
      <c r="K13" s="45">
        <v>5877.22664489352</v>
      </c>
      <c r="L13" s="43">
        <v>863776</v>
      </c>
      <c r="N13" s="33">
        <f t="shared" si="0"/>
        <v>792455.04587156</v>
      </c>
      <c r="O13" s="33">
        <f t="shared" si="1"/>
        <v>71320.9541284405</v>
      </c>
    </row>
    <row r="14" customHeight="1" spans="1:15">
      <c r="A14" s="31">
        <v>11</v>
      </c>
      <c r="B14" s="40" t="s">
        <v>1740</v>
      </c>
      <c r="C14" s="41">
        <v>20230000730</v>
      </c>
      <c r="D14" s="1023" t="s">
        <v>1409</v>
      </c>
      <c r="E14" s="40" t="s">
        <v>1410</v>
      </c>
      <c r="F14" s="40"/>
      <c r="G14" s="40"/>
      <c r="H14" s="42" t="s">
        <v>1412</v>
      </c>
      <c r="I14" s="41">
        <v>137.77</v>
      </c>
      <c r="J14" s="41">
        <v>137.77</v>
      </c>
      <c r="K14" s="41">
        <v>5265.96</v>
      </c>
      <c r="L14" s="43">
        <v>725492</v>
      </c>
      <c r="N14" s="33">
        <f t="shared" si="0"/>
        <v>665588.990825688</v>
      </c>
      <c r="O14" s="33">
        <f t="shared" si="1"/>
        <v>59903.009174312</v>
      </c>
    </row>
    <row r="15" customHeight="1" spans="1:15">
      <c r="A15" s="31">
        <v>12</v>
      </c>
      <c r="B15" s="40" t="s">
        <v>1383</v>
      </c>
      <c r="C15" s="41">
        <v>20230000725</v>
      </c>
      <c r="D15" s="1023" t="s">
        <v>1417</v>
      </c>
      <c r="E15" s="40" t="s">
        <v>1418</v>
      </c>
      <c r="F15" s="40"/>
      <c r="G15" s="40"/>
      <c r="H15" s="44" t="s">
        <v>1420</v>
      </c>
      <c r="I15" s="41">
        <v>146.97</v>
      </c>
      <c r="J15" s="41">
        <v>146.97</v>
      </c>
      <c r="K15" s="41">
        <v>5298.97</v>
      </c>
      <c r="L15" s="43">
        <v>778789</v>
      </c>
      <c r="N15" s="33">
        <f t="shared" si="0"/>
        <v>714485.321100917</v>
      </c>
      <c r="O15" s="33">
        <f t="shared" si="1"/>
        <v>64303.6788990826</v>
      </c>
    </row>
    <row r="16" customHeight="1" spans="1:15">
      <c r="A16" s="31">
        <v>13</v>
      </c>
      <c r="B16" s="40" t="s">
        <v>3014</v>
      </c>
      <c r="C16" s="41">
        <v>20230000142</v>
      </c>
      <c r="D16" s="1023" t="s">
        <v>1425</v>
      </c>
      <c r="E16" s="40" t="s">
        <v>1426</v>
      </c>
      <c r="F16" s="40"/>
      <c r="G16" s="40"/>
      <c r="H16" s="42" t="s">
        <v>1428</v>
      </c>
      <c r="I16" s="41">
        <v>137.77</v>
      </c>
      <c r="J16" s="41">
        <v>137.77</v>
      </c>
      <c r="K16" s="41">
        <v>5310.96</v>
      </c>
      <c r="L16" s="43">
        <v>731691</v>
      </c>
      <c r="N16" s="33">
        <f t="shared" si="0"/>
        <v>671276.146788991</v>
      </c>
      <c r="O16" s="33">
        <f t="shared" si="1"/>
        <v>60414.8532110092</v>
      </c>
    </row>
    <row r="17" customHeight="1" spans="1:15">
      <c r="A17" s="31">
        <v>14</v>
      </c>
      <c r="B17" s="40" t="s">
        <v>1451</v>
      </c>
      <c r="C17" s="41">
        <v>20230000953</v>
      </c>
      <c r="D17" s="1023" t="s">
        <v>1435</v>
      </c>
      <c r="E17" s="41" t="s">
        <v>1436</v>
      </c>
      <c r="F17" s="41"/>
      <c r="G17" s="41"/>
      <c r="H17" s="42" t="s">
        <v>1438</v>
      </c>
      <c r="I17" s="41">
        <v>146.97</v>
      </c>
      <c r="J17" s="41">
        <v>146.97</v>
      </c>
      <c r="K17" s="41">
        <v>5323.96</v>
      </c>
      <c r="L17" s="43">
        <v>782463</v>
      </c>
      <c r="N17" s="33">
        <f t="shared" si="0"/>
        <v>717855.963302752</v>
      </c>
      <c r="O17" s="33">
        <f t="shared" si="1"/>
        <v>64607.0366972478</v>
      </c>
    </row>
    <row r="18" customHeight="1" spans="1:15">
      <c r="A18" s="31">
        <v>15</v>
      </c>
      <c r="B18" s="40" t="s">
        <v>1346</v>
      </c>
      <c r="C18" s="41">
        <v>20230001308</v>
      </c>
      <c r="D18" s="41" t="s">
        <v>1444</v>
      </c>
      <c r="E18" s="40" t="s">
        <v>1445</v>
      </c>
      <c r="F18" s="40"/>
      <c r="G18" s="40"/>
      <c r="H18" s="42" t="s">
        <v>1447</v>
      </c>
      <c r="I18" s="41">
        <v>137.77</v>
      </c>
      <c r="J18" s="41">
        <v>137.77</v>
      </c>
      <c r="K18" s="41">
        <v>5335.96</v>
      </c>
      <c r="L18" s="43">
        <v>735136</v>
      </c>
      <c r="N18" s="33">
        <f t="shared" si="0"/>
        <v>674436.697247706</v>
      </c>
      <c r="O18" s="33">
        <f t="shared" si="1"/>
        <v>60699.3027522936</v>
      </c>
    </row>
    <row r="19" customHeight="1" spans="1:15">
      <c r="A19" s="31">
        <v>16</v>
      </c>
      <c r="B19" s="40" t="s">
        <v>1459</v>
      </c>
      <c r="C19" s="41">
        <v>20230003229</v>
      </c>
      <c r="D19" s="1023" t="s">
        <v>1452</v>
      </c>
      <c r="E19" s="41" t="s">
        <v>910</v>
      </c>
      <c r="F19" s="41"/>
      <c r="G19" s="41"/>
      <c r="H19" s="44" t="s">
        <v>1454</v>
      </c>
      <c r="I19" s="41">
        <v>146.97</v>
      </c>
      <c r="J19" s="41">
        <v>146.97</v>
      </c>
      <c r="K19" s="41">
        <v>5368.96</v>
      </c>
      <c r="L19" s="43">
        <v>789076</v>
      </c>
      <c r="N19" s="33">
        <f t="shared" si="0"/>
        <v>723922.935779816</v>
      </c>
      <c r="O19" s="33">
        <f t="shared" si="1"/>
        <v>65153.0642201835</v>
      </c>
    </row>
    <row r="20" customHeight="1" spans="1:15">
      <c r="A20" s="31">
        <v>17</v>
      </c>
      <c r="B20" s="40" t="s">
        <v>1377</v>
      </c>
      <c r="C20" s="41">
        <v>20230001243</v>
      </c>
      <c r="D20" s="1023" t="s">
        <v>1460</v>
      </c>
      <c r="E20" s="47" t="s">
        <v>1461</v>
      </c>
      <c r="F20" s="47"/>
      <c r="G20" s="47"/>
      <c r="H20" s="42" t="s">
        <v>1463</v>
      </c>
      <c r="I20" s="41">
        <v>137.77</v>
      </c>
      <c r="J20" s="41">
        <v>137.77</v>
      </c>
      <c r="K20" s="41">
        <v>5380.96</v>
      </c>
      <c r="L20" s="43">
        <v>741335</v>
      </c>
      <c r="N20" s="33">
        <f t="shared" si="0"/>
        <v>680123.853211009</v>
      </c>
      <c r="O20" s="33">
        <f t="shared" si="1"/>
        <v>61211.1467889908</v>
      </c>
    </row>
    <row r="21" customHeight="1" spans="1:15">
      <c r="A21" s="31">
        <v>18</v>
      </c>
      <c r="B21" s="40" t="s">
        <v>1377</v>
      </c>
      <c r="C21" s="41">
        <v>20230001161</v>
      </c>
      <c r="D21" s="1023" t="s">
        <v>1468</v>
      </c>
      <c r="E21" s="40" t="s">
        <v>1469</v>
      </c>
      <c r="F21" s="40"/>
      <c r="G21" s="40"/>
      <c r="H21" s="44" t="s">
        <v>1471</v>
      </c>
      <c r="I21" s="41">
        <v>146.97</v>
      </c>
      <c r="J21" s="41">
        <v>146.97</v>
      </c>
      <c r="K21" s="41">
        <v>5388.96</v>
      </c>
      <c r="L21" s="43">
        <v>792016</v>
      </c>
      <c r="N21" s="33">
        <f t="shared" si="0"/>
        <v>726620.183486238</v>
      </c>
      <c r="O21" s="33">
        <f t="shared" si="1"/>
        <v>65395.8165137615</v>
      </c>
    </row>
    <row r="22" customHeight="1" spans="1:15">
      <c r="A22" s="31">
        <v>19</v>
      </c>
      <c r="B22" s="40" t="s">
        <v>1480</v>
      </c>
      <c r="C22" s="41">
        <v>20230000170</v>
      </c>
      <c r="D22" s="1023" t="s">
        <v>1475</v>
      </c>
      <c r="E22" s="40" t="s">
        <v>1039</v>
      </c>
      <c r="F22" s="40"/>
      <c r="G22" s="40"/>
      <c r="H22" s="42" t="s">
        <v>1476</v>
      </c>
      <c r="I22" s="41">
        <v>137.77</v>
      </c>
      <c r="J22" s="41">
        <v>137.77</v>
      </c>
      <c r="K22" s="41">
        <v>5351</v>
      </c>
      <c r="L22" s="48">
        <v>737202</v>
      </c>
      <c r="N22" s="33">
        <f t="shared" si="0"/>
        <v>676332.110091743</v>
      </c>
      <c r="O22" s="33">
        <f t="shared" si="1"/>
        <v>60869.8899082569</v>
      </c>
    </row>
    <row r="23" customHeight="1" spans="1:15">
      <c r="A23" s="31">
        <v>20</v>
      </c>
      <c r="B23" s="40" t="s">
        <v>639</v>
      </c>
      <c r="C23" s="41">
        <v>20230005171</v>
      </c>
      <c r="D23" s="1023" t="s">
        <v>1484</v>
      </c>
      <c r="E23" s="40" t="s">
        <v>1485</v>
      </c>
      <c r="F23" s="40"/>
      <c r="G23" s="40"/>
      <c r="H23" s="44" t="s">
        <v>1487</v>
      </c>
      <c r="I23" s="41">
        <v>146.97</v>
      </c>
      <c r="J23" s="41">
        <v>146.97</v>
      </c>
      <c r="K23" s="41">
        <v>6443.5</v>
      </c>
      <c r="L23" s="43">
        <v>947000</v>
      </c>
      <c r="N23" s="33">
        <f t="shared" si="0"/>
        <v>868807.339449541</v>
      </c>
      <c r="O23" s="33">
        <f t="shared" si="1"/>
        <v>78192.6605504588</v>
      </c>
    </row>
    <row r="24" customHeight="1" spans="1:15">
      <c r="A24" s="31">
        <v>21</v>
      </c>
      <c r="B24" s="40" t="s">
        <v>1346</v>
      </c>
      <c r="C24" s="41">
        <v>20230001343</v>
      </c>
      <c r="D24" s="1023" t="s">
        <v>1493</v>
      </c>
      <c r="E24" s="40" t="s">
        <v>1300</v>
      </c>
      <c r="F24" s="40"/>
      <c r="G24" s="40"/>
      <c r="H24" s="42" t="s">
        <v>1495</v>
      </c>
      <c r="I24" s="41">
        <v>137.77</v>
      </c>
      <c r="J24" s="41">
        <v>137.77</v>
      </c>
      <c r="K24" s="41">
        <v>6520</v>
      </c>
      <c r="L24" s="43">
        <v>898260</v>
      </c>
      <c r="N24" s="33">
        <f t="shared" si="0"/>
        <v>824091.743119266</v>
      </c>
      <c r="O24" s="33">
        <f t="shared" si="1"/>
        <v>74168.256880734</v>
      </c>
    </row>
    <row r="25" customHeight="1" spans="1:15">
      <c r="A25" s="31">
        <v>22</v>
      </c>
      <c r="B25" s="40" t="s">
        <v>587</v>
      </c>
      <c r="C25" s="41">
        <v>20230008632</v>
      </c>
      <c r="D25" s="1023" t="s">
        <v>1501</v>
      </c>
      <c r="E25" s="40" t="s">
        <v>1502</v>
      </c>
      <c r="F25" s="40"/>
      <c r="G25" s="40"/>
      <c r="H25" s="44" t="s">
        <v>1504</v>
      </c>
      <c r="I25" s="41">
        <v>140.29</v>
      </c>
      <c r="J25" s="41">
        <v>140.29</v>
      </c>
      <c r="K25" s="41">
        <v>7860</v>
      </c>
      <c r="L25" s="43">
        <v>1102679</v>
      </c>
      <c r="N25" s="33">
        <f t="shared" si="0"/>
        <v>1011632.11009174</v>
      </c>
      <c r="O25" s="33">
        <f t="shared" si="1"/>
        <v>91046.8899082569</v>
      </c>
    </row>
    <row r="26" customHeight="1" spans="1:15">
      <c r="A26" s="31">
        <v>23</v>
      </c>
      <c r="B26" s="40" t="s">
        <v>1442</v>
      </c>
      <c r="C26" s="41">
        <v>20230000901</v>
      </c>
      <c r="D26" s="1023" t="s">
        <v>1509</v>
      </c>
      <c r="E26" s="41" t="s">
        <v>1510</v>
      </c>
      <c r="F26" s="41"/>
      <c r="G26" s="41"/>
      <c r="H26" s="42" t="s">
        <v>1512</v>
      </c>
      <c r="I26" s="41">
        <v>140.89</v>
      </c>
      <c r="J26" s="41">
        <v>140.89</v>
      </c>
      <c r="K26" s="41">
        <v>7835</v>
      </c>
      <c r="L26" s="43">
        <v>1103873</v>
      </c>
      <c r="N26" s="33">
        <f t="shared" si="0"/>
        <v>1012727.52293578</v>
      </c>
      <c r="O26" s="33">
        <f t="shared" si="1"/>
        <v>91145.4770642202</v>
      </c>
    </row>
    <row r="27" customHeight="1" spans="1:15">
      <c r="A27" s="31">
        <v>24</v>
      </c>
      <c r="B27" s="40" t="s">
        <v>944</v>
      </c>
      <c r="C27" s="41">
        <v>20230006450</v>
      </c>
      <c r="D27" s="1023" t="s">
        <v>1517</v>
      </c>
      <c r="E27" s="41" t="s">
        <v>1518</v>
      </c>
      <c r="F27" s="41"/>
      <c r="G27" s="41"/>
      <c r="H27" s="44" t="s">
        <v>1520</v>
      </c>
      <c r="I27" s="41">
        <v>137.77</v>
      </c>
      <c r="J27" s="41">
        <v>137.77</v>
      </c>
      <c r="K27" s="41">
        <v>5618</v>
      </c>
      <c r="L27" s="43">
        <v>774000</v>
      </c>
      <c r="N27" s="33">
        <f t="shared" si="0"/>
        <v>710091.743119266</v>
      </c>
      <c r="O27" s="33">
        <f t="shared" si="1"/>
        <v>63908.256880734</v>
      </c>
    </row>
    <row r="28" customHeight="1" spans="1:15">
      <c r="A28" s="31">
        <v>25</v>
      </c>
      <c r="B28" s="40" t="s">
        <v>1137</v>
      </c>
      <c r="C28" s="41">
        <v>20230005822</v>
      </c>
      <c r="D28" s="1023" t="s">
        <v>1523</v>
      </c>
      <c r="E28" s="41" t="s">
        <v>1524</v>
      </c>
      <c r="F28" s="41"/>
      <c r="G28" s="41"/>
      <c r="H28" s="42" t="s">
        <v>1525</v>
      </c>
      <c r="I28" s="41">
        <v>138.26</v>
      </c>
      <c r="J28" s="41">
        <v>138.26</v>
      </c>
      <c r="K28" s="41">
        <v>5240</v>
      </c>
      <c r="L28" s="43">
        <v>724482</v>
      </c>
      <c r="N28" s="33">
        <f t="shared" si="0"/>
        <v>664662.385321101</v>
      </c>
      <c r="O28" s="33">
        <f t="shared" si="1"/>
        <v>59819.6146788992</v>
      </c>
    </row>
    <row r="29" customHeight="1" spans="1:15">
      <c r="A29" s="31">
        <v>26</v>
      </c>
      <c r="B29" s="40" t="s">
        <v>1481</v>
      </c>
      <c r="C29" s="41">
        <v>20230001075</v>
      </c>
      <c r="D29" s="1023" t="s">
        <v>1531</v>
      </c>
      <c r="E29" s="41" t="s">
        <v>1532</v>
      </c>
      <c r="F29" s="41"/>
      <c r="G29" s="41"/>
      <c r="H29" s="44" t="s">
        <v>1534</v>
      </c>
      <c r="I29" s="41">
        <v>137.77</v>
      </c>
      <c r="J29" s="41">
        <v>137.77</v>
      </c>
      <c r="K29" s="41">
        <v>5258</v>
      </c>
      <c r="L29" s="43">
        <v>724395</v>
      </c>
      <c r="N29" s="33">
        <f t="shared" si="0"/>
        <v>664582.568807339</v>
      </c>
      <c r="O29" s="33">
        <f t="shared" si="1"/>
        <v>59812.4311926606</v>
      </c>
    </row>
    <row r="30" customHeight="1" spans="1:15">
      <c r="A30" s="31">
        <v>27</v>
      </c>
      <c r="B30" s="40" t="s">
        <v>763</v>
      </c>
      <c r="C30" s="41">
        <v>20230001692</v>
      </c>
      <c r="D30" s="41" t="s">
        <v>1540</v>
      </c>
      <c r="E30" s="40" t="s">
        <v>1541</v>
      </c>
      <c r="F30" s="40"/>
      <c r="G30" s="40"/>
      <c r="H30" s="44" t="s">
        <v>1543</v>
      </c>
      <c r="I30" s="41">
        <v>138.26</v>
      </c>
      <c r="J30" s="41">
        <v>138.26</v>
      </c>
      <c r="K30" s="41">
        <v>5114.96</v>
      </c>
      <c r="L30" s="43">
        <v>707195</v>
      </c>
      <c r="N30" s="33">
        <f t="shared" si="0"/>
        <v>648802.752293578</v>
      </c>
      <c r="O30" s="33">
        <f t="shared" si="1"/>
        <v>58392.2477064221</v>
      </c>
    </row>
    <row r="31" customHeight="1" spans="1:15">
      <c r="A31" s="31">
        <v>28</v>
      </c>
      <c r="B31" s="41" t="s">
        <v>1347</v>
      </c>
      <c r="C31" s="41">
        <v>20230001440</v>
      </c>
      <c r="D31" s="46" t="s">
        <v>1548</v>
      </c>
      <c r="E31" s="49" t="s">
        <v>1325</v>
      </c>
      <c r="F31" s="49"/>
      <c r="G31" s="49"/>
      <c r="H31" s="44" t="s">
        <v>1549</v>
      </c>
      <c r="I31" s="41">
        <v>137.77</v>
      </c>
      <c r="J31" s="41">
        <v>137.77</v>
      </c>
      <c r="K31" s="41">
        <v>137.77</v>
      </c>
      <c r="L31" s="43">
        <v>728681</v>
      </c>
      <c r="N31" s="33">
        <f t="shared" si="0"/>
        <v>668514.678899082</v>
      </c>
      <c r="O31" s="33">
        <f t="shared" si="1"/>
        <v>60166.3211009175</v>
      </c>
    </row>
    <row r="32" customHeight="1" spans="1:15">
      <c r="A32" s="31">
        <v>29</v>
      </c>
      <c r="B32" s="41" t="s">
        <v>1347</v>
      </c>
      <c r="C32" s="50" t="s">
        <v>6722</v>
      </c>
      <c r="D32" s="46" t="s">
        <v>1552</v>
      </c>
      <c r="E32" s="49" t="s">
        <v>1553</v>
      </c>
      <c r="F32" s="49"/>
      <c r="G32" s="49"/>
      <c r="H32" s="42" t="s">
        <v>1554</v>
      </c>
      <c r="I32" s="41">
        <v>138.26</v>
      </c>
      <c r="J32" s="41">
        <v>138.26</v>
      </c>
      <c r="K32" s="41">
        <v>5268.63</v>
      </c>
      <c r="L32" s="43">
        <v>728441</v>
      </c>
      <c r="N32" s="33">
        <f t="shared" si="0"/>
        <v>668294.495412844</v>
      </c>
      <c r="O32" s="33">
        <f t="shared" si="1"/>
        <v>60146.504587156</v>
      </c>
    </row>
    <row r="33" customHeight="1" spans="1:15">
      <c r="A33" s="31">
        <v>30</v>
      </c>
      <c r="B33" s="41" t="s">
        <v>1377</v>
      </c>
      <c r="C33" s="50" t="s">
        <v>6723</v>
      </c>
      <c r="D33" s="1023" t="s">
        <v>1560</v>
      </c>
      <c r="E33" s="40" t="s">
        <v>1561</v>
      </c>
      <c r="F33" s="40"/>
      <c r="G33" s="40"/>
      <c r="H33" s="42" t="s">
        <v>1562</v>
      </c>
      <c r="I33" s="41">
        <v>137.77</v>
      </c>
      <c r="J33" s="41">
        <v>137.77</v>
      </c>
      <c r="K33" s="41">
        <v>5220</v>
      </c>
      <c r="L33" s="43">
        <v>719159</v>
      </c>
      <c r="N33" s="33">
        <f t="shared" si="0"/>
        <v>659778.899082569</v>
      </c>
      <c r="O33" s="33">
        <f t="shared" si="1"/>
        <v>59380.1009174313</v>
      </c>
    </row>
    <row r="34" customHeight="1" spans="1:15">
      <c r="A34" s="31">
        <v>31</v>
      </c>
      <c r="B34" s="41" t="s">
        <v>1442</v>
      </c>
      <c r="C34" s="50" t="s">
        <v>6724</v>
      </c>
      <c r="D34" s="46" t="s">
        <v>1567</v>
      </c>
      <c r="E34" s="40" t="s">
        <v>1568</v>
      </c>
      <c r="F34" s="40"/>
      <c r="G34" s="40"/>
      <c r="H34" s="44" t="s">
        <v>1570</v>
      </c>
      <c r="I34" s="41">
        <v>138.26</v>
      </c>
      <c r="J34" s="41">
        <v>138.26</v>
      </c>
      <c r="K34" s="41">
        <v>5194.96</v>
      </c>
      <c r="L34" s="43">
        <v>718256</v>
      </c>
      <c r="N34" s="33">
        <f t="shared" si="0"/>
        <v>658950.458715596</v>
      </c>
      <c r="O34" s="33">
        <f t="shared" si="1"/>
        <v>59305.5412844038</v>
      </c>
    </row>
    <row r="35" customHeight="1" spans="1:15">
      <c r="A35" s="31">
        <v>32</v>
      </c>
      <c r="B35" s="50" t="s">
        <v>447</v>
      </c>
      <c r="C35" s="50" t="s">
        <v>6725</v>
      </c>
      <c r="D35" s="1023" t="s">
        <v>1576</v>
      </c>
      <c r="E35" s="49" t="s">
        <v>1577</v>
      </c>
      <c r="F35" s="49"/>
      <c r="G35" s="49"/>
      <c r="H35" s="42" t="s">
        <v>1579</v>
      </c>
      <c r="I35" s="41">
        <v>137.77</v>
      </c>
      <c r="J35" s="41">
        <v>137.77</v>
      </c>
      <c r="K35" s="41">
        <v>5259.96</v>
      </c>
      <c r="L35" s="43">
        <v>724665</v>
      </c>
      <c r="N35" s="33">
        <f t="shared" si="0"/>
        <v>664830.275229358</v>
      </c>
      <c r="O35" s="33">
        <f t="shared" si="1"/>
        <v>59834.7247706422</v>
      </c>
    </row>
    <row r="36" customHeight="1" spans="1:15">
      <c r="A36" s="31">
        <v>33</v>
      </c>
      <c r="B36" s="41" t="s">
        <v>1573</v>
      </c>
      <c r="C36" s="41">
        <v>20230002636</v>
      </c>
      <c r="D36" s="46" t="s">
        <v>1583</v>
      </c>
      <c r="E36" s="49" t="s">
        <v>1308</v>
      </c>
      <c r="F36" s="49"/>
      <c r="G36" s="49"/>
      <c r="H36" s="44" t="s">
        <v>1585</v>
      </c>
      <c r="I36" s="41">
        <v>138.26</v>
      </c>
      <c r="J36" s="41">
        <v>138.26</v>
      </c>
      <c r="K36" s="41">
        <v>5238.96</v>
      </c>
      <c r="L36" s="43">
        <v>724477</v>
      </c>
      <c r="N36" s="33">
        <f t="shared" si="0"/>
        <v>664657.798165138</v>
      </c>
      <c r="O36" s="33">
        <f t="shared" si="1"/>
        <v>59819.2018348625</v>
      </c>
    </row>
    <row r="37" customHeight="1" spans="1:15">
      <c r="A37" s="31">
        <v>34</v>
      </c>
      <c r="B37" s="41" t="s">
        <v>1347</v>
      </c>
      <c r="C37" s="41">
        <v>20230001427</v>
      </c>
      <c r="D37" s="46" t="s">
        <v>1593</v>
      </c>
      <c r="E37" s="49" t="s">
        <v>1594</v>
      </c>
      <c r="F37" s="49"/>
      <c r="G37" s="49"/>
      <c r="H37" s="42" t="s">
        <v>1596</v>
      </c>
      <c r="I37" s="41">
        <v>137.77</v>
      </c>
      <c r="J37" s="41">
        <v>137.77</v>
      </c>
      <c r="K37" s="41">
        <v>5304.96</v>
      </c>
      <c r="L37" s="43">
        <v>730865</v>
      </c>
      <c r="N37" s="33">
        <f t="shared" si="0"/>
        <v>670518.348623853</v>
      </c>
      <c r="O37" s="33">
        <f t="shared" si="1"/>
        <v>60346.6513761468</v>
      </c>
    </row>
    <row r="38" customHeight="1" spans="1:15">
      <c r="A38" s="31">
        <v>35</v>
      </c>
      <c r="B38" s="41" t="s">
        <v>1481</v>
      </c>
      <c r="C38" s="51" t="s">
        <v>6726</v>
      </c>
      <c r="D38" s="46" t="s">
        <v>1601</v>
      </c>
      <c r="E38" s="49" t="s">
        <v>1602</v>
      </c>
      <c r="F38" s="49"/>
      <c r="G38" s="49"/>
      <c r="H38" s="44" t="s">
        <v>1604</v>
      </c>
      <c r="I38" s="41">
        <v>138.26</v>
      </c>
      <c r="J38" s="41">
        <v>138.26</v>
      </c>
      <c r="K38" s="41">
        <v>5284.96</v>
      </c>
      <c r="L38" s="48">
        <v>730699</v>
      </c>
      <c r="N38" s="33">
        <f t="shared" si="0"/>
        <v>670366.055045872</v>
      </c>
      <c r="O38" s="33">
        <f t="shared" si="1"/>
        <v>60332.9449541285</v>
      </c>
    </row>
    <row r="39" customHeight="1" spans="1:15">
      <c r="A39" s="31">
        <v>36</v>
      </c>
      <c r="B39" s="41" t="s">
        <v>1346</v>
      </c>
      <c r="C39" s="51" t="s">
        <v>6727</v>
      </c>
      <c r="D39" s="46" t="s">
        <v>1611</v>
      </c>
      <c r="E39" s="49" t="s">
        <v>1612</v>
      </c>
      <c r="F39" s="49"/>
      <c r="G39" s="49"/>
      <c r="H39" s="42" t="s">
        <v>1614</v>
      </c>
      <c r="I39" s="41">
        <v>137.77</v>
      </c>
      <c r="J39" s="41">
        <v>137.77</v>
      </c>
      <c r="K39" s="41">
        <v>5329.96</v>
      </c>
      <c r="L39" s="48">
        <v>734309</v>
      </c>
      <c r="N39" s="33">
        <f t="shared" si="0"/>
        <v>673677.981651376</v>
      </c>
      <c r="O39" s="33">
        <f t="shared" si="1"/>
        <v>60631.0183486239</v>
      </c>
    </row>
    <row r="40" customHeight="1" spans="1:15">
      <c r="A40" s="31">
        <v>37</v>
      </c>
      <c r="B40" s="41" t="s">
        <v>1628</v>
      </c>
      <c r="C40" s="51" t="s">
        <v>6728</v>
      </c>
      <c r="D40" s="46" t="s">
        <v>1620</v>
      </c>
      <c r="E40" s="49" t="s">
        <v>1621</v>
      </c>
      <c r="F40" s="49"/>
      <c r="G40" s="49"/>
      <c r="H40" s="44" t="s">
        <v>1623</v>
      </c>
      <c r="I40" s="41">
        <v>138.26</v>
      </c>
      <c r="J40" s="41">
        <v>138.26</v>
      </c>
      <c r="K40" s="41">
        <v>5309.96</v>
      </c>
      <c r="L40" s="48">
        <v>734155</v>
      </c>
      <c r="N40" s="33">
        <f t="shared" si="0"/>
        <v>673536.697247706</v>
      </c>
      <c r="O40" s="33">
        <f t="shared" si="1"/>
        <v>60618.3027522936</v>
      </c>
    </row>
    <row r="41" customHeight="1" spans="1:15">
      <c r="A41" s="31">
        <v>38</v>
      </c>
      <c r="B41" s="41" t="s">
        <v>1383</v>
      </c>
      <c r="C41" s="41">
        <v>20230000663</v>
      </c>
      <c r="D41" s="46" t="s">
        <v>1630</v>
      </c>
      <c r="E41" s="49" t="s">
        <v>1631</v>
      </c>
      <c r="F41" s="49"/>
      <c r="G41" s="49"/>
      <c r="H41" s="42" t="s">
        <v>1633</v>
      </c>
      <c r="I41" s="41">
        <v>137.77</v>
      </c>
      <c r="J41" s="41">
        <v>137.77</v>
      </c>
      <c r="K41" s="41">
        <v>5374.96</v>
      </c>
      <c r="L41" s="48">
        <v>740509</v>
      </c>
      <c r="N41" s="33">
        <f t="shared" si="0"/>
        <v>679366.055045872</v>
      </c>
      <c r="O41" s="33">
        <f t="shared" si="1"/>
        <v>61142.9449541285</v>
      </c>
    </row>
    <row r="42" customHeight="1" spans="1:15">
      <c r="A42" s="31">
        <v>39</v>
      </c>
      <c r="B42" s="41" t="s">
        <v>1481</v>
      </c>
      <c r="C42" s="51" t="s">
        <v>6729</v>
      </c>
      <c r="D42" s="46" t="s">
        <v>1638</v>
      </c>
      <c r="E42" s="49" t="s">
        <v>1639</v>
      </c>
      <c r="F42" s="49"/>
      <c r="G42" s="49"/>
      <c r="H42" s="44" t="s">
        <v>1641</v>
      </c>
      <c r="I42" s="41">
        <v>138.26</v>
      </c>
      <c r="J42" s="41">
        <v>138.26</v>
      </c>
      <c r="K42" s="41">
        <v>5354.96</v>
      </c>
      <c r="L42" s="48">
        <v>740377</v>
      </c>
      <c r="N42" s="33">
        <f t="shared" si="0"/>
        <v>679244.95412844</v>
      </c>
      <c r="O42" s="33">
        <f t="shared" si="1"/>
        <v>61132.0458715596</v>
      </c>
    </row>
    <row r="43" customHeight="1" spans="1:15">
      <c r="A43" s="31">
        <v>40</v>
      </c>
      <c r="B43" s="41" t="s">
        <v>1481</v>
      </c>
      <c r="C43" s="51" t="s">
        <v>6730</v>
      </c>
      <c r="D43" s="46" t="s">
        <v>1647</v>
      </c>
      <c r="E43" s="52" t="s">
        <v>6731</v>
      </c>
      <c r="F43" s="52"/>
      <c r="G43" s="52"/>
      <c r="H43" s="42" t="s">
        <v>1649</v>
      </c>
      <c r="I43" s="41">
        <v>137.77</v>
      </c>
      <c r="J43" s="41">
        <v>137.77</v>
      </c>
      <c r="K43" s="41">
        <v>5538.22</v>
      </c>
      <c r="L43" s="48">
        <v>763000</v>
      </c>
      <c r="N43" s="33">
        <f t="shared" si="0"/>
        <v>700000</v>
      </c>
      <c r="O43" s="33">
        <f t="shared" si="1"/>
        <v>63000</v>
      </c>
    </row>
    <row r="44" customHeight="1" spans="1:15">
      <c r="A44" s="31">
        <v>41</v>
      </c>
      <c r="B44" s="41" t="s">
        <v>1347</v>
      </c>
      <c r="C44" s="51" t="s">
        <v>6732</v>
      </c>
      <c r="D44" s="53" t="s">
        <v>1652</v>
      </c>
      <c r="E44" s="52" t="s">
        <v>1653</v>
      </c>
      <c r="F44" s="52"/>
      <c r="G44" s="52"/>
      <c r="H44" s="44" t="s">
        <v>1654</v>
      </c>
      <c r="I44" s="41">
        <v>138.26</v>
      </c>
      <c r="J44" s="41">
        <v>138.26</v>
      </c>
      <c r="K44" s="41">
        <v>5520.02</v>
      </c>
      <c r="L44" s="48">
        <v>763198</v>
      </c>
      <c r="N44" s="33">
        <f t="shared" si="0"/>
        <v>700181.651376147</v>
      </c>
      <c r="O44" s="33">
        <f t="shared" si="1"/>
        <v>63016.3486238533</v>
      </c>
    </row>
    <row r="45" customHeight="1" spans="1:15">
      <c r="A45" s="31">
        <v>42</v>
      </c>
      <c r="B45" s="41" t="s">
        <v>1669</v>
      </c>
      <c r="C45" s="51" t="s">
        <v>6733</v>
      </c>
      <c r="D45" s="46" t="s">
        <v>1659</v>
      </c>
      <c r="E45" s="52" t="s">
        <v>1660</v>
      </c>
      <c r="F45" s="52"/>
      <c r="G45" s="52"/>
      <c r="H45" s="42" t="s">
        <v>1662</v>
      </c>
      <c r="I45" s="41">
        <v>137.77</v>
      </c>
      <c r="J45" s="41">
        <v>137.77</v>
      </c>
      <c r="K45" s="41">
        <v>6482</v>
      </c>
      <c r="L45" s="48">
        <v>893025</v>
      </c>
      <c r="N45" s="33">
        <f t="shared" si="0"/>
        <v>819288.990825688</v>
      </c>
      <c r="O45" s="33">
        <f t="shared" si="1"/>
        <v>73736.009174312</v>
      </c>
    </row>
    <row r="46" customHeight="1" spans="1:15">
      <c r="A46" s="31">
        <v>43</v>
      </c>
      <c r="B46" s="41" t="s">
        <v>1118</v>
      </c>
      <c r="C46" s="51" t="s">
        <v>6734</v>
      </c>
      <c r="D46" s="46" t="s">
        <v>1672</v>
      </c>
      <c r="E46" s="52" t="s">
        <v>1673</v>
      </c>
      <c r="F46" s="52"/>
      <c r="G46" s="52"/>
      <c r="H46" s="42" t="s">
        <v>1675</v>
      </c>
      <c r="I46" s="41">
        <v>138.26</v>
      </c>
      <c r="J46" s="41">
        <v>138.26</v>
      </c>
      <c r="K46" s="41">
        <v>6609</v>
      </c>
      <c r="L46" s="43">
        <v>913760</v>
      </c>
      <c r="N46" s="33">
        <f t="shared" si="0"/>
        <v>838311.926605504</v>
      </c>
      <c r="O46" s="33">
        <f t="shared" si="1"/>
        <v>75448.0733944955</v>
      </c>
    </row>
    <row r="47" customHeight="1" spans="1:15">
      <c r="A47" s="31">
        <v>44</v>
      </c>
      <c r="B47" s="41" t="s">
        <v>1715</v>
      </c>
      <c r="C47" s="51" t="s">
        <v>6735</v>
      </c>
      <c r="D47" s="46" t="s">
        <v>1707</v>
      </c>
      <c r="E47" s="46" t="s">
        <v>1708</v>
      </c>
      <c r="F47" s="46"/>
      <c r="G47" s="46"/>
      <c r="H47" s="42" t="s">
        <v>1710</v>
      </c>
      <c r="I47" s="41">
        <v>117.5</v>
      </c>
      <c r="J47" s="41">
        <v>117.5</v>
      </c>
      <c r="K47" s="41">
        <v>8050</v>
      </c>
      <c r="L47" s="48">
        <v>945875</v>
      </c>
      <c r="N47" s="33">
        <f t="shared" si="0"/>
        <v>867775.229357798</v>
      </c>
      <c r="O47" s="33">
        <f t="shared" si="1"/>
        <v>78099.7706422019</v>
      </c>
    </row>
    <row r="48" customHeight="1" spans="1:15">
      <c r="A48" s="31">
        <v>45</v>
      </c>
      <c r="B48" s="54">
        <v>45520</v>
      </c>
      <c r="C48" s="46" t="s">
        <v>6736</v>
      </c>
      <c r="D48" s="46" t="s">
        <v>1724</v>
      </c>
      <c r="E48" s="52" t="s">
        <v>1725</v>
      </c>
      <c r="F48" s="52"/>
      <c r="G48" s="52"/>
      <c r="H48" s="42" t="s">
        <v>1726</v>
      </c>
      <c r="I48" s="41">
        <v>115.94</v>
      </c>
      <c r="J48" s="41">
        <v>115.94</v>
      </c>
      <c r="K48" s="41">
        <v>6190.71071243747</v>
      </c>
      <c r="L48" s="48">
        <v>717751</v>
      </c>
      <c r="N48" s="33">
        <f t="shared" si="0"/>
        <v>658487.155963303</v>
      </c>
      <c r="O48" s="33">
        <f t="shared" si="1"/>
        <v>59263.8440366973</v>
      </c>
    </row>
    <row r="49" customHeight="1" spans="1:15">
      <c r="A49" s="31">
        <v>46</v>
      </c>
      <c r="B49" s="41" t="s">
        <v>2507</v>
      </c>
      <c r="C49" s="51" t="s">
        <v>6737</v>
      </c>
      <c r="D49" s="46" t="s">
        <v>1728</v>
      </c>
      <c r="E49" s="52" t="s">
        <v>1729</v>
      </c>
      <c r="F49" s="52"/>
      <c r="G49" s="52"/>
      <c r="H49" s="44" t="s">
        <v>1730</v>
      </c>
      <c r="I49" s="41">
        <v>115.58</v>
      </c>
      <c r="J49" s="41">
        <v>115.58</v>
      </c>
      <c r="K49" s="41">
        <v>5600</v>
      </c>
      <c r="L49" s="48">
        <v>647248</v>
      </c>
      <c r="N49" s="33">
        <f t="shared" si="0"/>
        <v>593805.504587156</v>
      </c>
      <c r="O49" s="33">
        <f t="shared" si="1"/>
        <v>53442.4954128441</v>
      </c>
    </row>
    <row r="50" customHeight="1" spans="1:15">
      <c r="A50" s="31">
        <v>47</v>
      </c>
      <c r="B50" s="41">
        <v>2023.5</v>
      </c>
      <c r="C50" s="51" t="s">
        <v>6738</v>
      </c>
      <c r="D50" s="46" t="s">
        <v>1734</v>
      </c>
      <c r="E50" s="49" t="s">
        <v>1735</v>
      </c>
      <c r="F50" s="49"/>
      <c r="G50" s="49"/>
      <c r="H50" s="42" t="s">
        <v>1737</v>
      </c>
      <c r="I50" s="41">
        <v>115.94</v>
      </c>
      <c r="J50" s="41">
        <v>115.94</v>
      </c>
      <c r="K50" s="41">
        <v>5373.61</v>
      </c>
      <c r="L50" s="48">
        <v>623016</v>
      </c>
      <c r="N50" s="33">
        <f t="shared" si="0"/>
        <v>571574.311926605</v>
      </c>
      <c r="O50" s="33">
        <f t="shared" si="1"/>
        <v>51441.6880733946</v>
      </c>
    </row>
    <row r="51" customHeight="1" spans="1:15">
      <c r="A51" s="31">
        <v>48</v>
      </c>
      <c r="B51" s="41" t="s">
        <v>1752</v>
      </c>
      <c r="C51" s="51" t="s">
        <v>6739</v>
      </c>
      <c r="D51" s="1023" t="s">
        <v>1745</v>
      </c>
      <c r="E51" s="49" t="s">
        <v>1746</v>
      </c>
      <c r="F51" s="49"/>
      <c r="G51" s="49"/>
      <c r="H51" s="44" t="s">
        <v>1748</v>
      </c>
      <c r="I51" s="41">
        <v>115.58</v>
      </c>
      <c r="J51" s="41">
        <v>115.58</v>
      </c>
      <c r="K51" s="41">
        <v>5382.96</v>
      </c>
      <c r="L51" s="48">
        <v>622162</v>
      </c>
      <c r="N51" s="33">
        <f t="shared" si="0"/>
        <v>570790.825688073</v>
      </c>
      <c r="O51" s="33">
        <f t="shared" si="1"/>
        <v>51371.1743119267</v>
      </c>
    </row>
    <row r="52" customHeight="1" spans="1:15">
      <c r="A52" s="31">
        <v>49</v>
      </c>
      <c r="B52" s="41" t="s">
        <v>1346</v>
      </c>
      <c r="C52" s="51" t="s">
        <v>6740</v>
      </c>
      <c r="D52" s="46" t="s">
        <v>1754</v>
      </c>
      <c r="E52" s="52" t="s">
        <v>1755</v>
      </c>
      <c r="F52" s="52"/>
      <c r="G52" s="52"/>
      <c r="H52" s="42" t="s">
        <v>1757</v>
      </c>
      <c r="I52" s="41">
        <v>115.94</v>
      </c>
      <c r="J52" s="41">
        <v>115.94</v>
      </c>
      <c r="K52" s="41">
        <v>5167.38</v>
      </c>
      <c r="L52" s="48">
        <v>599106</v>
      </c>
      <c r="N52" s="33">
        <f t="shared" si="0"/>
        <v>549638.532110092</v>
      </c>
      <c r="O52" s="33">
        <f t="shared" si="1"/>
        <v>49467.4678899084</v>
      </c>
    </row>
    <row r="53" customHeight="1" spans="1:15">
      <c r="A53" s="31">
        <v>50</v>
      </c>
      <c r="B53" s="41" t="s">
        <v>1377</v>
      </c>
      <c r="C53" s="50" t="s">
        <v>6741</v>
      </c>
      <c r="D53" s="46" t="s">
        <v>1764</v>
      </c>
      <c r="E53" s="52" t="s">
        <v>1765</v>
      </c>
      <c r="F53" s="52"/>
      <c r="G53" s="52"/>
      <c r="H53" s="44" t="s">
        <v>1767</v>
      </c>
      <c r="I53" s="41">
        <v>115.58</v>
      </c>
      <c r="J53" s="41">
        <v>115.58</v>
      </c>
      <c r="K53" s="41">
        <v>5176.38</v>
      </c>
      <c r="L53" s="43">
        <v>598286</v>
      </c>
      <c r="N53" s="33">
        <f t="shared" si="0"/>
        <v>548886.23853211</v>
      </c>
      <c r="O53" s="33">
        <f t="shared" si="1"/>
        <v>49399.76146789</v>
      </c>
    </row>
    <row r="54" customHeight="1" spans="1:15">
      <c r="A54" s="31">
        <v>51</v>
      </c>
      <c r="B54" s="41" t="s">
        <v>1442</v>
      </c>
      <c r="C54" s="51" t="s">
        <v>6742</v>
      </c>
      <c r="D54" s="46" t="s">
        <v>1773</v>
      </c>
      <c r="E54" s="49" t="s">
        <v>1774</v>
      </c>
      <c r="F54" s="49"/>
      <c r="G54" s="49"/>
      <c r="H54" s="42" t="s">
        <v>1775</v>
      </c>
      <c r="I54" s="41">
        <v>115.94</v>
      </c>
      <c r="J54" s="41">
        <v>115.94</v>
      </c>
      <c r="K54" s="41">
        <v>5338.51</v>
      </c>
      <c r="L54" s="48">
        <v>618947</v>
      </c>
      <c r="N54" s="33">
        <f t="shared" si="0"/>
        <v>567841.28440367</v>
      </c>
      <c r="O54" s="33">
        <f t="shared" si="1"/>
        <v>51105.7155963304</v>
      </c>
    </row>
    <row r="55" customHeight="1" spans="1:15">
      <c r="A55" s="31">
        <v>52</v>
      </c>
      <c r="B55" s="41" t="s">
        <v>1481</v>
      </c>
      <c r="C55" s="51" t="s">
        <v>6743</v>
      </c>
      <c r="D55" s="46" t="s">
        <v>1778</v>
      </c>
      <c r="E55" s="49" t="s">
        <v>1779</v>
      </c>
      <c r="F55" s="49"/>
      <c r="G55" s="49"/>
      <c r="H55" s="44" t="s">
        <v>1780</v>
      </c>
      <c r="I55" s="41">
        <v>115.58</v>
      </c>
      <c r="J55" s="41">
        <v>115.58</v>
      </c>
      <c r="K55" s="41">
        <v>5226.39</v>
      </c>
      <c r="L55" s="48">
        <v>604066</v>
      </c>
      <c r="N55" s="33">
        <f t="shared" si="0"/>
        <v>554188.990825688</v>
      </c>
      <c r="O55" s="33">
        <f t="shared" si="1"/>
        <v>49877.009174312</v>
      </c>
    </row>
    <row r="56" customHeight="1" spans="1:15">
      <c r="A56" s="31">
        <v>53</v>
      </c>
      <c r="B56" s="41" t="s">
        <v>1791</v>
      </c>
      <c r="C56" s="51" t="s">
        <v>6744</v>
      </c>
      <c r="D56" s="46" t="s">
        <v>1786</v>
      </c>
      <c r="E56" s="49" t="s">
        <v>1787</v>
      </c>
      <c r="F56" s="49"/>
      <c r="G56" s="49"/>
      <c r="H56" s="42" t="s">
        <v>1788</v>
      </c>
      <c r="I56" s="41">
        <v>115.94</v>
      </c>
      <c r="J56" s="41">
        <v>115.94</v>
      </c>
      <c r="K56" s="41">
        <v>5424.75</v>
      </c>
      <c r="L56" s="48">
        <v>628946</v>
      </c>
      <c r="N56" s="33">
        <f t="shared" si="0"/>
        <v>577014.678899082</v>
      </c>
      <c r="O56" s="33">
        <f t="shared" si="1"/>
        <v>51931.3211009175</v>
      </c>
    </row>
    <row r="57" customHeight="1" spans="1:15">
      <c r="A57" s="31">
        <v>54</v>
      </c>
      <c r="B57" s="41" t="s">
        <v>1481</v>
      </c>
      <c r="C57" s="51" t="s">
        <v>6745</v>
      </c>
      <c r="D57" s="46" t="s">
        <v>1793</v>
      </c>
      <c r="E57" s="49" t="s">
        <v>1794</v>
      </c>
      <c r="F57" s="49"/>
      <c r="G57" s="49"/>
      <c r="H57" s="44" t="s">
        <v>1796</v>
      </c>
      <c r="I57" s="41">
        <v>115.58</v>
      </c>
      <c r="J57" s="41">
        <v>115.58</v>
      </c>
      <c r="K57" s="41">
        <v>5271.38</v>
      </c>
      <c r="L57" s="48">
        <v>609266</v>
      </c>
      <c r="N57" s="33">
        <f t="shared" si="0"/>
        <v>558959.633027523</v>
      </c>
      <c r="O57" s="33">
        <f t="shared" si="1"/>
        <v>50306.3669724771</v>
      </c>
    </row>
    <row r="58" customHeight="1" spans="1:15">
      <c r="A58" s="31">
        <v>55</v>
      </c>
      <c r="B58" s="41" t="s">
        <v>1808</v>
      </c>
      <c r="C58" s="51" t="s">
        <v>6746</v>
      </c>
      <c r="D58" s="46" t="s">
        <v>1801</v>
      </c>
      <c r="E58" s="40" t="s">
        <v>1802</v>
      </c>
      <c r="F58" s="40"/>
      <c r="G58" s="40"/>
      <c r="H58" s="42" t="s">
        <v>1804</v>
      </c>
      <c r="I58" s="41">
        <v>115.94</v>
      </c>
      <c r="J58" s="41">
        <v>115.94</v>
      </c>
      <c r="K58" s="41">
        <v>5285.38</v>
      </c>
      <c r="L58" s="48">
        <v>612787</v>
      </c>
      <c r="N58" s="33">
        <f t="shared" si="0"/>
        <v>562189.908256881</v>
      </c>
      <c r="O58" s="33">
        <f t="shared" si="1"/>
        <v>50597.0917431193</v>
      </c>
    </row>
    <row r="59" customHeight="1" spans="1:15">
      <c r="A59" s="31">
        <v>56</v>
      </c>
      <c r="B59" s="41" t="s">
        <v>1791</v>
      </c>
      <c r="C59" s="51" t="s">
        <v>6747</v>
      </c>
      <c r="D59" s="46" t="s">
        <v>1811</v>
      </c>
      <c r="E59" s="40" t="s">
        <v>1812</v>
      </c>
      <c r="F59" s="40"/>
      <c r="G59" s="40"/>
      <c r="H59" s="42" t="s">
        <v>1814</v>
      </c>
      <c r="I59" s="41">
        <v>115.58</v>
      </c>
      <c r="J59" s="41">
        <v>115.58</v>
      </c>
      <c r="K59" s="41">
        <v>5316.38</v>
      </c>
      <c r="L59" s="48">
        <v>614468</v>
      </c>
      <c r="N59" s="33">
        <f t="shared" si="0"/>
        <v>563732.110091743</v>
      </c>
      <c r="O59" s="33">
        <f t="shared" si="1"/>
        <v>50735.8899082569</v>
      </c>
    </row>
    <row r="60" customHeight="1" spans="1:15">
      <c r="A60" s="31">
        <v>57</v>
      </c>
      <c r="B60" s="41" t="s">
        <v>1346</v>
      </c>
      <c r="C60" s="51" t="s">
        <v>6748</v>
      </c>
      <c r="D60" s="46" t="s">
        <v>1819</v>
      </c>
      <c r="E60" s="40" t="s">
        <v>1820</v>
      </c>
      <c r="F60" s="40"/>
      <c r="G60" s="40"/>
      <c r="H60" s="42" t="s">
        <v>1821</v>
      </c>
      <c r="I60" s="41">
        <v>115.94</v>
      </c>
      <c r="J60" s="41">
        <v>115.94</v>
      </c>
      <c r="K60" s="41">
        <v>5412.4</v>
      </c>
      <c r="L60" s="48">
        <v>627514</v>
      </c>
      <c r="N60" s="33">
        <f t="shared" si="0"/>
        <v>575700.917431193</v>
      </c>
      <c r="O60" s="33">
        <f t="shared" si="1"/>
        <v>51813.0825688074</v>
      </c>
    </row>
    <row r="61" customHeight="1" spans="1:15">
      <c r="A61" s="31">
        <v>58</v>
      </c>
      <c r="B61" s="41" t="s">
        <v>1416</v>
      </c>
      <c r="C61" s="51" t="s">
        <v>6749</v>
      </c>
      <c r="D61" s="46" t="s">
        <v>1824</v>
      </c>
      <c r="E61" s="40" t="s">
        <v>1825</v>
      </c>
      <c r="F61" s="40"/>
      <c r="G61" s="40"/>
      <c r="H61" s="42" t="s">
        <v>1827</v>
      </c>
      <c r="I61" s="41">
        <v>115.58</v>
      </c>
      <c r="J61" s="41">
        <v>115.58</v>
      </c>
      <c r="K61" s="41">
        <v>5341.38</v>
      </c>
      <c r="L61" s="48">
        <v>617357</v>
      </c>
      <c r="N61" s="33">
        <f t="shared" si="0"/>
        <v>566382.568807339</v>
      </c>
      <c r="O61" s="33">
        <f t="shared" si="1"/>
        <v>50974.4311926606</v>
      </c>
    </row>
    <row r="62" customHeight="1" spans="1:15">
      <c r="A62" s="31">
        <v>59</v>
      </c>
      <c r="B62" s="41" t="s">
        <v>1377</v>
      </c>
      <c r="C62" s="51" t="s">
        <v>6750</v>
      </c>
      <c r="D62" s="46" t="s">
        <v>1832</v>
      </c>
      <c r="E62" s="41" t="s">
        <v>1833</v>
      </c>
      <c r="F62" s="41"/>
      <c r="G62" s="41"/>
      <c r="H62" s="44" t="s">
        <v>1835</v>
      </c>
      <c r="I62" s="41">
        <v>115.94</v>
      </c>
      <c r="J62" s="41">
        <v>115.94</v>
      </c>
      <c r="K62" s="41">
        <v>5377.38</v>
      </c>
      <c r="L62" s="48">
        <v>623454</v>
      </c>
      <c r="N62" s="33">
        <f t="shared" si="0"/>
        <v>571976.146788991</v>
      </c>
      <c r="O62" s="33">
        <f t="shared" si="1"/>
        <v>51477.8532110092</v>
      </c>
    </row>
    <row r="63" customHeight="1" spans="1:15">
      <c r="A63" s="31">
        <v>60</v>
      </c>
      <c r="B63" s="41" t="s">
        <v>1377</v>
      </c>
      <c r="C63" s="51" t="s">
        <v>6751</v>
      </c>
      <c r="D63" s="46" t="s">
        <v>1841</v>
      </c>
      <c r="E63" s="40" t="s">
        <v>1684</v>
      </c>
      <c r="F63" s="40"/>
      <c r="G63" s="40"/>
      <c r="H63" s="42" t="s">
        <v>1842</v>
      </c>
      <c r="I63" s="41">
        <v>115.58</v>
      </c>
      <c r="J63" s="41">
        <v>115.58</v>
      </c>
      <c r="K63" s="41">
        <v>5534.04</v>
      </c>
      <c r="L63" s="48">
        <v>639625</v>
      </c>
      <c r="N63" s="33">
        <f t="shared" si="0"/>
        <v>586811.926605505</v>
      </c>
      <c r="O63" s="33">
        <f t="shared" si="1"/>
        <v>52813.0733944954</v>
      </c>
    </row>
    <row r="64" customHeight="1" spans="1:15">
      <c r="A64" s="31">
        <v>61</v>
      </c>
      <c r="B64" s="41" t="s">
        <v>1347</v>
      </c>
      <c r="C64" s="51" t="s">
        <v>6752</v>
      </c>
      <c r="D64" s="46" t="s">
        <v>1845</v>
      </c>
      <c r="E64" s="41" t="s">
        <v>1846</v>
      </c>
      <c r="F64" s="41"/>
      <c r="G64" s="41"/>
      <c r="H64" s="44" t="s">
        <v>1847</v>
      </c>
      <c r="I64" s="41">
        <v>115.94</v>
      </c>
      <c r="J64" s="41">
        <v>115.94</v>
      </c>
      <c r="K64" s="41">
        <v>5528.81</v>
      </c>
      <c r="L64" s="48">
        <v>641011</v>
      </c>
      <c r="N64" s="33">
        <f t="shared" si="0"/>
        <v>588083.486238532</v>
      </c>
      <c r="O64" s="33">
        <f t="shared" si="1"/>
        <v>52927.5137614679</v>
      </c>
    </row>
    <row r="65" customHeight="1" spans="1:15">
      <c r="A65" s="31">
        <v>62</v>
      </c>
      <c r="B65" s="41" t="s">
        <v>1416</v>
      </c>
      <c r="C65" s="51" t="s">
        <v>6753</v>
      </c>
      <c r="D65" s="46" t="s">
        <v>6754</v>
      </c>
      <c r="E65" s="41" t="s">
        <v>1850</v>
      </c>
      <c r="F65" s="41"/>
      <c r="G65" s="41"/>
      <c r="H65" s="42" t="s">
        <v>1852</v>
      </c>
      <c r="I65" s="41">
        <v>115.58</v>
      </c>
      <c r="J65" s="41">
        <v>115.58</v>
      </c>
      <c r="K65" s="41">
        <v>5406.38</v>
      </c>
      <c r="L65" s="48">
        <v>624870</v>
      </c>
      <c r="N65" s="33">
        <f t="shared" si="0"/>
        <v>573275.229357798</v>
      </c>
      <c r="O65" s="33">
        <f t="shared" si="1"/>
        <v>51594.7706422019</v>
      </c>
    </row>
    <row r="66" customHeight="1" spans="1:15">
      <c r="A66" s="31">
        <v>63</v>
      </c>
      <c r="B66" s="41" t="s">
        <v>1442</v>
      </c>
      <c r="C66" s="51" t="s">
        <v>6755</v>
      </c>
      <c r="D66" s="46" t="s">
        <v>1858</v>
      </c>
      <c r="E66" s="49" t="s">
        <v>1859</v>
      </c>
      <c r="F66" s="49"/>
      <c r="G66" s="49"/>
      <c r="H66" s="44" t="s">
        <v>1861</v>
      </c>
      <c r="I66" s="41">
        <v>115.94</v>
      </c>
      <c r="J66" s="41">
        <v>115.94</v>
      </c>
      <c r="K66" s="41">
        <v>6560.42</v>
      </c>
      <c r="L66" s="48">
        <v>760615</v>
      </c>
      <c r="N66" s="33">
        <f t="shared" si="0"/>
        <v>697811.926605505</v>
      </c>
      <c r="O66" s="33">
        <f t="shared" si="1"/>
        <v>62803.0733944954</v>
      </c>
    </row>
    <row r="67" customHeight="1" spans="1:15">
      <c r="A67" s="31">
        <v>64</v>
      </c>
      <c r="B67" s="41" t="s">
        <v>587</v>
      </c>
      <c r="C67" s="51" t="s">
        <v>6756</v>
      </c>
      <c r="D67" s="46" t="s">
        <v>1866</v>
      </c>
      <c r="E67" s="40" t="s">
        <v>1867</v>
      </c>
      <c r="F67" s="40"/>
      <c r="G67" s="40"/>
      <c r="H67" s="42" t="s">
        <v>1869</v>
      </c>
      <c r="I67" s="41">
        <v>115.58</v>
      </c>
      <c r="J67" s="41">
        <v>115.58</v>
      </c>
      <c r="K67" s="41">
        <v>6630</v>
      </c>
      <c r="L67" s="48">
        <v>766296</v>
      </c>
      <c r="N67" s="33">
        <f t="shared" si="0"/>
        <v>703023.853211009</v>
      </c>
      <c r="O67" s="33">
        <f t="shared" si="1"/>
        <v>63272.1467889908</v>
      </c>
    </row>
    <row r="68" customHeight="1" spans="1:15">
      <c r="A68" s="31">
        <v>65</v>
      </c>
      <c r="B68" s="41" t="s">
        <v>1879</v>
      </c>
      <c r="C68" s="51" t="s">
        <v>6757</v>
      </c>
      <c r="D68" s="46" t="s">
        <v>792</v>
      </c>
      <c r="E68" s="40" t="s">
        <v>1874</v>
      </c>
      <c r="F68" s="40"/>
      <c r="G68" s="40"/>
      <c r="H68" s="44" t="s">
        <v>1876</v>
      </c>
      <c r="I68" s="41">
        <v>117.14</v>
      </c>
      <c r="J68" s="41">
        <v>117.14</v>
      </c>
      <c r="K68" s="41">
        <v>8050</v>
      </c>
      <c r="L68" s="48">
        <v>942977</v>
      </c>
      <c r="N68" s="33">
        <f t="shared" ref="N68:N131" si="2">L68/1.09</f>
        <v>865116.513761468</v>
      </c>
      <c r="O68" s="33">
        <f t="shared" ref="O68:O131" si="3">L68-N68</f>
        <v>77860.4862385321</v>
      </c>
    </row>
    <row r="69" customHeight="1" spans="1:15">
      <c r="A69" s="31">
        <v>66</v>
      </c>
      <c r="B69" s="41" t="s">
        <v>1347</v>
      </c>
      <c r="C69" s="51" t="s">
        <v>6758</v>
      </c>
      <c r="D69" s="46" t="s">
        <v>1881</v>
      </c>
      <c r="E69" s="41" t="s">
        <v>1882</v>
      </c>
      <c r="F69" s="41"/>
      <c r="G69" s="41"/>
      <c r="H69" s="42" t="s">
        <v>1884</v>
      </c>
      <c r="I69" s="41">
        <v>116.67</v>
      </c>
      <c r="J69" s="41">
        <v>116.67</v>
      </c>
      <c r="K69" s="41">
        <v>8057</v>
      </c>
      <c r="L69" s="48">
        <v>940010</v>
      </c>
      <c r="N69" s="33">
        <f t="shared" si="2"/>
        <v>862394.495412844</v>
      </c>
      <c r="O69" s="33">
        <f t="shared" si="3"/>
        <v>77615.504587156</v>
      </c>
    </row>
    <row r="70" customHeight="1" spans="1:15">
      <c r="A70" s="31">
        <v>67</v>
      </c>
      <c r="B70" s="41" t="s">
        <v>3265</v>
      </c>
      <c r="C70" s="51" t="s">
        <v>6759</v>
      </c>
      <c r="D70" s="46" t="s">
        <v>1889</v>
      </c>
      <c r="E70" s="41" t="s">
        <v>1890</v>
      </c>
      <c r="F70" s="41"/>
      <c r="G70" s="41"/>
      <c r="H70" s="44" t="s">
        <v>1891</v>
      </c>
      <c r="I70" s="41">
        <v>115.58</v>
      </c>
      <c r="J70" s="41">
        <v>115.58</v>
      </c>
      <c r="K70" s="41">
        <v>5680</v>
      </c>
      <c r="L70" s="48">
        <v>656494</v>
      </c>
      <c r="N70" s="33">
        <f t="shared" si="2"/>
        <v>602288.073394495</v>
      </c>
      <c r="O70" s="33">
        <f t="shared" si="3"/>
        <v>54205.9266055046</v>
      </c>
    </row>
    <row r="71" customHeight="1" spans="1:15">
      <c r="A71" s="31">
        <v>68</v>
      </c>
      <c r="B71" s="41">
        <v>2023.6</v>
      </c>
      <c r="C71" s="51" t="s">
        <v>6760</v>
      </c>
      <c r="D71" s="46" t="s">
        <v>1895</v>
      </c>
      <c r="E71" s="41" t="s">
        <v>1896</v>
      </c>
      <c r="F71" s="41"/>
      <c r="G71" s="41"/>
      <c r="H71" s="42" t="s">
        <v>1898</v>
      </c>
      <c r="I71" s="41">
        <v>115.58</v>
      </c>
      <c r="J71" s="41">
        <v>115.58</v>
      </c>
      <c r="K71" s="41">
        <v>5623.32</v>
      </c>
      <c r="L71" s="48">
        <v>649944</v>
      </c>
      <c r="N71" s="33">
        <f t="shared" si="2"/>
        <v>596278.899082569</v>
      </c>
      <c r="O71" s="33">
        <f t="shared" si="3"/>
        <v>53665.1009174313</v>
      </c>
    </row>
    <row r="72" customHeight="1" spans="1:15">
      <c r="A72" s="31">
        <v>69</v>
      </c>
      <c r="B72" s="41" t="s">
        <v>2344</v>
      </c>
      <c r="C72" s="51" t="s">
        <v>6761</v>
      </c>
      <c r="D72" s="46" t="s">
        <v>1902</v>
      </c>
      <c r="E72" s="40" t="s">
        <v>1690</v>
      </c>
      <c r="F72" s="40"/>
      <c r="G72" s="40"/>
      <c r="H72" s="44" t="s">
        <v>1903</v>
      </c>
      <c r="I72" s="41">
        <v>115.58</v>
      </c>
      <c r="J72" s="41">
        <v>115.58</v>
      </c>
      <c r="K72" s="41">
        <v>5363.79</v>
      </c>
      <c r="L72" s="48">
        <v>619946</v>
      </c>
      <c r="N72" s="33">
        <f t="shared" si="2"/>
        <v>568757.798165138</v>
      </c>
      <c r="O72" s="33">
        <f t="shared" si="3"/>
        <v>51188.2018348625</v>
      </c>
    </row>
    <row r="73" customHeight="1" spans="1:15">
      <c r="A73" s="31">
        <v>70</v>
      </c>
      <c r="B73" s="41" t="s">
        <v>1416</v>
      </c>
      <c r="C73" s="51" t="s">
        <v>6762</v>
      </c>
      <c r="D73" s="46" t="s">
        <v>1907</v>
      </c>
      <c r="E73" s="40" t="s">
        <v>1908</v>
      </c>
      <c r="F73" s="40"/>
      <c r="G73" s="40"/>
      <c r="H73" s="42" t="s">
        <v>1909</v>
      </c>
      <c r="I73" s="41">
        <v>115.58</v>
      </c>
      <c r="J73" s="41">
        <v>115.58</v>
      </c>
      <c r="K73" s="41">
        <v>5284.66</v>
      </c>
      <c r="L73" s="48">
        <v>610801</v>
      </c>
      <c r="N73" s="33">
        <f t="shared" si="2"/>
        <v>560367.889908257</v>
      </c>
      <c r="O73" s="33">
        <f t="shared" si="3"/>
        <v>50433.1100917432</v>
      </c>
    </row>
    <row r="74" customHeight="1" spans="1:15">
      <c r="A74" s="31">
        <v>71</v>
      </c>
      <c r="B74" s="41" t="s">
        <v>1383</v>
      </c>
      <c r="C74" s="51" t="s">
        <v>6763</v>
      </c>
      <c r="D74" s="46" t="s">
        <v>1913</v>
      </c>
      <c r="E74" s="40" t="s">
        <v>1914</v>
      </c>
      <c r="F74" s="40"/>
      <c r="G74" s="40"/>
      <c r="H74" s="42" t="s">
        <v>1916</v>
      </c>
      <c r="I74" s="41">
        <v>115.58</v>
      </c>
      <c r="J74" s="41">
        <v>115.58</v>
      </c>
      <c r="K74" s="41">
        <v>5182.38</v>
      </c>
      <c r="L74" s="48">
        <v>598980</v>
      </c>
      <c r="N74" s="33">
        <f t="shared" si="2"/>
        <v>549522.935779816</v>
      </c>
      <c r="O74" s="33">
        <f t="shared" si="3"/>
        <v>49457.0642201835</v>
      </c>
    </row>
    <row r="75" customHeight="1" spans="1:15">
      <c r="A75" s="31">
        <v>72</v>
      </c>
      <c r="B75" s="41" t="s">
        <v>2210</v>
      </c>
      <c r="C75" s="51" t="s">
        <v>6764</v>
      </c>
      <c r="D75" s="46" t="s">
        <v>1922</v>
      </c>
      <c r="E75" s="40" t="s">
        <v>1694</v>
      </c>
      <c r="F75" s="40"/>
      <c r="G75" s="40"/>
      <c r="H75" s="42" t="s">
        <v>1924</v>
      </c>
      <c r="I75" s="41">
        <v>115.58</v>
      </c>
      <c r="J75" s="41">
        <v>115.58</v>
      </c>
      <c r="K75" s="41">
        <v>5380</v>
      </c>
      <c r="L75" s="48">
        <v>621820</v>
      </c>
      <c r="N75" s="33">
        <f t="shared" si="2"/>
        <v>570477.064220183</v>
      </c>
      <c r="O75" s="33">
        <f t="shared" si="3"/>
        <v>51342.9357798166</v>
      </c>
    </row>
    <row r="76" customHeight="1" spans="1:15">
      <c r="A76" s="31">
        <v>73</v>
      </c>
      <c r="B76" s="41" t="s">
        <v>1377</v>
      </c>
      <c r="C76" s="51" t="s">
        <v>6765</v>
      </c>
      <c r="D76" s="46" t="s">
        <v>1929</v>
      </c>
      <c r="E76" s="40" t="s">
        <v>1930</v>
      </c>
      <c r="F76" s="40"/>
      <c r="G76" s="40"/>
      <c r="H76" s="44" t="s">
        <v>1932</v>
      </c>
      <c r="I76" s="41">
        <v>115.58</v>
      </c>
      <c r="J76" s="41">
        <v>115.58</v>
      </c>
      <c r="K76" s="41">
        <v>5232.38</v>
      </c>
      <c r="L76" s="48">
        <v>604759</v>
      </c>
      <c r="N76" s="33">
        <f t="shared" si="2"/>
        <v>554824.770642202</v>
      </c>
      <c r="O76" s="33">
        <f t="shared" si="3"/>
        <v>49934.2293577982</v>
      </c>
    </row>
    <row r="77" customHeight="1" spans="1:15">
      <c r="A77" s="31">
        <v>74</v>
      </c>
      <c r="B77" s="41" t="s">
        <v>1506</v>
      </c>
      <c r="C77" s="51" t="s">
        <v>6766</v>
      </c>
      <c r="D77" s="55" t="s">
        <v>1937</v>
      </c>
      <c r="E77" s="40" t="s">
        <v>1938</v>
      </c>
      <c r="F77" s="40"/>
      <c r="G77" s="40"/>
      <c r="H77" s="42" t="s">
        <v>1939</v>
      </c>
      <c r="I77" s="41">
        <v>115.58</v>
      </c>
      <c r="J77" s="41">
        <v>115.58</v>
      </c>
      <c r="K77" s="41">
        <v>5238.39</v>
      </c>
      <c r="L77" s="48">
        <v>605453</v>
      </c>
      <c r="N77" s="33">
        <f t="shared" si="2"/>
        <v>555461.467889908</v>
      </c>
      <c r="O77" s="33">
        <f t="shared" si="3"/>
        <v>49991.5321100918</v>
      </c>
    </row>
    <row r="78" customHeight="1" spans="1:15">
      <c r="A78" s="31">
        <v>75</v>
      </c>
      <c r="B78" s="41" t="s">
        <v>1442</v>
      </c>
      <c r="C78" s="51" t="s">
        <v>6767</v>
      </c>
      <c r="D78" s="46" t="s">
        <v>1945</v>
      </c>
      <c r="E78" s="40" t="s">
        <v>1702</v>
      </c>
      <c r="F78" s="40"/>
      <c r="G78" s="40"/>
      <c r="H78" s="44" t="s">
        <v>1947</v>
      </c>
      <c r="I78" s="41">
        <v>115.58</v>
      </c>
      <c r="J78" s="41">
        <v>115.58</v>
      </c>
      <c r="K78" s="41">
        <v>5277.38</v>
      </c>
      <c r="L78" s="48">
        <v>609960</v>
      </c>
      <c r="N78" s="33">
        <f t="shared" si="2"/>
        <v>559596.330275229</v>
      </c>
      <c r="O78" s="33">
        <f t="shared" si="3"/>
        <v>50363.6697247707</v>
      </c>
    </row>
    <row r="79" customHeight="1" spans="1:15">
      <c r="A79" s="31">
        <v>76</v>
      </c>
      <c r="B79" s="41" t="s">
        <v>1416</v>
      </c>
      <c r="C79" s="51" t="s">
        <v>6768</v>
      </c>
      <c r="D79" s="46" t="s">
        <v>1952</v>
      </c>
      <c r="E79" s="49" t="s">
        <v>1704</v>
      </c>
      <c r="F79" s="49"/>
      <c r="G79" s="49"/>
      <c r="H79" s="42" t="s">
        <v>1954</v>
      </c>
      <c r="I79" s="41">
        <v>115.58</v>
      </c>
      <c r="J79" s="41">
        <v>115.58</v>
      </c>
      <c r="K79" s="41">
        <v>5283.38</v>
      </c>
      <c r="L79" s="48">
        <v>610653</v>
      </c>
      <c r="N79" s="33">
        <f t="shared" si="2"/>
        <v>560232.110091743</v>
      </c>
      <c r="O79" s="33">
        <f t="shared" si="3"/>
        <v>50420.8899082569</v>
      </c>
    </row>
    <row r="80" customHeight="1" spans="1:15">
      <c r="A80" s="31">
        <v>77</v>
      </c>
      <c r="B80" s="41" t="s">
        <v>1347</v>
      </c>
      <c r="C80" s="51" t="s">
        <v>6769</v>
      </c>
      <c r="D80" s="46" t="s">
        <v>1959</v>
      </c>
      <c r="E80" s="40" t="s">
        <v>1960</v>
      </c>
      <c r="F80" s="40"/>
      <c r="G80" s="40"/>
      <c r="H80" s="44" t="s">
        <v>1962</v>
      </c>
      <c r="I80" s="41">
        <v>115.58</v>
      </c>
      <c r="J80" s="41">
        <v>115.58</v>
      </c>
      <c r="K80" s="41">
        <v>5452.23</v>
      </c>
      <c r="L80" s="48">
        <v>630168</v>
      </c>
      <c r="N80" s="33">
        <f t="shared" si="2"/>
        <v>578135.779816514</v>
      </c>
      <c r="O80" s="33">
        <f t="shared" si="3"/>
        <v>52032.2201834862</v>
      </c>
    </row>
    <row r="81" customHeight="1" spans="1:15">
      <c r="A81" s="31">
        <v>78</v>
      </c>
      <c r="B81" s="41" t="s">
        <v>1416</v>
      </c>
      <c r="C81" s="51" t="s">
        <v>6770</v>
      </c>
      <c r="D81" s="55" t="s">
        <v>1966</v>
      </c>
      <c r="E81" s="40" t="s">
        <v>1967</v>
      </c>
      <c r="F81" s="40"/>
      <c r="G81" s="40"/>
      <c r="H81" s="42" t="s">
        <v>1969</v>
      </c>
      <c r="I81" s="41">
        <v>115.58</v>
      </c>
      <c r="J81" s="41">
        <v>115.58</v>
      </c>
      <c r="K81" s="41">
        <v>5328.38</v>
      </c>
      <c r="L81" s="48">
        <v>615855</v>
      </c>
      <c r="N81" s="33">
        <f t="shared" si="2"/>
        <v>565004.587155963</v>
      </c>
      <c r="O81" s="33">
        <f t="shared" si="3"/>
        <v>50850.4128440367</v>
      </c>
    </row>
    <row r="82" customHeight="1" spans="1:15">
      <c r="A82" s="31">
        <v>79</v>
      </c>
      <c r="B82" s="41">
        <v>2023.3</v>
      </c>
      <c r="C82" s="51" t="s">
        <v>6771</v>
      </c>
      <c r="D82" s="46" t="s">
        <v>1974</v>
      </c>
      <c r="E82" s="40" t="s">
        <v>1975</v>
      </c>
      <c r="F82" s="40"/>
      <c r="G82" s="40"/>
      <c r="H82" s="44" t="s">
        <v>1977</v>
      </c>
      <c r="I82" s="41">
        <v>115.58</v>
      </c>
      <c r="J82" s="41">
        <v>115.58</v>
      </c>
      <c r="K82" s="41">
        <v>5347.38</v>
      </c>
      <c r="L82" s="48">
        <v>618051</v>
      </c>
      <c r="N82" s="33">
        <f t="shared" si="2"/>
        <v>567019.266055046</v>
      </c>
      <c r="O82" s="33">
        <f t="shared" si="3"/>
        <v>51031.7339449541</v>
      </c>
    </row>
    <row r="83" customHeight="1" spans="1:15">
      <c r="A83" s="31">
        <v>80</v>
      </c>
      <c r="B83" s="41" t="s">
        <v>1377</v>
      </c>
      <c r="C83" s="51" t="s">
        <v>6772</v>
      </c>
      <c r="D83" s="46" t="s">
        <v>1983</v>
      </c>
      <c r="E83" s="40" t="s">
        <v>1984</v>
      </c>
      <c r="F83" s="40"/>
      <c r="G83" s="40"/>
      <c r="H83" s="42" t="s">
        <v>1986</v>
      </c>
      <c r="I83" s="41">
        <v>115.58</v>
      </c>
      <c r="J83" s="41">
        <v>115.58</v>
      </c>
      <c r="K83" s="41">
        <v>5353.38</v>
      </c>
      <c r="L83" s="48">
        <v>618743</v>
      </c>
      <c r="N83" s="33">
        <f t="shared" si="2"/>
        <v>567654.128440367</v>
      </c>
      <c r="O83" s="33">
        <f t="shared" si="3"/>
        <v>51088.8715596331</v>
      </c>
    </row>
    <row r="84" customHeight="1" spans="1:15">
      <c r="A84" s="31">
        <v>81</v>
      </c>
      <c r="B84" s="41" t="s">
        <v>1346</v>
      </c>
      <c r="C84" s="51" t="s">
        <v>6773</v>
      </c>
      <c r="D84" s="46" t="s">
        <v>1992</v>
      </c>
      <c r="E84" s="40" t="s">
        <v>1993</v>
      </c>
      <c r="F84" s="40"/>
      <c r="G84" s="40"/>
      <c r="H84" s="44" t="s">
        <v>1995</v>
      </c>
      <c r="I84" s="41">
        <v>115.58</v>
      </c>
      <c r="J84" s="41">
        <v>115.58</v>
      </c>
      <c r="K84" s="41">
        <v>5392.38</v>
      </c>
      <c r="L84" s="48">
        <v>623251</v>
      </c>
      <c r="N84" s="33">
        <f t="shared" si="2"/>
        <v>571789.908256881</v>
      </c>
      <c r="O84" s="33">
        <f t="shared" si="3"/>
        <v>51461.0917431193</v>
      </c>
    </row>
    <row r="85" customHeight="1" spans="1:15">
      <c r="A85" s="31">
        <v>82</v>
      </c>
      <c r="B85" s="41" t="s">
        <v>1481</v>
      </c>
      <c r="C85" s="51" t="s">
        <v>6774</v>
      </c>
      <c r="D85" s="46" t="s">
        <v>2002</v>
      </c>
      <c r="E85" s="40" t="s">
        <v>2003</v>
      </c>
      <c r="F85" s="40"/>
      <c r="G85" s="40"/>
      <c r="H85" s="42" t="s">
        <v>2005</v>
      </c>
      <c r="I85" s="41">
        <v>115.58</v>
      </c>
      <c r="J85" s="41">
        <v>115.58</v>
      </c>
      <c r="K85" s="41">
        <v>5398.38</v>
      </c>
      <c r="L85" s="48">
        <v>623945</v>
      </c>
      <c r="N85" s="33">
        <f t="shared" si="2"/>
        <v>572426.605504587</v>
      </c>
      <c r="O85" s="33">
        <f t="shared" si="3"/>
        <v>51518.3944954129</v>
      </c>
    </row>
    <row r="86" customHeight="1" spans="1:15">
      <c r="A86" s="31">
        <v>83</v>
      </c>
      <c r="B86" s="41" t="s">
        <v>1377</v>
      </c>
      <c r="C86" s="51" t="s">
        <v>6775</v>
      </c>
      <c r="D86" s="46" t="s">
        <v>2011</v>
      </c>
      <c r="E86" s="52" t="s">
        <v>2012</v>
      </c>
      <c r="F86" s="52"/>
      <c r="G86" s="52"/>
      <c r="H86" s="44" t="s">
        <v>2014</v>
      </c>
      <c r="I86" s="41">
        <v>115.58</v>
      </c>
      <c r="J86" s="41">
        <v>115.58</v>
      </c>
      <c r="K86" s="41">
        <v>5549.78</v>
      </c>
      <c r="L86" s="48">
        <v>641445</v>
      </c>
      <c r="N86" s="33">
        <f t="shared" si="2"/>
        <v>588481.651376147</v>
      </c>
      <c r="O86" s="33">
        <f t="shared" si="3"/>
        <v>52963.3486238533</v>
      </c>
    </row>
    <row r="87" customHeight="1" spans="1:15">
      <c r="A87" s="31">
        <v>84</v>
      </c>
      <c r="B87" s="41" t="s">
        <v>1482</v>
      </c>
      <c r="C87" s="51" t="s">
        <v>6776</v>
      </c>
      <c r="D87" s="46" t="s">
        <v>2019</v>
      </c>
      <c r="E87" s="52" t="s">
        <v>2020</v>
      </c>
      <c r="F87" s="52"/>
      <c r="G87" s="52"/>
      <c r="H87" s="42" t="s">
        <v>2022</v>
      </c>
      <c r="I87" s="41">
        <v>115.58</v>
      </c>
      <c r="J87" s="41">
        <v>115.58</v>
      </c>
      <c r="K87" s="41">
        <v>5500</v>
      </c>
      <c r="L87" s="48">
        <v>635690</v>
      </c>
      <c r="N87" s="33">
        <f t="shared" si="2"/>
        <v>583201.834862385</v>
      </c>
      <c r="O87" s="33">
        <f t="shared" si="3"/>
        <v>52488.1651376147</v>
      </c>
    </row>
    <row r="88" customHeight="1" spans="1:15">
      <c r="A88" s="31">
        <v>85</v>
      </c>
      <c r="B88" s="41" t="s">
        <v>1481</v>
      </c>
      <c r="C88" s="51" t="s">
        <v>6777</v>
      </c>
      <c r="D88" s="46" t="s">
        <v>2028</v>
      </c>
      <c r="E88" s="49" t="s">
        <v>2029</v>
      </c>
      <c r="F88" s="49"/>
      <c r="G88" s="49"/>
      <c r="H88" s="42" t="s">
        <v>2031</v>
      </c>
      <c r="I88" s="41">
        <v>115.58</v>
      </c>
      <c r="J88" s="41">
        <v>115.58</v>
      </c>
      <c r="K88" s="41">
        <v>6572.42</v>
      </c>
      <c r="L88" s="48">
        <v>759640</v>
      </c>
      <c r="N88" s="33">
        <f t="shared" si="2"/>
        <v>696917.43119266</v>
      </c>
      <c r="O88" s="33">
        <f t="shared" si="3"/>
        <v>62722.5688073395</v>
      </c>
    </row>
    <row r="89" customHeight="1" spans="1:15">
      <c r="A89" s="31">
        <v>86</v>
      </c>
      <c r="B89" s="41" t="s">
        <v>1442</v>
      </c>
      <c r="C89" s="46" t="s">
        <v>6778</v>
      </c>
      <c r="D89" s="56" t="s">
        <v>2036</v>
      </c>
      <c r="E89" s="49" t="s">
        <v>2037</v>
      </c>
      <c r="F89" s="49"/>
      <c r="G89" s="49"/>
      <c r="H89" s="42" t="s">
        <v>2039</v>
      </c>
      <c r="I89" s="41">
        <v>115.58</v>
      </c>
      <c r="J89" s="41">
        <v>115.58</v>
      </c>
      <c r="K89" s="41">
        <v>6630.42</v>
      </c>
      <c r="L89" s="48">
        <v>766344</v>
      </c>
      <c r="N89" s="33">
        <f t="shared" si="2"/>
        <v>703067.889908257</v>
      </c>
      <c r="O89" s="33">
        <f t="shared" si="3"/>
        <v>63276.1100917432</v>
      </c>
    </row>
    <row r="90" customHeight="1" spans="1:15">
      <c r="A90" s="31">
        <v>87</v>
      </c>
      <c r="B90" s="41" t="s">
        <v>1416</v>
      </c>
      <c r="C90" s="1023" t="s">
        <v>6779</v>
      </c>
      <c r="D90" s="46" t="s">
        <v>2046</v>
      </c>
      <c r="E90" s="49" t="s">
        <v>522</v>
      </c>
      <c r="F90" s="49"/>
      <c r="G90" s="49"/>
      <c r="H90" s="42" t="s">
        <v>2048</v>
      </c>
      <c r="I90" s="41">
        <v>143.33</v>
      </c>
      <c r="J90" s="41">
        <v>143.33</v>
      </c>
      <c r="K90" s="41">
        <v>7857</v>
      </c>
      <c r="L90" s="43">
        <v>1126144</v>
      </c>
      <c r="N90" s="33">
        <f t="shared" si="2"/>
        <v>1033159.63302752</v>
      </c>
      <c r="O90" s="33">
        <f t="shared" si="3"/>
        <v>92984.3669724772</v>
      </c>
    </row>
    <row r="91" customHeight="1" spans="1:15">
      <c r="A91" s="31">
        <v>88</v>
      </c>
      <c r="B91" s="41" t="s">
        <v>1481</v>
      </c>
      <c r="C91" s="51" t="s">
        <v>6780</v>
      </c>
      <c r="D91" s="46" t="s">
        <v>2056</v>
      </c>
      <c r="E91" s="52" t="s">
        <v>2057</v>
      </c>
      <c r="F91" s="52"/>
      <c r="G91" s="52"/>
      <c r="H91" s="42" t="s">
        <v>2059</v>
      </c>
      <c r="I91" s="41">
        <v>142.14</v>
      </c>
      <c r="J91" s="41">
        <v>142.14</v>
      </c>
      <c r="K91" s="41">
        <v>5086.1</v>
      </c>
      <c r="L91" s="48">
        <v>722938</v>
      </c>
      <c r="N91" s="33">
        <f t="shared" si="2"/>
        <v>663245.871559633</v>
      </c>
      <c r="O91" s="33">
        <f t="shared" si="3"/>
        <v>59692.1284403671</v>
      </c>
    </row>
    <row r="92" customHeight="1" spans="1:15">
      <c r="A92" s="31">
        <v>89</v>
      </c>
      <c r="B92" s="54" t="s">
        <v>2070</v>
      </c>
      <c r="C92" s="51" t="s">
        <v>6781</v>
      </c>
      <c r="D92" s="46" t="s">
        <v>2064</v>
      </c>
      <c r="E92" s="52" t="s">
        <v>2065</v>
      </c>
      <c r="F92" s="52"/>
      <c r="G92" s="52"/>
      <c r="H92" s="44" t="s">
        <v>2067</v>
      </c>
      <c r="I92" s="41">
        <v>151.48</v>
      </c>
      <c r="J92" s="41">
        <v>151.48</v>
      </c>
      <c r="K92" s="41">
        <v>5319.74</v>
      </c>
      <c r="L92" s="48">
        <v>795835</v>
      </c>
      <c r="N92" s="33">
        <f t="shared" si="2"/>
        <v>730123.853211009</v>
      </c>
      <c r="O92" s="33">
        <f t="shared" si="3"/>
        <v>65711.1467889908</v>
      </c>
    </row>
    <row r="93" customHeight="1" spans="1:15">
      <c r="A93" s="31">
        <v>90</v>
      </c>
      <c r="B93" s="41" t="s">
        <v>1347</v>
      </c>
      <c r="C93" s="41">
        <v>20230001471</v>
      </c>
      <c r="D93" s="50" t="s">
        <v>2072</v>
      </c>
      <c r="E93" s="49" t="s">
        <v>2073</v>
      </c>
      <c r="F93" s="49"/>
      <c r="G93" s="49"/>
      <c r="H93" s="42" t="s">
        <v>2075</v>
      </c>
      <c r="I93" s="41">
        <v>142.14</v>
      </c>
      <c r="J93" s="41">
        <v>142.14</v>
      </c>
      <c r="K93" s="41">
        <v>5136.38</v>
      </c>
      <c r="L93" s="48">
        <v>730085</v>
      </c>
      <c r="N93" s="33">
        <f t="shared" si="2"/>
        <v>669802.752293578</v>
      </c>
      <c r="O93" s="33">
        <f t="shared" si="3"/>
        <v>60282.2477064221</v>
      </c>
    </row>
    <row r="94" customHeight="1" spans="1:15">
      <c r="A94" s="31">
        <v>91</v>
      </c>
      <c r="B94" s="41" t="s">
        <v>2361</v>
      </c>
      <c r="C94" s="41">
        <v>20230003708</v>
      </c>
      <c r="D94" s="46" t="s">
        <v>2080</v>
      </c>
      <c r="E94" s="49" t="s">
        <v>2081</v>
      </c>
      <c r="F94" s="49"/>
      <c r="G94" s="49"/>
      <c r="H94" s="44" t="s">
        <v>2083</v>
      </c>
      <c r="I94" s="41">
        <v>151.48</v>
      </c>
      <c r="J94" s="41">
        <v>151.48</v>
      </c>
      <c r="K94" s="41">
        <v>5313.88</v>
      </c>
      <c r="L94" s="43">
        <v>804947</v>
      </c>
      <c r="N94" s="33">
        <f t="shared" si="2"/>
        <v>738483.486238532</v>
      </c>
      <c r="O94" s="33">
        <f t="shared" si="3"/>
        <v>66463.513761468</v>
      </c>
    </row>
    <row r="95" customHeight="1" spans="1:15">
      <c r="A95" s="31">
        <v>92</v>
      </c>
      <c r="B95" s="41" t="s">
        <v>1416</v>
      </c>
      <c r="C95" s="51" t="s">
        <v>6782</v>
      </c>
      <c r="D95" s="46" t="s">
        <v>2091</v>
      </c>
      <c r="E95" s="49" t="s">
        <v>2092</v>
      </c>
      <c r="F95" s="49"/>
      <c r="G95" s="49"/>
      <c r="H95" s="42" t="s">
        <v>2094</v>
      </c>
      <c r="I95" s="41">
        <v>142.14</v>
      </c>
      <c r="J95" s="41">
        <v>142.14</v>
      </c>
      <c r="K95" s="41">
        <v>5166.38</v>
      </c>
      <c r="L95" s="48">
        <v>734350</v>
      </c>
      <c r="N95" s="33">
        <f t="shared" si="2"/>
        <v>673715.596330275</v>
      </c>
      <c r="O95" s="33">
        <f t="shared" si="3"/>
        <v>60634.4036697248</v>
      </c>
    </row>
    <row r="96" customHeight="1" spans="1:15">
      <c r="A96" s="31">
        <v>93</v>
      </c>
      <c r="B96" s="41" t="s">
        <v>926</v>
      </c>
      <c r="C96" s="51" t="s">
        <v>6783</v>
      </c>
      <c r="D96" s="46" t="s">
        <v>2099</v>
      </c>
      <c r="E96" s="49" t="s">
        <v>2100</v>
      </c>
      <c r="F96" s="49"/>
      <c r="G96" s="49"/>
      <c r="H96" s="44" t="s">
        <v>2101</v>
      </c>
      <c r="I96" s="41">
        <v>151.48</v>
      </c>
      <c r="J96" s="41">
        <v>151.48</v>
      </c>
      <c r="K96" s="41">
        <v>5329.57</v>
      </c>
      <c r="L96" s="48">
        <v>802844</v>
      </c>
      <c r="N96" s="33">
        <f t="shared" si="2"/>
        <v>736554.128440367</v>
      </c>
      <c r="O96" s="33">
        <f t="shared" si="3"/>
        <v>66289.8715596331</v>
      </c>
    </row>
    <row r="97" customHeight="1" spans="1:15">
      <c r="A97" s="31">
        <v>94</v>
      </c>
      <c r="B97" s="41" t="s">
        <v>2112</v>
      </c>
      <c r="C97" s="51" t="s">
        <v>6784</v>
      </c>
      <c r="D97" s="46" t="s">
        <v>2105</v>
      </c>
      <c r="E97" s="49" t="s">
        <v>2106</v>
      </c>
      <c r="F97" s="49"/>
      <c r="G97" s="49"/>
      <c r="H97" s="42" t="s">
        <v>2108</v>
      </c>
      <c r="I97" s="41">
        <v>142.14</v>
      </c>
      <c r="J97" s="41">
        <v>142.14</v>
      </c>
      <c r="K97" s="41">
        <v>5944.84</v>
      </c>
      <c r="L97" s="48">
        <v>845000</v>
      </c>
      <c r="N97" s="33">
        <f t="shared" si="2"/>
        <v>775229.357798165</v>
      </c>
      <c r="O97" s="33">
        <f t="shared" si="3"/>
        <v>69770.6422018349</v>
      </c>
    </row>
    <row r="98" customHeight="1" spans="1:15">
      <c r="A98" s="31">
        <v>95</v>
      </c>
      <c r="B98" s="41" t="s">
        <v>1714</v>
      </c>
      <c r="C98" s="51" t="s">
        <v>6785</v>
      </c>
      <c r="D98" s="46" t="s">
        <v>2115</v>
      </c>
      <c r="E98" s="49" t="s">
        <v>2116</v>
      </c>
      <c r="F98" s="49"/>
      <c r="G98" s="49"/>
      <c r="H98" s="44" t="s">
        <v>2118</v>
      </c>
      <c r="I98" s="41">
        <v>151.48</v>
      </c>
      <c r="J98" s="41">
        <v>151.48</v>
      </c>
      <c r="K98" s="41">
        <v>5360</v>
      </c>
      <c r="L98" s="48">
        <v>811932</v>
      </c>
      <c r="N98" s="33">
        <f t="shared" si="2"/>
        <v>744891.743119266</v>
      </c>
      <c r="O98" s="33">
        <f t="shared" si="3"/>
        <v>67040.256880734</v>
      </c>
    </row>
    <row r="99" customHeight="1" spans="1:15">
      <c r="A99" s="31">
        <v>96</v>
      </c>
      <c r="B99" s="41" t="s">
        <v>1481</v>
      </c>
      <c r="C99" s="51" t="s">
        <v>6786</v>
      </c>
      <c r="D99" s="55" t="s">
        <v>2124</v>
      </c>
      <c r="E99" s="49" t="s">
        <v>2125</v>
      </c>
      <c r="F99" s="49"/>
      <c r="G99" s="49"/>
      <c r="H99" s="42" t="s">
        <v>2127</v>
      </c>
      <c r="I99" s="41">
        <v>142.14</v>
      </c>
      <c r="J99" s="41">
        <v>142.14</v>
      </c>
      <c r="K99" s="41">
        <v>5261.38</v>
      </c>
      <c r="L99" s="43">
        <v>747853</v>
      </c>
      <c r="N99" s="33">
        <f t="shared" si="2"/>
        <v>686103.669724771</v>
      </c>
      <c r="O99" s="33">
        <f t="shared" si="3"/>
        <v>61749.3302752294</v>
      </c>
    </row>
    <row r="100" customHeight="1" spans="1:15">
      <c r="A100" s="31">
        <v>97</v>
      </c>
      <c r="B100" s="41" t="s">
        <v>1346</v>
      </c>
      <c r="C100" s="51" t="s">
        <v>6787</v>
      </c>
      <c r="D100" s="46" t="s">
        <v>2132</v>
      </c>
      <c r="E100" s="49" t="s">
        <v>2133</v>
      </c>
      <c r="F100" s="49"/>
      <c r="G100" s="49"/>
      <c r="H100" s="44" t="s">
        <v>2134</v>
      </c>
      <c r="I100" s="41">
        <v>151.48</v>
      </c>
      <c r="J100" s="41">
        <v>151.48</v>
      </c>
      <c r="K100" s="41">
        <v>5175.37</v>
      </c>
      <c r="L100" s="48">
        <v>783965</v>
      </c>
      <c r="N100" s="33">
        <f t="shared" si="2"/>
        <v>719233.944954128</v>
      </c>
      <c r="O100" s="33">
        <f t="shared" si="3"/>
        <v>64731.0550458716</v>
      </c>
    </row>
    <row r="101" customHeight="1" spans="1:15">
      <c r="A101" s="31">
        <v>98</v>
      </c>
      <c r="B101" s="41" t="s">
        <v>1377</v>
      </c>
      <c r="C101" s="46" t="s">
        <v>6788</v>
      </c>
      <c r="D101" s="55" t="s">
        <v>2139</v>
      </c>
      <c r="E101" s="49" t="s">
        <v>2140</v>
      </c>
      <c r="F101" s="49"/>
      <c r="G101" s="49"/>
      <c r="H101" s="42" t="s">
        <v>2142</v>
      </c>
      <c r="I101" s="41">
        <v>142.14</v>
      </c>
      <c r="J101" s="41">
        <v>142.14</v>
      </c>
      <c r="K101" s="41">
        <v>5306.38</v>
      </c>
      <c r="L101" s="48">
        <v>754249</v>
      </c>
      <c r="N101" s="33">
        <f t="shared" si="2"/>
        <v>691971.559633028</v>
      </c>
      <c r="O101" s="33">
        <f t="shared" si="3"/>
        <v>62277.4403669725</v>
      </c>
    </row>
    <row r="102" customHeight="1" spans="1:15">
      <c r="A102" s="31">
        <v>99</v>
      </c>
      <c r="B102" s="41" t="s">
        <v>1347</v>
      </c>
      <c r="C102" s="51" t="s">
        <v>6789</v>
      </c>
      <c r="D102" s="56" t="s">
        <v>2147</v>
      </c>
      <c r="E102" s="52" t="s">
        <v>2148</v>
      </c>
      <c r="F102" s="52"/>
      <c r="G102" s="52"/>
      <c r="H102" s="42" t="s">
        <v>2149</v>
      </c>
      <c r="I102" s="41">
        <v>151.48</v>
      </c>
      <c r="J102" s="41">
        <v>151.48</v>
      </c>
      <c r="K102" s="41">
        <v>5412.09</v>
      </c>
      <c r="L102" s="48">
        <v>819825</v>
      </c>
      <c r="N102" s="33">
        <f t="shared" si="2"/>
        <v>752133.027522936</v>
      </c>
      <c r="O102" s="33">
        <f t="shared" si="3"/>
        <v>67691.9724770642</v>
      </c>
    </row>
    <row r="103" customHeight="1" spans="1:15">
      <c r="A103" s="31">
        <v>100</v>
      </c>
      <c r="B103" s="41" t="s">
        <v>1346</v>
      </c>
      <c r="C103" s="51" t="s">
        <v>6790</v>
      </c>
      <c r="D103" s="46" t="s">
        <v>2153</v>
      </c>
      <c r="E103" s="49" t="s">
        <v>2154</v>
      </c>
      <c r="F103" s="49"/>
      <c r="G103" s="49"/>
      <c r="H103" s="42" t="s">
        <v>2155</v>
      </c>
      <c r="I103" s="41">
        <v>142.14</v>
      </c>
      <c r="J103" s="41">
        <v>142.14</v>
      </c>
      <c r="K103" s="41">
        <v>5331.38</v>
      </c>
      <c r="L103" s="48">
        <v>757803</v>
      </c>
      <c r="N103" s="33">
        <f t="shared" si="2"/>
        <v>695232.110091743</v>
      </c>
      <c r="O103" s="33">
        <f t="shared" si="3"/>
        <v>62570.8899082569</v>
      </c>
    </row>
    <row r="104" customHeight="1" spans="1:15">
      <c r="A104" s="31">
        <v>101</v>
      </c>
      <c r="B104" s="41" t="s">
        <v>1761</v>
      </c>
      <c r="C104" s="41">
        <v>20230001886</v>
      </c>
      <c r="D104" s="46" t="s">
        <v>2160</v>
      </c>
      <c r="E104" s="52" t="s">
        <v>2161</v>
      </c>
      <c r="F104" s="52"/>
      <c r="G104" s="52"/>
      <c r="H104" s="44" t="s">
        <v>2163</v>
      </c>
      <c r="I104" s="41">
        <v>151.48</v>
      </c>
      <c r="J104" s="41">
        <v>151.48</v>
      </c>
      <c r="K104" s="41">
        <v>5460</v>
      </c>
      <c r="L104" s="43">
        <v>827080</v>
      </c>
      <c r="N104" s="33">
        <f t="shared" si="2"/>
        <v>758788.990825688</v>
      </c>
      <c r="O104" s="33">
        <f t="shared" si="3"/>
        <v>68291.009174312</v>
      </c>
    </row>
    <row r="105" customHeight="1" spans="1:15">
      <c r="A105" s="31">
        <v>102</v>
      </c>
      <c r="B105" s="41" t="s">
        <v>926</v>
      </c>
      <c r="C105" s="51" t="s">
        <v>6791</v>
      </c>
      <c r="D105" s="55" t="s">
        <v>2167</v>
      </c>
      <c r="E105" s="49" t="s">
        <v>2168</v>
      </c>
      <c r="F105" s="49"/>
      <c r="G105" s="49"/>
      <c r="H105" s="42" t="s">
        <v>2170</v>
      </c>
      <c r="I105" s="41">
        <v>142.14</v>
      </c>
      <c r="J105" s="41">
        <v>142.14</v>
      </c>
      <c r="K105" s="41">
        <v>5376.38</v>
      </c>
      <c r="L105" s="48">
        <v>764199</v>
      </c>
      <c r="N105" s="33">
        <f t="shared" si="2"/>
        <v>701100</v>
      </c>
      <c r="O105" s="33">
        <f t="shared" si="3"/>
        <v>63099</v>
      </c>
    </row>
    <row r="106" customHeight="1" spans="1:15">
      <c r="A106" s="31">
        <v>103</v>
      </c>
      <c r="B106" s="41" t="s">
        <v>1761</v>
      </c>
      <c r="C106" s="46" t="s">
        <v>6792</v>
      </c>
      <c r="D106" s="46" t="s">
        <v>2175</v>
      </c>
      <c r="E106" s="49" t="s">
        <v>2176</v>
      </c>
      <c r="F106" s="49"/>
      <c r="G106" s="49"/>
      <c r="H106" s="44" t="s">
        <v>2177</v>
      </c>
      <c r="I106" s="41">
        <v>151.48</v>
      </c>
      <c r="J106" s="41">
        <v>151.48</v>
      </c>
      <c r="K106" s="41">
        <v>5550</v>
      </c>
      <c r="L106" s="48">
        <v>840714</v>
      </c>
      <c r="N106" s="33">
        <f t="shared" si="2"/>
        <v>771297.247706422</v>
      </c>
      <c r="O106" s="33">
        <f t="shared" si="3"/>
        <v>69416.752293578</v>
      </c>
    </row>
    <row r="107" customHeight="1" spans="1:15">
      <c r="A107" s="31">
        <v>104</v>
      </c>
      <c r="B107" s="41" t="s">
        <v>1383</v>
      </c>
      <c r="C107" s="41">
        <v>20230000675</v>
      </c>
      <c r="D107" s="46" t="s">
        <v>406</v>
      </c>
      <c r="E107" s="49" t="s">
        <v>407</v>
      </c>
      <c r="F107" s="49"/>
      <c r="G107" s="49"/>
      <c r="H107" s="42" t="s">
        <v>2181</v>
      </c>
      <c r="I107" s="41">
        <v>142.14</v>
      </c>
      <c r="J107" s="41">
        <v>142.14</v>
      </c>
      <c r="K107" s="41">
        <v>5396.38</v>
      </c>
      <c r="L107" s="43">
        <v>767042</v>
      </c>
      <c r="N107" s="33">
        <f t="shared" si="2"/>
        <v>703708.256880734</v>
      </c>
      <c r="O107" s="33">
        <f t="shared" si="3"/>
        <v>63333.7431192661</v>
      </c>
    </row>
    <row r="108" customHeight="1" spans="1:15">
      <c r="A108" s="31">
        <v>105</v>
      </c>
      <c r="B108" s="41" t="s">
        <v>1434</v>
      </c>
      <c r="C108" s="51" t="s">
        <v>6793</v>
      </c>
      <c r="D108" s="1023" t="s">
        <v>2188</v>
      </c>
      <c r="E108" s="41" t="s">
        <v>2189</v>
      </c>
      <c r="F108" s="41"/>
      <c r="G108" s="41"/>
      <c r="H108" s="44" t="s">
        <v>2191</v>
      </c>
      <c r="I108" s="41">
        <v>151.48</v>
      </c>
      <c r="J108" s="41">
        <v>151.48</v>
      </c>
      <c r="K108" s="41">
        <v>5617.27</v>
      </c>
      <c r="L108" s="48">
        <v>850904</v>
      </c>
      <c r="N108" s="33">
        <f t="shared" si="2"/>
        <v>780645.871559633</v>
      </c>
      <c r="O108" s="33">
        <f t="shared" si="3"/>
        <v>70258.1284403671</v>
      </c>
    </row>
    <row r="109" customHeight="1" spans="1:15">
      <c r="A109" s="31">
        <v>106</v>
      </c>
      <c r="B109" s="41" t="s">
        <v>1442</v>
      </c>
      <c r="C109" s="51" t="s">
        <v>6794</v>
      </c>
      <c r="D109" s="56" t="s">
        <v>2196</v>
      </c>
      <c r="E109" s="49" t="s">
        <v>2197</v>
      </c>
      <c r="F109" s="49"/>
      <c r="G109" s="49"/>
      <c r="H109" s="42" t="s">
        <v>2199</v>
      </c>
      <c r="I109" s="41">
        <v>142.14</v>
      </c>
      <c r="J109" s="41">
        <v>142.14</v>
      </c>
      <c r="K109" s="41">
        <v>6246.42</v>
      </c>
      <c r="L109" s="48">
        <v>887866</v>
      </c>
      <c r="N109" s="33">
        <f t="shared" si="2"/>
        <v>814555.963302752</v>
      </c>
      <c r="O109" s="33">
        <f t="shared" si="3"/>
        <v>73310.0366972478</v>
      </c>
    </row>
    <row r="110" customHeight="1" spans="1:15">
      <c r="A110" s="31">
        <v>107</v>
      </c>
      <c r="B110" s="41" t="s">
        <v>2211</v>
      </c>
      <c r="C110" s="41">
        <v>20230004274</v>
      </c>
      <c r="D110" s="46" t="s">
        <v>2204</v>
      </c>
      <c r="E110" s="49" t="s">
        <v>2205</v>
      </c>
      <c r="F110" s="49"/>
      <c r="G110" s="49"/>
      <c r="H110" s="44" t="s">
        <v>2207</v>
      </c>
      <c r="I110" s="41">
        <v>151.48</v>
      </c>
      <c r="J110" s="41">
        <v>151.48</v>
      </c>
      <c r="K110" s="41">
        <v>6230</v>
      </c>
      <c r="L110" s="43">
        <v>943721</v>
      </c>
      <c r="N110" s="33">
        <f t="shared" si="2"/>
        <v>865799.082568807</v>
      </c>
      <c r="O110" s="33">
        <f t="shared" si="3"/>
        <v>77921.9174311927</v>
      </c>
    </row>
    <row r="111" customHeight="1" spans="1:15">
      <c r="A111" s="31">
        <v>108</v>
      </c>
      <c r="B111" s="41" t="s">
        <v>1377</v>
      </c>
      <c r="C111" s="51" t="s">
        <v>2257</v>
      </c>
      <c r="D111" s="46" t="s">
        <v>2258</v>
      </c>
      <c r="E111" s="49" t="s">
        <v>2259</v>
      </c>
      <c r="F111" s="49"/>
      <c r="G111" s="49"/>
      <c r="H111" s="42" t="s">
        <v>2261</v>
      </c>
      <c r="I111" s="41">
        <v>107.8</v>
      </c>
      <c r="J111" s="41">
        <v>107.8</v>
      </c>
      <c r="K111" s="41">
        <v>7961</v>
      </c>
      <c r="L111" s="48">
        <v>858196</v>
      </c>
      <c r="N111" s="33">
        <f t="shared" si="2"/>
        <v>787335.779816514</v>
      </c>
      <c r="O111" s="33">
        <f t="shared" si="3"/>
        <v>70860.2201834864</v>
      </c>
    </row>
    <row r="112" customHeight="1" spans="1:15">
      <c r="A112" s="31">
        <v>109</v>
      </c>
      <c r="B112" s="41" t="s">
        <v>1591</v>
      </c>
      <c r="C112" s="41">
        <v>20230004510</v>
      </c>
      <c r="D112" s="46" t="s">
        <v>1191</v>
      </c>
      <c r="E112" s="49" t="s">
        <v>1192</v>
      </c>
      <c r="F112" s="49"/>
      <c r="G112" s="49"/>
      <c r="H112" s="44" t="s">
        <v>2268</v>
      </c>
      <c r="I112" s="41">
        <v>107.62</v>
      </c>
      <c r="J112" s="41">
        <v>107.62</v>
      </c>
      <c r="K112" s="41">
        <v>8000</v>
      </c>
      <c r="L112" s="48">
        <v>860960</v>
      </c>
      <c r="N112" s="33">
        <f t="shared" si="2"/>
        <v>789871.559633027</v>
      </c>
      <c r="O112" s="33">
        <f t="shared" si="3"/>
        <v>71088.4403669726</v>
      </c>
    </row>
    <row r="113" customHeight="1" spans="1:15">
      <c r="A113" s="31">
        <v>110</v>
      </c>
      <c r="B113" s="41" t="s">
        <v>2281</v>
      </c>
      <c r="C113" s="51" t="s">
        <v>2272</v>
      </c>
      <c r="D113" s="46" t="s">
        <v>2273</v>
      </c>
      <c r="E113" s="41" t="s">
        <v>2274</v>
      </c>
      <c r="F113" s="41"/>
      <c r="G113" s="41"/>
      <c r="H113" s="42" t="s">
        <v>2276</v>
      </c>
      <c r="I113" s="41">
        <v>107.98</v>
      </c>
      <c r="J113" s="41">
        <v>107.98</v>
      </c>
      <c r="K113" s="41">
        <v>5606.13</v>
      </c>
      <c r="L113" s="48">
        <v>605350</v>
      </c>
      <c r="N113" s="33">
        <f t="shared" si="2"/>
        <v>555366.972477064</v>
      </c>
      <c r="O113" s="33">
        <f t="shared" si="3"/>
        <v>49983.0275229358</v>
      </c>
    </row>
    <row r="114" customHeight="1" spans="1:15">
      <c r="A114" s="31">
        <v>111</v>
      </c>
      <c r="B114" s="54">
        <v>45284</v>
      </c>
      <c r="C114" s="51" t="s">
        <v>2283</v>
      </c>
      <c r="D114" s="46" t="s">
        <v>2273</v>
      </c>
      <c r="E114" s="41" t="s">
        <v>2284</v>
      </c>
      <c r="F114" s="41"/>
      <c r="G114" s="41"/>
      <c r="H114" s="44" t="s">
        <v>2285</v>
      </c>
      <c r="I114" s="41">
        <v>107.62</v>
      </c>
      <c r="J114" s="41">
        <v>107.62</v>
      </c>
      <c r="K114" s="41">
        <v>5600</v>
      </c>
      <c r="L114" s="48">
        <v>602672</v>
      </c>
      <c r="N114" s="33">
        <f t="shared" si="2"/>
        <v>552910.091743119</v>
      </c>
      <c r="O114" s="33">
        <f t="shared" si="3"/>
        <v>49761.9082568808</v>
      </c>
    </row>
    <row r="115" customHeight="1" spans="1:15">
      <c r="A115" s="31">
        <v>112</v>
      </c>
      <c r="B115" s="41" t="s">
        <v>1208</v>
      </c>
      <c r="C115" s="51" t="s">
        <v>2289</v>
      </c>
      <c r="D115" s="46" t="s">
        <v>2290</v>
      </c>
      <c r="E115" s="41" t="s">
        <v>2291</v>
      </c>
      <c r="F115" s="41"/>
      <c r="G115" s="41"/>
      <c r="H115" s="42" t="s">
        <v>2293</v>
      </c>
      <c r="I115" s="41">
        <v>107.98</v>
      </c>
      <c r="J115" s="41">
        <v>107.98</v>
      </c>
      <c r="K115" s="41">
        <v>5610</v>
      </c>
      <c r="L115" s="48">
        <v>605768</v>
      </c>
      <c r="N115" s="33">
        <f t="shared" si="2"/>
        <v>555750.458715596</v>
      </c>
      <c r="O115" s="33">
        <f t="shared" si="3"/>
        <v>50017.5412844038</v>
      </c>
    </row>
    <row r="116" customHeight="1" spans="1:15">
      <c r="A116" s="31">
        <v>113</v>
      </c>
      <c r="B116" s="41" t="s">
        <v>2304</v>
      </c>
      <c r="C116" s="51" t="s">
        <v>2296</v>
      </c>
      <c r="D116" s="46" t="s">
        <v>2297</v>
      </c>
      <c r="E116" s="40" t="s">
        <v>2298</v>
      </c>
      <c r="F116" s="40"/>
      <c r="G116" s="40"/>
      <c r="H116" s="44" t="s">
        <v>2300</v>
      </c>
      <c r="I116" s="41">
        <v>107.62</v>
      </c>
      <c r="J116" s="41">
        <v>107.62</v>
      </c>
      <c r="K116" s="41">
        <v>5621.6</v>
      </c>
      <c r="L116" s="48">
        <v>605000</v>
      </c>
      <c r="N116" s="33">
        <f t="shared" si="2"/>
        <v>555045.871559633</v>
      </c>
      <c r="O116" s="33">
        <f t="shared" si="3"/>
        <v>49954.1284403671</v>
      </c>
    </row>
    <row r="117" customHeight="1" spans="1:15">
      <c r="A117" s="31">
        <v>114</v>
      </c>
      <c r="B117" s="41" t="s">
        <v>458</v>
      </c>
      <c r="C117" s="51" t="s">
        <v>2306</v>
      </c>
      <c r="D117" s="46" t="s">
        <v>2307</v>
      </c>
      <c r="E117" s="41" t="s">
        <v>2308</v>
      </c>
      <c r="F117" s="41"/>
      <c r="G117" s="41"/>
      <c r="H117" s="42" t="s">
        <v>2310</v>
      </c>
      <c r="I117" s="41">
        <v>107.98</v>
      </c>
      <c r="J117" s="41">
        <v>107.98</v>
      </c>
      <c r="K117" s="41">
        <v>5741.8</v>
      </c>
      <c r="L117" s="48">
        <v>620000</v>
      </c>
      <c r="N117" s="33">
        <f t="shared" si="2"/>
        <v>568807.339449541</v>
      </c>
      <c r="O117" s="33">
        <f t="shared" si="3"/>
        <v>51192.6605504587</v>
      </c>
    </row>
    <row r="118" customHeight="1" spans="1:15">
      <c r="A118" s="31">
        <v>115</v>
      </c>
      <c r="B118" s="41" t="s">
        <v>607</v>
      </c>
      <c r="C118" s="51" t="s">
        <v>2313</v>
      </c>
      <c r="D118" s="46" t="s">
        <v>2314</v>
      </c>
      <c r="E118" s="41" t="s">
        <v>2315</v>
      </c>
      <c r="F118" s="41"/>
      <c r="G118" s="41"/>
      <c r="H118" s="42" t="s">
        <v>2317</v>
      </c>
      <c r="I118" s="41">
        <v>107.62</v>
      </c>
      <c r="J118" s="41">
        <v>107.62</v>
      </c>
      <c r="K118" s="41">
        <v>5761.01</v>
      </c>
      <c r="L118" s="48">
        <v>620000</v>
      </c>
      <c r="N118" s="33">
        <f t="shared" si="2"/>
        <v>568807.339449541</v>
      </c>
      <c r="O118" s="33">
        <f t="shared" si="3"/>
        <v>51192.6605504587</v>
      </c>
    </row>
    <row r="119" customHeight="1" spans="1:15">
      <c r="A119" s="31">
        <v>116</v>
      </c>
      <c r="B119" s="41" t="s">
        <v>2327</v>
      </c>
      <c r="C119" s="51" t="s">
        <v>2321</v>
      </c>
      <c r="D119" s="46" t="s">
        <v>2322</v>
      </c>
      <c r="E119" s="40" t="s">
        <v>2323</v>
      </c>
      <c r="F119" s="40"/>
      <c r="G119" s="40"/>
      <c r="H119" s="44" t="s">
        <v>2324</v>
      </c>
      <c r="I119" s="41">
        <v>107.98</v>
      </c>
      <c r="J119" s="41">
        <v>107.98</v>
      </c>
      <c r="K119" s="41">
        <v>5463.97</v>
      </c>
      <c r="L119" s="48">
        <v>590000</v>
      </c>
      <c r="N119" s="33">
        <f t="shared" si="2"/>
        <v>541284.403669725</v>
      </c>
      <c r="O119" s="33">
        <f t="shared" si="3"/>
        <v>48715.5963302753</v>
      </c>
    </row>
    <row r="120" customHeight="1" spans="1:15">
      <c r="A120" s="31">
        <v>117</v>
      </c>
      <c r="B120" s="41" t="s">
        <v>2336</v>
      </c>
      <c r="C120" s="51" t="s">
        <v>2330</v>
      </c>
      <c r="D120" s="46" t="s">
        <v>2331</v>
      </c>
      <c r="E120" s="40" t="s">
        <v>2332</v>
      </c>
      <c r="F120" s="40"/>
      <c r="G120" s="40"/>
      <c r="H120" s="42" t="s">
        <v>2334</v>
      </c>
      <c r="I120" s="41">
        <v>107.62</v>
      </c>
      <c r="J120" s="41">
        <v>107.62</v>
      </c>
      <c r="K120" s="41">
        <v>5519.63</v>
      </c>
      <c r="L120" s="48">
        <v>594023</v>
      </c>
      <c r="N120" s="33">
        <f t="shared" si="2"/>
        <v>544975.229357798</v>
      </c>
      <c r="O120" s="33">
        <f t="shared" si="3"/>
        <v>49047.7706422019</v>
      </c>
    </row>
    <row r="121" customHeight="1" spans="1:15">
      <c r="A121" s="31">
        <v>118</v>
      </c>
      <c r="B121" s="41" t="s">
        <v>944</v>
      </c>
      <c r="C121" s="51" t="s">
        <v>2338</v>
      </c>
      <c r="D121" s="46" t="s">
        <v>2339</v>
      </c>
      <c r="E121" s="41" t="s">
        <v>2246</v>
      </c>
      <c r="F121" s="41"/>
      <c r="G121" s="41"/>
      <c r="H121" s="44" t="s">
        <v>2341</v>
      </c>
      <c r="I121" s="41">
        <v>107.98</v>
      </c>
      <c r="J121" s="41">
        <v>107.98</v>
      </c>
      <c r="K121" s="41">
        <v>5566.28</v>
      </c>
      <c r="L121" s="48">
        <v>601047</v>
      </c>
      <c r="N121" s="33">
        <f t="shared" si="2"/>
        <v>551419.266055046</v>
      </c>
      <c r="O121" s="33">
        <f t="shared" si="3"/>
        <v>49627.7339449541</v>
      </c>
    </row>
    <row r="122" customHeight="1" spans="1:15">
      <c r="A122" s="31">
        <v>119</v>
      </c>
      <c r="B122" s="41" t="s">
        <v>1383</v>
      </c>
      <c r="C122" s="51" t="s">
        <v>2346</v>
      </c>
      <c r="D122" s="46" t="s">
        <v>2347</v>
      </c>
      <c r="E122" s="40" t="s">
        <v>2348</v>
      </c>
      <c r="F122" s="40"/>
      <c r="G122" s="40"/>
      <c r="H122" s="42" t="s">
        <v>2350</v>
      </c>
      <c r="I122" s="41">
        <v>107.62</v>
      </c>
      <c r="J122" s="41">
        <v>107.62</v>
      </c>
      <c r="K122" s="41">
        <v>5269.38</v>
      </c>
      <c r="L122" s="48">
        <v>567091</v>
      </c>
      <c r="N122" s="33">
        <f t="shared" si="2"/>
        <v>520266.972477064</v>
      </c>
      <c r="O122" s="33">
        <f t="shared" si="3"/>
        <v>46824.0275229358</v>
      </c>
    </row>
    <row r="123" customHeight="1" spans="1:15">
      <c r="A123" s="31">
        <v>120</v>
      </c>
      <c r="B123" s="41" t="s">
        <v>2361</v>
      </c>
      <c r="C123" s="51" t="s">
        <v>2356</v>
      </c>
      <c r="D123" s="46" t="s">
        <v>2357</v>
      </c>
      <c r="E123" s="40" t="s">
        <v>2250</v>
      </c>
      <c r="F123" s="40"/>
      <c r="G123" s="40"/>
      <c r="H123" s="44" t="s">
        <v>2359</v>
      </c>
      <c r="I123" s="41">
        <v>107.98</v>
      </c>
      <c r="J123" s="41">
        <v>107.98</v>
      </c>
      <c r="K123" s="41">
        <v>5653.65</v>
      </c>
      <c r="L123" s="48">
        <v>610481</v>
      </c>
      <c r="N123" s="33">
        <f t="shared" si="2"/>
        <v>560074.311926605</v>
      </c>
      <c r="O123" s="33">
        <f t="shared" si="3"/>
        <v>50406.6880733946</v>
      </c>
    </row>
    <row r="124" customHeight="1" spans="1:15">
      <c r="A124" s="31">
        <v>121</v>
      </c>
      <c r="B124" s="41" t="s">
        <v>1094</v>
      </c>
      <c r="C124" s="51" t="s">
        <v>2363</v>
      </c>
      <c r="D124" s="46" t="s">
        <v>2364</v>
      </c>
      <c r="E124" s="49" t="s">
        <v>2220</v>
      </c>
      <c r="F124" s="49"/>
      <c r="G124" s="49"/>
      <c r="H124" s="42" t="s">
        <v>2366</v>
      </c>
      <c r="I124" s="41">
        <v>107.62</v>
      </c>
      <c r="J124" s="41">
        <v>107.62</v>
      </c>
      <c r="K124" s="41">
        <v>5936.5</v>
      </c>
      <c r="L124" s="48">
        <v>638888</v>
      </c>
      <c r="N124" s="33">
        <f t="shared" si="2"/>
        <v>586135.779816514</v>
      </c>
      <c r="O124" s="33">
        <f t="shared" si="3"/>
        <v>52752.2201834862</v>
      </c>
    </row>
    <row r="125" customHeight="1" spans="1:15">
      <c r="A125" s="31">
        <v>122</v>
      </c>
      <c r="B125" s="41" t="s">
        <v>1591</v>
      </c>
      <c r="C125" s="51" t="s">
        <v>2369</v>
      </c>
      <c r="D125" s="46" t="s">
        <v>2370</v>
      </c>
      <c r="E125" s="41" t="s">
        <v>2371</v>
      </c>
      <c r="F125" s="41"/>
      <c r="G125" s="41"/>
      <c r="H125" s="44" t="s">
        <v>2373</v>
      </c>
      <c r="I125" s="41">
        <v>107.98</v>
      </c>
      <c r="J125" s="41">
        <v>107.98</v>
      </c>
      <c r="K125" s="41">
        <v>5640</v>
      </c>
      <c r="L125" s="48">
        <v>609007</v>
      </c>
      <c r="N125" s="33">
        <f t="shared" si="2"/>
        <v>558722.018348624</v>
      </c>
      <c r="O125" s="33">
        <f t="shared" si="3"/>
        <v>50284.9816513762</v>
      </c>
    </row>
    <row r="126" customHeight="1" spans="1:15">
      <c r="A126" s="31">
        <v>123</v>
      </c>
      <c r="B126" s="41" t="s">
        <v>2384</v>
      </c>
      <c r="C126" s="51" t="s">
        <v>2378</v>
      </c>
      <c r="D126" s="46" t="s">
        <v>2379</v>
      </c>
      <c r="E126" s="41" t="s">
        <v>2380</v>
      </c>
      <c r="F126" s="41"/>
      <c r="G126" s="41"/>
      <c r="H126" s="42" t="s">
        <v>2382</v>
      </c>
      <c r="I126" s="41">
        <v>107.62</v>
      </c>
      <c r="J126" s="41">
        <v>107.62</v>
      </c>
      <c r="K126" s="41">
        <v>5850</v>
      </c>
      <c r="L126" s="48">
        <v>629577</v>
      </c>
      <c r="N126" s="33">
        <f t="shared" si="2"/>
        <v>577593.577981651</v>
      </c>
      <c r="O126" s="33">
        <f t="shared" si="3"/>
        <v>51983.4220183487</v>
      </c>
    </row>
    <row r="127" customHeight="1" spans="1:15">
      <c r="A127" s="31">
        <v>124</v>
      </c>
      <c r="B127" s="41">
        <v>2023.7</v>
      </c>
      <c r="C127" s="51" t="s">
        <v>2386</v>
      </c>
      <c r="D127" s="46" t="s">
        <v>2387</v>
      </c>
      <c r="E127" s="40" t="s">
        <v>2388</v>
      </c>
      <c r="F127" s="40"/>
      <c r="G127" s="40"/>
      <c r="H127" s="44" t="s">
        <v>2390</v>
      </c>
      <c r="I127" s="41">
        <v>107.98</v>
      </c>
      <c r="J127" s="41">
        <v>107.98</v>
      </c>
      <c r="K127" s="41">
        <v>5985.13</v>
      </c>
      <c r="L127" s="48">
        <v>646275</v>
      </c>
      <c r="N127" s="33">
        <f t="shared" si="2"/>
        <v>592912.844036697</v>
      </c>
      <c r="O127" s="33">
        <f t="shared" si="3"/>
        <v>53362.1559633028</v>
      </c>
    </row>
    <row r="128" customHeight="1" spans="1:15">
      <c r="A128" s="31">
        <v>125</v>
      </c>
      <c r="B128" s="41" t="s">
        <v>2401</v>
      </c>
      <c r="C128" s="51" t="s">
        <v>2394</v>
      </c>
      <c r="D128" s="46" t="s">
        <v>2395</v>
      </c>
      <c r="E128" s="41" t="s">
        <v>2396</v>
      </c>
      <c r="F128" s="41"/>
      <c r="G128" s="41"/>
      <c r="H128" s="42" t="s">
        <v>2398</v>
      </c>
      <c r="I128" s="41">
        <v>107.62</v>
      </c>
      <c r="J128" s="41">
        <v>107.62</v>
      </c>
      <c r="K128" s="41">
        <v>5671.55</v>
      </c>
      <c r="L128" s="48">
        <v>610372</v>
      </c>
      <c r="N128" s="33">
        <f t="shared" si="2"/>
        <v>559974.311926605</v>
      </c>
      <c r="O128" s="33">
        <f t="shared" si="3"/>
        <v>50397.6880733946</v>
      </c>
    </row>
    <row r="129" customHeight="1" spans="1:15">
      <c r="A129" s="31">
        <v>126</v>
      </c>
      <c r="B129" s="41" t="s">
        <v>2408</v>
      </c>
      <c r="C129" s="51" t="s">
        <v>2403</v>
      </c>
      <c r="D129" s="1024" t="s">
        <v>2404</v>
      </c>
      <c r="E129" s="41" t="s">
        <v>2405</v>
      </c>
      <c r="F129" s="41"/>
      <c r="G129" s="41"/>
      <c r="H129" s="44" t="s">
        <v>2406</v>
      </c>
      <c r="I129" s="41">
        <v>107.98</v>
      </c>
      <c r="J129" s="41">
        <v>107.98</v>
      </c>
      <c r="K129" s="41">
        <v>6019.63</v>
      </c>
      <c r="L129" s="48">
        <v>650000</v>
      </c>
      <c r="N129" s="33">
        <f t="shared" si="2"/>
        <v>596330.275229358</v>
      </c>
      <c r="O129" s="33">
        <f t="shared" si="3"/>
        <v>53669.7247706422</v>
      </c>
    </row>
    <row r="130" customHeight="1" spans="1:15">
      <c r="A130" s="31">
        <v>127</v>
      </c>
      <c r="B130" s="41" t="s">
        <v>2211</v>
      </c>
      <c r="C130" s="51" t="s">
        <v>2411</v>
      </c>
      <c r="D130" s="46" t="s">
        <v>2412</v>
      </c>
      <c r="E130" s="41" t="s">
        <v>2413</v>
      </c>
      <c r="F130" s="41"/>
      <c r="G130" s="41"/>
      <c r="H130" s="42" t="s">
        <v>2415</v>
      </c>
      <c r="I130" s="41">
        <v>107.62</v>
      </c>
      <c r="J130" s="41">
        <v>107.62</v>
      </c>
      <c r="K130" s="41">
        <v>5737</v>
      </c>
      <c r="L130" s="48">
        <v>617416</v>
      </c>
      <c r="N130" s="33">
        <f t="shared" si="2"/>
        <v>566436.697247706</v>
      </c>
      <c r="O130" s="33">
        <f t="shared" si="3"/>
        <v>50979.3027522936</v>
      </c>
    </row>
    <row r="131" customHeight="1" spans="1:15">
      <c r="A131" s="31">
        <v>128</v>
      </c>
      <c r="B131" s="41" t="s">
        <v>2016</v>
      </c>
      <c r="C131" s="51" t="s">
        <v>2418</v>
      </c>
      <c r="D131" s="46" t="s">
        <v>2419</v>
      </c>
      <c r="E131" s="41" t="s">
        <v>2420</v>
      </c>
      <c r="F131" s="41"/>
      <c r="G131" s="41"/>
      <c r="H131" s="42" t="s">
        <v>2422</v>
      </c>
      <c r="I131" s="41">
        <v>107.98</v>
      </c>
      <c r="J131" s="41">
        <v>107.98</v>
      </c>
      <c r="K131" s="41">
        <v>7000</v>
      </c>
      <c r="L131" s="48">
        <v>755860</v>
      </c>
      <c r="N131" s="33">
        <f t="shared" si="2"/>
        <v>693449.541284404</v>
      </c>
      <c r="O131" s="33">
        <f t="shared" si="3"/>
        <v>62410.4587155964</v>
      </c>
    </row>
    <row r="132" customHeight="1" spans="1:15">
      <c r="A132" s="31">
        <v>129</v>
      </c>
      <c r="B132" s="41" t="s">
        <v>587</v>
      </c>
      <c r="C132" s="51" t="s">
        <v>2425</v>
      </c>
      <c r="D132" s="46" t="s">
        <v>2426</v>
      </c>
      <c r="E132" s="41" t="s">
        <v>2427</v>
      </c>
      <c r="F132" s="41"/>
      <c r="G132" s="41"/>
      <c r="H132" s="42" t="s">
        <v>2429</v>
      </c>
      <c r="I132" s="41">
        <v>107.62</v>
      </c>
      <c r="J132" s="41">
        <v>107.62</v>
      </c>
      <c r="K132" s="41">
        <v>7040</v>
      </c>
      <c r="L132" s="48">
        <v>757645</v>
      </c>
      <c r="N132" s="33">
        <f t="shared" ref="N132:N195" si="4">L132/1.09</f>
        <v>695087.155963303</v>
      </c>
      <c r="O132" s="33">
        <f t="shared" ref="O132:O195" si="5">L132-N132</f>
        <v>62557.8440366973</v>
      </c>
    </row>
    <row r="133" customHeight="1" spans="1:15">
      <c r="A133" s="31">
        <v>130</v>
      </c>
      <c r="B133" s="54">
        <v>45081</v>
      </c>
      <c r="C133" s="51" t="s">
        <v>2433</v>
      </c>
      <c r="D133" s="1023" t="s">
        <v>2434</v>
      </c>
      <c r="E133" s="52" t="s">
        <v>2435</v>
      </c>
      <c r="F133" s="52"/>
      <c r="G133" s="52"/>
      <c r="H133" s="44" t="s">
        <v>2436</v>
      </c>
      <c r="I133" s="41">
        <v>107.62</v>
      </c>
      <c r="J133" s="41">
        <v>107.62</v>
      </c>
      <c r="K133" s="41">
        <v>8173.5</v>
      </c>
      <c r="L133" s="48">
        <v>878000</v>
      </c>
      <c r="N133" s="33">
        <f t="shared" si="4"/>
        <v>805504.587155963</v>
      </c>
      <c r="O133" s="33">
        <f t="shared" si="5"/>
        <v>72495.4128440367</v>
      </c>
    </row>
    <row r="134" customHeight="1" spans="1:15">
      <c r="A134" s="31">
        <v>131</v>
      </c>
      <c r="B134" s="41">
        <v>2023.4</v>
      </c>
      <c r="C134" s="51" t="s">
        <v>2457</v>
      </c>
      <c r="D134" s="46" t="s">
        <v>2458</v>
      </c>
      <c r="E134" s="40" t="s">
        <v>2459</v>
      </c>
      <c r="F134" s="40"/>
      <c r="G134" s="40"/>
      <c r="H134" s="44" t="s">
        <v>2461</v>
      </c>
      <c r="I134" s="41">
        <v>107.62</v>
      </c>
      <c r="J134" s="41">
        <v>107.62</v>
      </c>
      <c r="K134" s="41">
        <v>5342.87</v>
      </c>
      <c r="L134" s="48">
        <v>575000</v>
      </c>
      <c r="N134" s="33">
        <f t="shared" si="4"/>
        <v>527522.935779816</v>
      </c>
      <c r="O134" s="33">
        <f t="shared" si="5"/>
        <v>47477.0642201835</v>
      </c>
    </row>
    <row r="135" customHeight="1" spans="1:15">
      <c r="A135" s="31">
        <v>132</v>
      </c>
      <c r="B135" s="41" t="s">
        <v>1529</v>
      </c>
      <c r="C135" s="51" t="s">
        <v>2465</v>
      </c>
      <c r="D135" s="46" t="s">
        <v>2466</v>
      </c>
      <c r="E135" s="41" t="s">
        <v>2467</v>
      </c>
      <c r="F135" s="41"/>
      <c r="G135" s="41"/>
      <c r="H135" s="42" t="s">
        <v>2469</v>
      </c>
      <c r="I135" s="41">
        <v>107.62</v>
      </c>
      <c r="J135" s="41">
        <v>107.62</v>
      </c>
      <c r="K135" s="41">
        <v>5600</v>
      </c>
      <c r="L135" s="48">
        <v>602672</v>
      </c>
      <c r="N135" s="33">
        <f t="shared" si="4"/>
        <v>552910.091743119</v>
      </c>
      <c r="O135" s="33">
        <f t="shared" si="5"/>
        <v>49761.9082568808</v>
      </c>
    </row>
    <row r="136" customHeight="1" spans="1:15">
      <c r="A136" s="31">
        <v>133</v>
      </c>
      <c r="B136" s="41" t="s">
        <v>2479</v>
      </c>
      <c r="C136" s="51" t="s">
        <v>2473</v>
      </c>
      <c r="D136" s="46" t="s">
        <v>2474</v>
      </c>
      <c r="E136" s="41" t="s">
        <v>2475</v>
      </c>
      <c r="F136" s="41"/>
      <c r="G136" s="41"/>
      <c r="H136" s="44" t="s">
        <v>2477</v>
      </c>
      <c r="I136" s="41">
        <v>107.62</v>
      </c>
      <c r="J136" s="41">
        <v>107.62</v>
      </c>
      <c r="K136" s="41">
        <v>5407.9</v>
      </c>
      <c r="L136" s="48">
        <v>582000</v>
      </c>
      <c r="N136" s="33">
        <f t="shared" si="4"/>
        <v>533944.95412844</v>
      </c>
      <c r="O136" s="33">
        <f t="shared" si="5"/>
        <v>48055.0458715596</v>
      </c>
    </row>
    <row r="137" customHeight="1" spans="1:15">
      <c r="A137" s="31">
        <v>134</v>
      </c>
      <c r="B137" s="41">
        <v>2023.5</v>
      </c>
      <c r="C137" s="51" t="s">
        <v>2480</v>
      </c>
      <c r="D137" s="46" t="s">
        <v>2481</v>
      </c>
      <c r="E137" s="41" t="s">
        <v>2482</v>
      </c>
      <c r="F137" s="41"/>
      <c r="G137" s="41"/>
      <c r="H137" s="42" t="s">
        <v>2484</v>
      </c>
      <c r="I137" s="41">
        <v>107.62</v>
      </c>
      <c r="J137" s="41">
        <v>107.62</v>
      </c>
      <c r="K137" s="41">
        <v>5407.9</v>
      </c>
      <c r="L137" s="48">
        <v>582000</v>
      </c>
      <c r="N137" s="33">
        <f t="shared" si="4"/>
        <v>533944.95412844</v>
      </c>
      <c r="O137" s="33">
        <f t="shared" si="5"/>
        <v>48055.0458715596</v>
      </c>
    </row>
    <row r="138" customHeight="1" spans="1:15">
      <c r="A138" s="31">
        <v>135</v>
      </c>
      <c r="B138" s="41" t="s">
        <v>2492</v>
      </c>
      <c r="C138" s="51" t="s">
        <v>2486</v>
      </c>
      <c r="D138" s="46" t="s">
        <v>2487</v>
      </c>
      <c r="E138" s="52" t="s">
        <v>2488</v>
      </c>
      <c r="F138" s="52"/>
      <c r="G138" s="52"/>
      <c r="H138" s="44" t="s">
        <v>2490</v>
      </c>
      <c r="I138" s="41">
        <v>107.62</v>
      </c>
      <c r="J138" s="41">
        <v>107.62</v>
      </c>
      <c r="K138" s="41">
        <v>5491.54</v>
      </c>
      <c r="L138" s="48">
        <v>591000</v>
      </c>
      <c r="N138" s="33">
        <f t="shared" si="4"/>
        <v>542201.834862385</v>
      </c>
      <c r="O138" s="33">
        <f t="shared" si="5"/>
        <v>48798.1651376147</v>
      </c>
    </row>
    <row r="139" customHeight="1" spans="1:15">
      <c r="A139" s="31">
        <v>136</v>
      </c>
      <c r="B139" s="41" t="s">
        <v>1400</v>
      </c>
      <c r="C139" s="51" t="s">
        <v>2494</v>
      </c>
      <c r="D139" s="46" t="s">
        <v>2495</v>
      </c>
      <c r="E139" s="52" t="s">
        <v>2496</v>
      </c>
      <c r="F139" s="52"/>
      <c r="G139" s="52"/>
      <c r="H139" s="42" t="s">
        <v>2498</v>
      </c>
      <c r="I139" s="41">
        <v>107.62</v>
      </c>
      <c r="J139" s="41">
        <v>107.62</v>
      </c>
      <c r="K139" s="41">
        <v>5483.27</v>
      </c>
      <c r="L139" s="48">
        <v>590000</v>
      </c>
      <c r="N139" s="33">
        <f t="shared" si="4"/>
        <v>541284.403669725</v>
      </c>
      <c r="O139" s="33">
        <f t="shared" si="5"/>
        <v>48715.5963302753</v>
      </c>
    </row>
    <row r="140" customHeight="1" spans="1:15">
      <c r="A140" s="31">
        <v>137</v>
      </c>
      <c r="B140" s="41" t="s">
        <v>1481</v>
      </c>
      <c r="C140" s="41">
        <v>20230001086</v>
      </c>
      <c r="D140" s="46" t="s">
        <v>2501</v>
      </c>
      <c r="E140" s="49" t="s">
        <v>2234</v>
      </c>
      <c r="F140" s="49"/>
      <c r="G140" s="49"/>
      <c r="H140" s="44" t="s">
        <v>2503</v>
      </c>
      <c r="I140" s="41">
        <v>107.62</v>
      </c>
      <c r="J140" s="41">
        <v>107.62</v>
      </c>
      <c r="K140" s="57">
        <v>5262.39</v>
      </c>
      <c r="L140" s="58">
        <v>566338</v>
      </c>
      <c r="N140" s="33">
        <f t="shared" si="4"/>
        <v>519576.146788991</v>
      </c>
      <c r="O140" s="33">
        <f t="shared" si="5"/>
        <v>46761.8532110092</v>
      </c>
    </row>
    <row r="141" customHeight="1" spans="1:15">
      <c r="A141" s="31">
        <v>138</v>
      </c>
      <c r="B141" s="41" t="s">
        <v>1347</v>
      </c>
      <c r="C141" s="51" t="s">
        <v>2510</v>
      </c>
      <c r="D141" s="46" t="s">
        <v>2511</v>
      </c>
      <c r="E141" s="49" t="s">
        <v>2218</v>
      </c>
      <c r="F141" s="49"/>
      <c r="G141" s="49"/>
      <c r="H141" s="42" t="s">
        <v>2513</v>
      </c>
      <c r="I141" s="41">
        <v>107.62</v>
      </c>
      <c r="J141" s="41">
        <v>107.62</v>
      </c>
      <c r="K141" s="41">
        <v>5256.38</v>
      </c>
      <c r="L141" s="48">
        <v>565692</v>
      </c>
      <c r="N141" s="33">
        <f t="shared" si="4"/>
        <v>518983.486238532</v>
      </c>
      <c r="O141" s="33">
        <f t="shared" si="5"/>
        <v>46708.5137614679</v>
      </c>
    </row>
    <row r="142" customHeight="1" spans="1:15">
      <c r="A142" s="31">
        <v>139</v>
      </c>
      <c r="B142" s="41" t="s">
        <v>1591</v>
      </c>
      <c r="C142" s="51" t="s">
        <v>2519</v>
      </c>
      <c r="D142" s="46" t="s">
        <v>2520</v>
      </c>
      <c r="E142" s="52" t="s">
        <v>2521</v>
      </c>
      <c r="F142" s="52"/>
      <c r="G142" s="52"/>
      <c r="H142" s="42" t="s">
        <v>2523</v>
      </c>
      <c r="I142" s="41">
        <v>107.62</v>
      </c>
      <c r="J142" s="41">
        <v>107.62</v>
      </c>
      <c r="K142" s="41">
        <v>5605.41</v>
      </c>
      <c r="L142" s="48">
        <v>603254</v>
      </c>
      <c r="N142" s="33">
        <f t="shared" si="4"/>
        <v>553444.036697248</v>
      </c>
      <c r="O142" s="33">
        <f t="shared" si="5"/>
        <v>49809.9633027524</v>
      </c>
    </row>
    <row r="143" customHeight="1" spans="1:15">
      <c r="A143" s="31">
        <v>140</v>
      </c>
      <c r="B143" s="41" t="s">
        <v>1137</v>
      </c>
      <c r="C143" s="51" t="s">
        <v>2526</v>
      </c>
      <c r="D143" s="46" t="s">
        <v>2527</v>
      </c>
      <c r="E143" s="52" t="s">
        <v>2528</v>
      </c>
      <c r="F143" s="52"/>
      <c r="G143" s="52"/>
      <c r="H143" s="42" t="s">
        <v>2530</v>
      </c>
      <c r="I143" s="41">
        <v>107.62</v>
      </c>
      <c r="J143" s="41">
        <v>107.62</v>
      </c>
      <c r="K143" s="41">
        <v>5301.38</v>
      </c>
      <c r="L143" s="48">
        <v>570535</v>
      </c>
      <c r="N143" s="33">
        <f t="shared" si="4"/>
        <v>523426.605504587</v>
      </c>
      <c r="O143" s="33">
        <f t="shared" si="5"/>
        <v>47108.3944954129</v>
      </c>
    </row>
    <row r="144" customHeight="1" spans="1:15">
      <c r="A144" s="31">
        <v>141</v>
      </c>
      <c r="B144" s="41" t="s">
        <v>1590</v>
      </c>
      <c r="C144" s="51" t="s">
        <v>2535</v>
      </c>
      <c r="D144" s="46" t="s">
        <v>2536</v>
      </c>
      <c r="E144" s="49" t="s">
        <v>2537</v>
      </c>
      <c r="F144" s="49"/>
      <c r="G144" s="49"/>
      <c r="H144" s="42" t="s">
        <v>2539</v>
      </c>
      <c r="I144" s="41">
        <v>107.62</v>
      </c>
      <c r="J144" s="41">
        <v>107.62</v>
      </c>
      <c r="K144" s="41">
        <v>5620</v>
      </c>
      <c r="L144" s="48">
        <v>604824</v>
      </c>
      <c r="N144" s="33">
        <f t="shared" si="4"/>
        <v>554884.403669725</v>
      </c>
      <c r="O144" s="33">
        <f t="shared" si="5"/>
        <v>49939.5963302753</v>
      </c>
    </row>
    <row r="145" customHeight="1" spans="1:15">
      <c r="A145" s="31">
        <v>142</v>
      </c>
      <c r="B145" s="41" t="s">
        <v>2401</v>
      </c>
      <c r="C145" s="51" t="s">
        <v>2543</v>
      </c>
      <c r="D145" s="56" t="s">
        <v>2544</v>
      </c>
      <c r="E145" s="52" t="s">
        <v>2252</v>
      </c>
      <c r="F145" s="52"/>
      <c r="G145" s="52"/>
      <c r="H145" s="44" t="s">
        <v>2546</v>
      </c>
      <c r="I145" s="41">
        <v>107.62</v>
      </c>
      <c r="J145" s="41">
        <v>107.62</v>
      </c>
      <c r="K145" s="41">
        <v>5621.63</v>
      </c>
      <c r="L145" s="48">
        <v>605000</v>
      </c>
      <c r="N145" s="33">
        <f t="shared" si="4"/>
        <v>555045.871559633</v>
      </c>
      <c r="O145" s="33">
        <f t="shared" si="5"/>
        <v>49954.1284403671</v>
      </c>
    </row>
    <row r="146" customHeight="1" spans="1:15">
      <c r="A146" s="31">
        <v>143</v>
      </c>
      <c r="B146" s="41" t="s">
        <v>2070</v>
      </c>
      <c r="C146" s="51" t="s">
        <v>2550</v>
      </c>
      <c r="D146" s="46" t="s">
        <v>2551</v>
      </c>
      <c r="E146" s="52" t="s">
        <v>2226</v>
      </c>
      <c r="F146" s="52"/>
      <c r="G146" s="52"/>
      <c r="H146" s="42" t="s">
        <v>2553</v>
      </c>
      <c r="I146" s="41">
        <v>107.62</v>
      </c>
      <c r="J146" s="41">
        <v>107.62</v>
      </c>
      <c r="K146" s="41">
        <v>5657.76</v>
      </c>
      <c r="L146" s="48">
        <v>608888</v>
      </c>
      <c r="N146" s="33">
        <f t="shared" si="4"/>
        <v>558612.844036697</v>
      </c>
      <c r="O146" s="33">
        <f t="shared" si="5"/>
        <v>50275.1559633028</v>
      </c>
    </row>
    <row r="147" customHeight="1" spans="1:15">
      <c r="A147" s="31">
        <v>144</v>
      </c>
      <c r="B147" s="41" t="s">
        <v>2565</v>
      </c>
      <c r="C147" s="51" t="s">
        <v>2557</v>
      </c>
      <c r="D147" s="56" t="s">
        <v>2558</v>
      </c>
      <c r="E147" s="52" t="s">
        <v>2559</v>
      </c>
      <c r="F147" s="52"/>
      <c r="G147" s="52"/>
      <c r="H147" s="44" t="s">
        <v>2561</v>
      </c>
      <c r="I147" s="41">
        <v>107.62</v>
      </c>
      <c r="J147" s="41">
        <v>107.62</v>
      </c>
      <c r="K147" s="41">
        <v>5657.76</v>
      </c>
      <c r="L147" s="48">
        <v>608888</v>
      </c>
      <c r="N147" s="33">
        <f t="shared" si="4"/>
        <v>558612.844036697</v>
      </c>
      <c r="O147" s="33">
        <f t="shared" si="5"/>
        <v>50275.1559633028</v>
      </c>
    </row>
    <row r="148" customHeight="1" spans="1:15">
      <c r="A148" s="31">
        <v>145</v>
      </c>
      <c r="B148" s="41" t="s">
        <v>2573</v>
      </c>
      <c r="C148" s="51" t="s">
        <v>2567</v>
      </c>
      <c r="D148" s="46" t="s">
        <v>2568</v>
      </c>
      <c r="E148" s="41" t="s">
        <v>2569</v>
      </c>
      <c r="F148" s="41"/>
      <c r="G148" s="41"/>
      <c r="H148" s="42" t="s">
        <v>2571</v>
      </c>
      <c r="I148" s="41">
        <v>107.62</v>
      </c>
      <c r="J148" s="41">
        <v>107.62</v>
      </c>
      <c r="K148" s="41">
        <v>5950</v>
      </c>
      <c r="L148" s="48">
        <v>640339</v>
      </c>
      <c r="N148" s="33">
        <f t="shared" si="4"/>
        <v>587466.972477064</v>
      </c>
      <c r="O148" s="33">
        <f t="shared" si="5"/>
        <v>52872.0275229358</v>
      </c>
    </row>
    <row r="149" customHeight="1" spans="1:15">
      <c r="A149" s="31">
        <v>146</v>
      </c>
      <c r="B149" s="41" t="s">
        <v>1591</v>
      </c>
      <c r="C149" s="51" t="s">
        <v>2576</v>
      </c>
      <c r="D149" s="46" t="s">
        <v>2577</v>
      </c>
      <c r="E149" s="52" t="s">
        <v>2578</v>
      </c>
      <c r="F149" s="52"/>
      <c r="G149" s="52"/>
      <c r="H149" s="44" t="s">
        <v>2580</v>
      </c>
      <c r="I149" s="41">
        <v>107.62</v>
      </c>
      <c r="J149" s="41">
        <v>107.62</v>
      </c>
      <c r="K149" s="41">
        <v>5965.4</v>
      </c>
      <c r="L149" s="48">
        <v>642000</v>
      </c>
      <c r="N149" s="33">
        <f t="shared" si="4"/>
        <v>588990.825688073</v>
      </c>
      <c r="O149" s="33">
        <f t="shared" si="5"/>
        <v>53009.1743119267</v>
      </c>
    </row>
    <row r="150" customHeight="1" spans="1:15">
      <c r="A150" s="31">
        <v>147</v>
      </c>
      <c r="B150" s="41" t="s">
        <v>1443</v>
      </c>
      <c r="C150" s="51" t="s">
        <v>2583</v>
      </c>
      <c r="D150" s="46" t="s">
        <v>2584</v>
      </c>
      <c r="E150" s="52" t="s">
        <v>2585</v>
      </c>
      <c r="F150" s="52"/>
      <c r="G150" s="52"/>
      <c r="H150" s="42" t="s">
        <v>2587</v>
      </c>
      <c r="I150" s="41">
        <v>107.62</v>
      </c>
      <c r="J150" s="41">
        <v>107.62</v>
      </c>
      <c r="K150" s="41">
        <v>7116</v>
      </c>
      <c r="L150" s="48">
        <v>765824</v>
      </c>
      <c r="N150" s="33">
        <f t="shared" si="4"/>
        <v>702590.825688073</v>
      </c>
      <c r="O150" s="33">
        <f t="shared" si="5"/>
        <v>63233.1743119267</v>
      </c>
    </row>
    <row r="151" customHeight="1" spans="1:15">
      <c r="A151" s="31">
        <v>148</v>
      </c>
      <c r="B151" s="41" t="s">
        <v>2304</v>
      </c>
      <c r="C151" s="51" t="s">
        <v>2591</v>
      </c>
      <c r="D151" s="46" t="s">
        <v>2592</v>
      </c>
      <c r="E151" s="49" t="s">
        <v>2593</v>
      </c>
      <c r="F151" s="49"/>
      <c r="G151" s="49"/>
      <c r="H151" s="44" t="s">
        <v>2595</v>
      </c>
      <c r="I151" s="41">
        <v>107.62</v>
      </c>
      <c r="J151" s="41">
        <v>107.62</v>
      </c>
      <c r="K151" s="41">
        <v>6968.96</v>
      </c>
      <c r="L151" s="48">
        <v>750000</v>
      </c>
      <c r="N151" s="33">
        <f t="shared" si="4"/>
        <v>688073.394495413</v>
      </c>
      <c r="O151" s="33">
        <f t="shared" si="5"/>
        <v>61926.6055045872</v>
      </c>
    </row>
    <row r="152" customHeight="1" spans="1:15">
      <c r="A152" s="31">
        <v>149</v>
      </c>
      <c r="B152" s="41" t="s">
        <v>447</v>
      </c>
      <c r="C152" s="51" t="s">
        <v>2600</v>
      </c>
      <c r="D152" s="46" t="s">
        <v>2601</v>
      </c>
      <c r="E152" s="52" t="s">
        <v>2602</v>
      </c>
      <c r="F152" s="52"/>
      <c r="G152" s="52"/>
      <c r="H152" s="44" t="s">
        <v>2603</v>
      </c>
      <c r="I152" s="41">
        <v>107.98</v>
      </c>
      <c r="J152" s="41">
        <v>107.98</v>
      </c>
      <c r="K152" s="41">
        <v>7992.01</v>
      </c>
      <c r="L152" s="48">
        <v>862977</v>
      </c>
      <c r="N152" s="33">
        <f t="shared" si="4"/>
        <v>791722.018348624</v>
      </c>
      <c r="O152" s="33">
        <f t="shared" si="5"/>
        <v>71254.9816513762</v>
      </c>
    </row>
    <row r="153" customHeight="1" spans="1:15">
      <c r="A153" s="31">
        <v>150</v>
      </c>
      <c r="B153" s="54">
        <v>45417</v>
      </c>
      <c r="C153" s="51" t="s">
        <v>2612</v>
      </c>
      <c r="D153" s="46" t="s">
        <v>2613</v>
      </c>
      <c r="E153" s="52" t="s">
        <v>2614</v>
      </c>
      <c r="F153" s="52"/>
      <c r="G153" s="52"/>
      <c r="H153" s="44" t="s">
        <v>2616</v>
      </c>
      <c r="I153" s="41">
        <v>107.98</v>
      </c>
      <c r="J153" s="41">
        <v>107.98</v>
      </c>
      <c r="K153" s="41">
        <v>5600</v>
      </c>
      <c r="L153" s="48">
        <v>604688</v>
      </c>
      <c r="N153" s="33">
        <f t="shared" si="4"/>
        <v>554759.633027523</v>
      </c>
      <c r="O153" s="33">
        <f t="shared" si="5"/>
        <v>49928.3669724771</v>
      </c>
    </row>
    <row r="154" customHeight="1" spans="1:15">
      <c r="A154" s="31">
        <v>151</v>
      </c>
      <c r="B154" s="41" t="s">
        <v>734</v>
      </c>
      <c r="C154" s="50" t="s">
        <v>2620</v>
      </c>
      <c r="D154" s="46" t="s">
        <v>2621</v>
      </c>
      <c r="E154" s="52" t="s">
        <v>2254</v>
      </c>
      <c r="F154" s="52"/>
      <c r="G154" s="52"/>
      <c r="H154" s="42" t="s">
        <v>2623</v>
      </c>
      <c r="I154" s="41">
        <v>107.62</v>
      </c>
      <c r="J154" s="41">
        <v>107.62</v>
      </c>
      <c r="K154" s="59">
        <v>5650</v>
      </c>
      <c r="L154" s="48">
        <v>608053</v>
      </c>
      <c r="N154" s="33">
        <f t="shared" si="4"/>
        <v>557846.788990826</v>
      </c>
      <c r="O154" s="33">
        <f t="shared" si="5"/>
        <v>50206.2110091744</v>
      </c>
    </row>
    <row r="155" customHeight="1" spans="1:15">
      <c r="A155" s="31">
        <v>152</v>
      </c>
      <c r="B155" s="41" t="s">
        <v>2634</v>
      </c>
      <c r="C155" s="51" t="s">
        <v>2627</v>
      </c>
      <c r="D155" s="46" t="s">
        <v>2628</v>
      </c>
      <c r="E155" s="52" t="s">
        <v>2629</v>
      </c>
      <c r="F155" s="52"/>
      <c r="G155" s="52"/>
      <c r="H155" s="42" t="s">
        <v>2631</v>
      </c>
      <c r="I155" s="41">
        <v>107.98</v>
      </c>
      <c r="J155" s="41">
        <v>107.98</v>
      </c>
      <c r="K155" s="41">
        <v>5649</v>
      </c>
      <c r="L155" s="48">
        <v>609979</v>
      </c>
      <c r="N155" s="33">
        <f t="shared" si="4"/>
        <v>559613.76146789</v>
      </c>
      <c r="O155" s="33">
        <f t="shared" si="5"/>
        <v>50365.2385321101</v>
      </c>
    </row>
    <row r="156" customHeight="1" spans="1:15">
      <c r="A156" s="31">
        <v>153</v>
      </c>
      <c r="B156" s="41" t="s">
        <v>1145</v>
      </c>
      <c r="C156" s="51" t="s">
        <v>2636</v>
      </c>
      <c r="D156" s="46" t="s">
        <v>2637</v>
      </c>
      <c r="E156" s="52" t="s">
        <v>2638</v>
      </c>
      <c r="F156" s="52"/>
      <c r="G156" s="52"/>
      <c r="H156" s="42" t="s">
        <v>2640</v>
      </c>
      <c r="I156" s="41">
        <v>107.62</v>
      </c>
      <c r="J156" s="41">
        <v>107.62</v>
      </c>
      <c r="K156" s="41">
        <v>5723.84</v>
      </c>
      <c r="L156" s="48">
        <v>616000</v>
      </c>
      <c r="N156" s="33">
        <f t="shared" si="4"/>
        <v>565137.614678899</v>
      </c>
      <c r="O156" s="33">
        <f t="shared" si="5"/>
        <v>50862.3853211009</v>
      </c>
    </row>
    <row r="157" customHeight="1" spans="1:15">
      <c r="A157" s="31">
        <v>154</v>
      </c>
      <c r="B157" s="41" t="s">
        <v>944</v>
      </c>
      <c r="C157" s="51" t="s">
        <v>2645</v>
      </c>
      <c r="D157" s="1024" t="s">
        <v>2646</v>
      </c>
      <c r="E157" s="52" t="s">
        <v>2647</v>
      </c>
      <c r="F157" s="52"/>
      <c r="G157" s="52"/>
      <c r="H157" s="44" t="s">
        <v>2648</v>
      </c>
      <c r="I157" s="41">
        <v>107.98</v>
      </c>
      <c r="J157" s="41">
        <v>107.98</v>
      </c>
      <c r="K157" s="41">
        <v>5660</v>
      </c>
      <c r="L157" s="48">
        <v>611167</v>
      </c>
      <c r="N157" s="33">
        <f t="shared" si="4"/>
        <v>560703.669724771</v>
      </c>
      <c r="O157" s="33">
        <f t="shared" si="5"/>
        <v>50463.3302752294</v>
      </c>
    </row>
    <row r="158" customHeight="1" spans="1:15">
      <c r="A158" s="31">
        <v>155</v>
      </c>
      <c r="B158" s="41" t="s">
        <v>964</v>
      </c>
      <c r="C158" s="51" t="s">
        <v>2651</v>
      </c>
      <c r="D158" s="46" t="s">
        <v>2652</v>
      </c>
      <c r="E158" s="52" t="s">
        <v>2653</v>
      </c>
      <c r="F158" s="52"/>
      <c r="G158" s="52"/>
      <c r="H158" s="42" t="s">
        <v>2655</v>
      </c>
      <c r="I158" s="41">
        <v>107.62</v>
      </c>
      <c r="J158" s="41">
        <v>107.62</v>
      </c>
      <c r="K158" s="41">
        <v>5482.25</v>
      </c>
      <c r="L158" s="48">
        <v>590000</v>
      </c>
      <c r="N158" s="33">
        <f t="shared" si="4"/>
        <v>541284.403669725</v>
      </c>
      <c r="O158" s="33">
        <f t="shared" si="5"/>
        <v>48715.5963302753</v>
      </c>
    </row>
    <row r="159" customHeight="1" spans="1:15">
      <c r="A159" s="31">
        <v>156</v>
      </c>
      <c r="B159" s="41" t="s">
        <v>928</v>
      </c>
      <c r="C159" s="46" t="s">
        <v>2659</v>
      </c>
      <c r="D159" s="46" t="s">
        <v>6795</v>
      </c>
      <c r="E159" s="52" t="s">
        <v>2661</v>
      </c>
      <c r="F159" s="52"/>
      <c r="G159" s="52"/>
      <c r="H159" s="44" t="s">
        <v>2663</v>
      </c>
      <c r="I159" s="41">
        <v>107.98</v>
      </c>
      <c r="J159" s="41">
        <v>107.98</v>
      </c>
      <c r="K159" s="41">
        <v>5800</v>
      </c>
      <c r="L159" s="48">
        <v>626284</v>
      </c>
      <c r="N159" s="33">
        <f t="shared" si="4"/>
        <v>574572.47706422</v>
      </c>
      <c r="O159" s="33">
        <f t="shared" si="5"/>
        <v>51711.5229357799</v>
      </c>
    </row>
    <row r="160" customHeight="1" spans="1:15">
      <c r="A160" s="31">
        <v>157</v>
      </c>
      <c r="B160" s="41" t="s">
        <v>2043</v>
      </c>
      <c r="C160" s="41">
        <v>20230003244</v>
      </c>
      <c r="D160" s="46" t="s">
        <v>2666</v>
      </c>
      <c r="E160" s="52" t="s">
        <v>2667</v>
      </c>
      <c r="F160" s="52"/>
      <c r="G160" s="52"/>
      <c r="H160" s="42" t="s">
        <v>2669</v>
      </c>
      <c r="I160" s="41">
        <v>107.62</v>
      </c>
      <c r="J160" s="41">
        <v>107.62</v>
      </c>
      <c r="K160" s="41">
        <v>5566.5</v>
      </c>
      <c r="L160" s="43">
        <v>599067</v>
      </c>
      <c r="N160" s="33">
        <f t="shared" si="4"/>
        <v>549602.752293578</v>
      </c>
      <c r="O160" s="33">
        <f t="shared" si="5"/>
        <v>49464.2477064221</v>
      </c>
    </row>
    <row r="161" customHeight="1" spans="1:15">
      <c r="A161" s="31">
        <v>158</v>
      </c>
      <c r="B161" s="41" t="s">
        <v>1574</v>
      </c>
      <c r="C161" s="41">
        <v>20230003314</v>
      </c>
      <c r="D161" s="46" t="s">
        <v>2672</v>
      </c>
      <c r="E161" s="49" t="s">
        <v>2673</v>
      </c>
      <c r="F161" s="49"/>
      <c r="G161" s="49"/>
      <c r="H161" s="44" t="s">
        <v>2674</v>
      </c>
      <c r="I161" s="41">
        <v>107.98</v>
      </c>
      <c r="J161" s="41">
        <v>107.98</v>
      </c>
      <c r="K161" s="41">
        <v>5547.32</v>
      </c>
      <c r="L161" s="43">
        <v>599000</v>
      </c>
      <c r="N161" s="33">
        <f t="shared" si="4"/>
        <v>549541.28440367</v>
      </c>
      <c r="O161" s="33">
        <f t="shared" si="5"/>
        <v>49458.7155963304</v>
      </c>
    </row>
    <row r="162" customHeight="1" spans="1:15">
      <c r="A162" s="31">
        <v>159</v>
      </c>
      <c r="B162" s="41" t="s">
        <v>1094</v>
      </c>
      <c r="C162" s="51" t="s">
        <v>2677</v>
      </c>
      <c r="D162" s="46" t="s">
        <v>2678</v>
      </c>
      <c r="E162" s="52" t="s">
        <v>2679</v>
      </c>
      <c r="F162" s="52"/>
      <c r="G162" s="52"/>
      <c r="H162" s="42" t="s">
        <v>2681</v>
      </c>
      <c r="I162" s="41">
        <v>107.62</v>
      </c>
      <c r="J162" s="41">
        <v>107.62</v>
      </c>
      <c r="K162" s="41">
        <v>5863.22</v>
      </c>
      <c r="L162" s="48">
        <v>631000</v>
      </c>
      <c r="N162" s="33">
        <f t="shared" si="4"/>
        <v>578899.082568807</v>
      </c>
      <c r="O162" s="33">
        <f t="shared" si="5"/>
        <v>52100.9174311927</v>
      </c>
    </row>
    <row r="163" customHeight="1" spans="1:15">
      <c r="A163" s="31">
        <v>160</v>
      </c>
      <c r="B163" s="41" t="s">
        <v>595</v>
      </c>
      <c r="C163" s="41">
        <v>20230005717</v>
      </c>
      <c r="D163" s="46" t="s">
        <v>2685</v>
      </c>
      <c r="E163" s="52" t="s">
        <v>2686</v>
      </c>
      <c r="F163" s="52"/>
      <c r="G163" s="52"/>
      <c r="H163" s="44" t="s">
        <v>2688</v>
      </c>
      <c r="I163" s="41">
        <v>107.98</v>
      </c>
      <c r="J163" s="41">
        <v>107.98</v>
      </c>
      <c r="K163" s="41">
        <v>5881.59</v>
      </c>
      <c r="L163" s="43">
        <v>635094</v>
      </c>
      <c r="N163" s="33">
        <f t="shared" si="4"/>
        <v>582655.04587156</v>
      </c>
      <c r="O163" s="33">
        <f t="shared" si="5"/>
        <v>52438.9541284404</v>
      </c>
    </row>
    <row r="164" customHeight="1" spans="1:15">
      <c r="A164" s="31">
        <v>161</v>
      </c>
      <c r="B164" s="41" t="s">
        <v>1507</v>
      </c>
      <c r="C164" s="41">
        <v>20230004619</v>
      </c>
      <c r="D164" s="46" t="s">
        <v>2691</v>
      </c>
      <c r="E164" s="41" t="s">
        <v>2692</v>
      </c>
      <c r="F164" s="41"/>
      <c r="G164" s="41"/>
      <c r="H164" s="42" t="s">
        <v>2694</v>
      </c>
      <c r="I164" s="41">
        <v>107.62</v>
      </c>
      <c r="J164" s="41">
        <v>107.62</v>
      </c>
      <c r="K164" s="41">
        <v>5918.84</v>
      </c>
      <c r="L164" s="43">
        <v>636986</v>
      </c>
      <c r="N164" s="33">
        <f t="shared" si="4"/>
        <v>584390.825688073</v>
      </c>
      <c r="O164" s="33">
        <f t="shared" si="5"/>
        <v>52595.1743119267</v>
      </c>
    </row>
    <row r="165" customHeight="1" spans="1:15">
      <c r="A165" s="31">
        <v>162</v>
      </c>
      <c r="B165" s="41">
        <v>2023.6</v>
      </c>
      <c r="C165" s="41">
        <v>20230005387</v>
      </c>
      <c r="D165" s="46" t="s">
        <v>2698</v>
      </c>
      <c r="E165" s="41" t="s">
        <v>2699</v>
      </c>
      <c r="F165" s="41"/>
      <c r="G165" s="41"/>
      <c r="H165" s="44" t="s">
        <v>2700</v>
      </c>
      <c r="I165" s="41">
        <v>107.98</v>
      </c>
      <c r="J165" s="41">
        <v>107.98</v>
      </c>
      <c r="K165" s="41">
        <v>5907.41804037785</v>
      </c>
      <c r="L165" s="43">
        <v>637883</v>
      </c>
      <c r="N165" s="33">
        <f t="shared" si="4"/>
        <v>585213.76146789</v>
      </c>
      <c r="O165" s="33">
        <f t="shared" si="5"/>
        <v>52669.2385321101</v>
      </c>
    </row>
    <row r="166" customHeight="1" spans="1:15">
      <c r="A166" s="31">
        <v>163</v>
      </c>
      <c r="B166" s="41" t="s">
        <v>2384</v>
      </c>
      <c r="C166" s="41">
        <v>20230004337</v>
      </c>
      <c r="D166" s="1023" t="s">
        <v>2703</v>
      </c>
      <c r="E166" s="41" t="s">
        <v>2242</v>
      </c>
      <c r="F166" s="41"/>
      <c r="G166" s="41"/>
      <c r="H166" s="42" t="s">
        <v>2704</v>
      </c>
      <c r="I166" s="41">
        <v>107.62</v>
      </c>
      <c r="J166" s="41">
        <v>107.62</v>
      </c>
      <c r="K166" s="41">
        <v>5696</v>
      </c>
      <c r="L166" s="43">
        <v>613003</v>
      </c>
      <c r="N166" s="33">
        <f t="shared" si="4"/>
        <v>562388.073394495</v>
      </c>
      <c r="O166" s="33">
        <f t="shared" si="5"/>
        <v>50614.9266055046</v>
      </c>
    </row>
    <row r="167" customHeight="1" spans="1:15">
      <c r="A167" s="31">
        <v>164</v>
      </c>
      <c r="B167" s="54">
        <v>45121</v>
      </c>
      <c r="C167" s="41">
        <v>20230005922</v>
      </c>
      <c r="D167" s="46" t="s">
        <v>2706</v>
      </c>
      <c r="E167" s="41" t="s">
        <v>2707</v>
      </c>
      <c r="F167" s="41"/>
      <c r="G167" s="41"/>
      <c r="H167" s="44" t="s">
        <v>2709</v>
      </c>
      <c r="I167" s="41">
        <v>107.98</v>
      </c>
      <c r="J167" s="41">
        <v>107.98</v>
      </c>
      <c r="K167" s="41">
        <v>5910</v>
      </c>
      <c r="L167" s="43">
        <v>638162</v>
      </c>
      <c r="N167" s="33">
        <f t="shared" si="4"/>
        <v>585469.724770642</v>
      </c>
      <c r="O167" s="33">
        <f t="shared" si="5"/>
        <v>52692.2752293579</v>
      </c>
    </row>
    <row r="168" customHeight="1" spans="1:15">
      <c r="A168" s="31">
        <v>165</v>
      </c>
      <c r="B168" s="41" t="s">
        <v>430</v>
      </c>
      <c r="C168" s="41">
        <v>20230008557</v>
      </c>
      <c r="D168" s="46" t="s">
        <v>2714</v>
      </c>
      <c r="E168" s="41" t="s">
        <v>2715</v>
      </c>
      <c r="F168" s="41"/>
      <c r="G168" s="41"/>
      <c r="H168" s="42" t="s">
        <v>2717</v>
      </c>
      <c r="I168" s="41">
        <v>107.62</v>
      </c>
      <c r="J168" s="41">
        <v>107.62</v>
      </c>
      <c r="K168" s="41">
        <v>5946.85</v>
      </c>
      <c r="L168" s="43">
        <v>640000</v>
      </c>
      <c r="N168" s="33">
        <f t="shared" si="4"/>
        <v>587155.963302752</v>
      </c>
      <c r="O168" s="33">
        <f t="shared" si="5"/>
        <v>52844.0366972478</v>
      </c>
    </row>
    <row r="169" customHeight="1" spans="1:15">
      <c r="A169" s="31">
        <v>166</v>
      </c>
      <c r="B169" s="41" t="s">
        <v>985</v>
      </c>
      <c r="C169" s="41">
        <v>20230009213</v>
      </c>
      <c r="D169" s="46" t="s">
        <v>2720</v>
      </c>
      <c r="E169" s="40" t="s">
        <v>2721</v>
      </c>
      <c r="F169" s="40"/>
      <c r="G169" s="40"/>
      <c r="H169" s="42" t="s">
        <v>2723</v>
      </c>
      <c r="I169" s="41">
        <v>107.98</v>
      </c>
      <c r="J169" s="41">
        <v>107.98</v>
      </c>
      <c r="K169" s="41">
        <v>5980</v>
      </c>
      <c r="L169" s="43">
        <v>645720</v>
      </c>
      <c r="N169" s="33">
        <f t="shared" si="4"/>
        <v>592403.669724771</v>
      </c>
      <c r="O169" s="33">
        <f t="shared" si="5"/>
        <v>53316.3302752294</v>
      </c>
    </row>
    <row r="170" customHeight="1" spans="1:15">
      <c r="A170" s="31">
        <v>167</v>
      </c>
      <c r="B170" s="41" t="s">
        <v>2732</v>
      </c>
      <c r="C170" s="41">
        <v>20240000479</v>
      </c>
      <c r="D170" s="46" t="s">
        <v>2727</v>
      </c>
      <c r="E170" s="41" t="s">
        <v>2728</v>
      </c>
      <c r="F170" s="41"/>
      <c r="G170" s="41"/>
      <c r="H170" s="42" t="s">
        <v>2730</v>
      </c>
      <c r="I170" s="41">
        <v>107.62</v>
      </c>
      <c r="J170" s="41">
        <v>107.62</v>
      </c>
      <c r="K170" s="41">
        <v>7015.42</v>
      </c>
      <c r="L170" s="43">
        <v>755000</v>
      </c>
      <c r="N170" s="33">
        <f t="shared" si="4"/>
        <v>692660.550458716</v>
      </c>
      <c r="O170" s="33">
        <f t="shared" si="5"/>
        <v>62339.4495412845</v>
      </c>
    </row>
    <row r="171" customHeight="1" spans="1:15">
      <c r="A171" s="31">
        <v>168</v>
      </c>
      <c r="B171" s="41" t="s">
        <v>2739</v>
      </c>
      <c r="C171" s="41">
        <v>20230006969</v>
      </c>
      <c r="D171" s="46" t="s">
        <v>2734</v>
      </c>
      <c r="E171" s="41" t="s">
        <v>2735</v>
      </c>
      <c r="F171" s="41"/>
      <c r="G171" s="41"/>
      <c r="H171" s="42" t="s">
        <v>2737</v>
      </c>
      <c r="I171" s="41">
        <v>107.98</v>
      </c>
      <c r="J171" s="41">
        <v>107.98</v>
      </c>
      <c r="K171" s="41">
        <v>6945.73</v>
      </c>
      <c r="L171" s="43">
        <v>750000</v>
      </c>
      <c r="N171" s="33">
        <f t="shared" si="4"/>
        <v>688073.394495413</v>
      </c>
      <c r="O171" s="33">
        <f t="shared" si="5"/>
        <v>61926.6055045872</v>
      </c>
    </row>
    <row r="172" customHeight="1" spans="1:15">
      <c r="A172" s="31">
        <v>169</v>
      </c>
      <c r="B172" s="41" t="s">
        <v>1377</v>
      </c>
      <c r="C172" s="41">
        <v>20230001167</v>
      </c>
      <c r="D172" s="46" t="s">
        <v>6796</v>
      </c>
      <c r="E172" s="40" t="s">
        <v>2810</v>
      </c>
      <c r="F172" s="40"/>
      <c r="G172" s="40"/>
      <c r="H172" s="42" t="s">
        <v>2812</v>
      </c>
      <c r="I172" s="41">
        <v>107.77</v>
      </c>
      <c r="J172" s="41">
        <v>107.77</v>
      </c>
      <c r="K172" s="41">
        <v>5133.88</v>
      </c>
      <c r="L172" s="43">
        <v>552457</v>
      </c>
      <c r="N172" s="33">
        <f t="shared" si="4"/>
        <v>506841.28440367</v>
      </c>
      <c r="O172" s="33">
        <f t="shared" si="5"/>
        <v>45615.7155963303</v>
      </c>
    </row>
    <row r="173" customHeight="1" spans="1:15">
      <c r="A173" s="31">
        <v>170</v>
      </c>
      <c r="B173" s="54">
        <v>45278</v>
      </c>
      <c r="C173" s="41">
        <v>20230010456</v>
      </c>
      <c r="D173" s="46" t="s">
        <v>2826</v>
      </c>
      <c r="E173" s="41" t="s">
        <v>2827</v>
      </c>
      <c r="F173" s="41"/>
      <c r="G173" s="41"/>
      <c r="H173" s="42" t="s">
        <v>2828</v>
      </c>
      <c r="I173" s="41">
        <v>107.77</v>
      </c>
      <c r="J173" s="41">
        <v>107.77</v>
      </c>
      <c r="K173" s="41">
        <v>5603.568</v>
      </c>
      <c r="L173" s="43">
        <v>603897</v>
      </c>
      <c r="N173" s="33">
        <f t="shared" si="4"/>
        <v>554033.944954128</v>
      </c>
      <c r="O173" s="33">
        <f t="shared" si="5"/>
        <v>49863.0550458716</v>
      </c>
    </row>
    <row r="174" customHeight="1" spans="1:15">
      <c r="A174" s="31">
        <v>171</v>
      </c>
      <c r="B174" s="41" t="s">
        <v>1416</v>
      </c>
      <c r="C174" s="41">
        <v>20230000833</v>
      </c>
      <c r="D174" s="46" t="s">
        <v>2834</v>
      </c>
      <c r="E174" s="41" t="s">
        <v>2753</v>
      </c>
      <c r="F174" s="41"/>
      <c r="G174" s="41"/>
      <c r="H174" s="44" t="s">
        <v>2836</v>
      </c>
      <c r="I174" s="41">
        <v>108.14</v>
      </c>
      <c r="J174" s="41">
        <v>108.14</v>
      </c>
      <c r="K174" s="41">
        <v>5202.38</v>
      </c>
      <c r="L174" s="43">
        <v>562585</v>
      </c>
      <c r="N174" s="33">
        <f t="shared" si="4"/>
        <v>516133.027522936</v>
      </c>
      <c r="O174" s="33">
        <f t="shared" si="5"/>
        <v>46451.9724770642</v>
      </c>
    </row>
    <row r="175" customHeight="1" spans="1:15">
      <c r="A175" s="31">
        <v>172</v>
      </c>
      <c r="B175" s="41" t="s">
        <v>2121</v>
      </c>
      <c r="C175" s="41">
        <v>20230003652</v>
      </c>
      <c r="D175" s="46" t="s">
        <v>2841</v>
      </c>
      <c r="E175" s="40" t="s">
        <v>2842</v>
      </c>
      <c r="F175" s="40"/>
      <c r="G175" s="40"/>
      <c r="H175" s="42" t="s">
        <v>2844</v>
      </c>
      <c r="I175" s="41">
        <v>107.77</v>
      </c>
      <c r="J175" s="41">
        <v>107.77</v>
      </c>
      <c r="K175" s="41">
        <v>5440</v>
      </c>
      <c r="L175" s="43">
        <v>586269</v>
      </c>
      <c r="N175" s="33">
        <f t="shared" si="4"/>
        <v>537861.467889908</v>
      </c>
      <c r="O175" s="33">
        <f t="shared" si="5"/>
        <v>48407.5321100918</v>
      </c>
    </row>
    <row r="176" customHeight="1" spans="1:15">
      <c r="A176" s="31">
        <v>173</v>
      </c>
      <c r="B176" s="41" t="s">
        <v>1481</v>
      </c>
      <c r="C176" s="41">
        <v>20230001094</v>
      </c>
      <c r="D176" s="46" t="s">
        <v>2847</v>
      </c>
      <c r="E176" s="41" t="s">
        <v>2848</v>
      </c>
      <c r="F176" s="41"/>
      <c r="G176" s="41"/>
      <c r="H176" s="44" t="s">
        <v>2850</v>
      </c>
      <c r="I176" s="41">
        <v>108.14</v>
      </c>
      <c r="J176" s="41">
        <v>108.14</v>
      </c>
      <c r="K176" s="41">
        <v>5388</v>
      </c>
      <c r="L176" s="43">
        <v>582658</v>
      </c>
      <c r="N176" s="33">
        <f t="shared" si="4"/>
        <v>534548.623853211</v>
      </c>
      <c r="O176" s="33">
        <f t="shared" si="5"/>
        <v>48109.3761467891</v>
      </c>
    </row>
    <row r="177" customHeight="1" spans="1:15">
      <c r="A177" s="31">
        <v>174</v>
      </c>
      <c r="B177" s="41" t="s">
        <v>1346</v>
      </c>
      <c r="C177" s="41">
        <v>20230001270</v>
      </c>
      <c r="D177" s="46" t="s">
        <v>2854</v>
      </c>
      <c r="E177" s="41" t="s">
        <v>2855</v>
      </c>
      <c r="F177" s="41"/>
      <c r="G177" s="41"/>
      <c r="H177" s="42" t="s">
        <v>2857</v>
      </c>
      <c r="I177" s="41">
        <v>107.77</v>
      </c>
      <c r="J177" s="41">
        <v>107.77</v>
      </c>
      <c r="K177" s="41">
        <v>5258.88</v>
      </c>
      <c r="L177" s="43">
        <v>566749</v>
      </c>
      <c r="N177" s="33">
        <f t="shared" si="4"/>
        <v>519953.211009174</v>
      </c>
      <c r="O177" s="33">
        <f t="shared" si="5"/>
        <v>46795.7889908257</v>
      </c>
    </row>
    <row r="178" customHeight="1" spans="1:15">
      <c r="A178" s="31">
        <v>175</v>
      </c>
      <c r="B178" s="41" t="s">
        <v>2868</v>
      </c>
      <c r="C178" s="41">
        <v>20230000205</v>
      </c>
      <c r="D178" s="46" t="s">
        <v>2863</v>
      </c>
      <c r="E178" s="41" t="s">
        <v>2751</v>
      </c>
      <c r="F178" s="41"/>
      <c r="G178" s="41"/>
      <c r="H178" s="42" t="s">
        <v>2864</v>
      </c>
      <c r="I178" s="41">
        <v>108.14</v>
      </c>
      <c r="J178" s="41">
        <v>108.14</v>
      </c>
      <c r="K178" s="41">
        <v>5292.38</v>
      </c>
      <c r="L178" s="43">
        <v>572318</v>
      </c>
      <c r="N178" s="33">
        <f t="shared" si="4"/>
        <v>525062.385321101</v>
      </c>
      <c r="O178" s="33">
        <f t="shared" si="5"/>
        <v>47255.6146788992</v>
      </c>
    </row>
    <row r="179" customHeight="1" spans="1:15">
      <c r="A179" s="31">
        <v>176</v>
      </c>
      <c r="B179" s="41" t="s">
        <v>1467</v>
      </c>
      <c r="C179" s="41">
        <v>20230004214</v>
      </c>
      <c r="D179" s="46" t="s">
        <v>6797</v>
      </c>
      <c r="E179" s="41" t="s">
        <v>2871</v>
      </c>
      <c r="F179" s="41"/>
      <c r="G179" s="41"/>
      <c r="H179" s="42" t="s">
        <v>2873</v>
      </c>
      <c r="I179" s="41">
        <v>107.77</v>
      </c>
      <c r="J179" s="41">
        <v>107.77</v>
      </c>
      <c r="K179" s="41">
        <v>5600</v>
      </c>
      <c r="L179" s="43">
        <v>603512</v>
      </c>
      <c r="N179" s="33">
        <f t="shared" si="4"/>
        <v>553680.733944954</v>
      </c>
      <c r="O179" s="33">
        <f t="shared" si="5"/>
        <v>49831.2660550459</v>
      </c>
    </row>
    <row r="180" customHeight="1" spans="1:15">
      <c r="A180" s="31">
        <v>177</v>
      </c>
      <c r="B180" s="41" t="s">
        <v>2043</v>
      </c>
      <c r="C180" s="41">
        <v>20230003251</v>
      </c>
      <c r="D180" s="46" t="s">
        <v>2878</v>
      </c>
      <c r="E180" s="41" t="s">
        <v>2879</v>
      </c>
      <c r="F180" s="41"/>
      <c r="G180" s="41"/>
      <c r="H180" s="44" t="s">
        <v>2881</v>
      </c>
      <c r="I180" s="41">
        <v>108.14</v>
      </c>
      <c r="J180" s="41">
        <v>108.14</v>
      </c>
      <c r="K180" s="41">
        <v>5600</v>
      </c>
      <c r="L180" s="43">
        <v>605584</v>
      </c>
      <c r="N180" s="33">
        <f t="shared" si="4"/>
        <v>555581.651376147</v>
      </c>
      <c r="O180" s="33">
        <f t="shared" si="5"/>
        <v>50002.3486238533</v>
      </c>
    </row>
    <row r="181" customHeight="1" spans="1:15">
      <c r="A181" s="31">
        <v>178</v>
      </c>
      <c r="B181" s="41" t="s">
        <v>1112</v>
      </c>
      <c r="C181" s="41">
        <v>20230006106</v>
      </c>
      <c r="D181" s="1024" t="s">
        <v>2884</v>
      </c>
      <c r="E181" s="41" t="s">
        <v>2885</v>
      </c>
      <c r="F181" s="41"/>
      <c r="G181" s="41"/>
      <c r="H181" s="42" t="s">
        <v>2886</v>
      </c>
      <c r="I181" s="41">
        <v>107.77</v>
      </c>
      <c r="J181" s="41">
        <v>107.77</v>
      </c>
      <c r="K181" s="41">
        <v>5643.04</v>
      </c>
      <c r="L181" s="43">
        <v>608150</v>
      </c>
      <c r="N181" s="33">
        <f t="shared" si="4"/>
        <v>557935.779816514</v>
      </c>
      <c r="O181" s="33">
        <f t="shared" si="5"/>
        <v>50214.2201834862</v>
      </c>
    </row>
    <row r="182" customHeight="1" spans="1:15">
      <c r="A182" s="31">
        <v>179</v>
      </c>
      <c r="B182" s="41">
        <v>2023.6</v>
      </c>
      <c r="C182" s="41">
        <v>20230005577</v>
      </c>
      <c r="D182" s="46" t="s">
        <v>6798</v>
      </c>
      <c r="E182" s="41" t="s">
        <v>6799</v>
      </c>
      <c r="F182" s="41"/>
      <c r="G182" s="41"/>
      <c r="H182" s="44" t="s">
        <v>2892</v>
      </c>
      <c r="I182" s="41">
        <v>108.14</v>
      </c>
      <c r="J182" s="41">
        <v>108.14</v>
      </c>
      <c r="K182" s="41">
        <v>5907.45</v>
      </c>
      <c r="L182" s="43">
        <v>637887</v>
      </c>
      <c r="N182" s="33">
        <f t="shared" si="4"/>
        <v>585217.43119266</v>
      </c>
      <c r="O182" s="33">
        <f t="shared" si="5"/>
        <v>52669.5688073395</v>
      </c>
    </row>
    <row r="183" customHeight="1" spans="1:15">
      <c r="A183" s="31">
        <v>180</v>
      </c>
      <c r="B183" s="41" t="s">
        <v>1752</v>
      </c>
      <c r="C183" s="41">
        <v>20230004483</v>
      </c>
      <c r="D183" s="46" t="s">
        <v>2897</v>
      </c>
      <c r="E183" s="41" t="s">
        <v>2741</v>
      </c>
      <c r="F183" s="41"/>
      <c r="G183" s="41"/>
      <c r="H183" s="42" t="s">
        <v>2899</v>
      </c>
      <c r="I183" s="41">
        <v>107.77</v>
      </c>
      <c r="J183" s="41">
        <v>107.77</v>
      </c>
      <c r="K183" s="41">
        <v>5659.54</v>
      </c>
      <c r="L183" s="43">
        <v>609929</v>
      </c>
      <c r="N183" s="33">
        <f t="shared" si="4"/>
        <v>559567.889908257</v>
      </c>
      <c r="O183" s="33">
        <f t="shared" si="5"/>
        <v>50361.1100917432</v>
      </c>
    </row>
    <row r="184" customHeight="1" spans="1:15">
      <c r="A184" s="31">
        <v>181</v>
      </c>
      <c r="B184" s="41" t="s">
        <v>629</v>
      </c>
      <c r="C184" s="41">
        <v>20230008382</v>
      </c>
      <c r="D184" s="55" t="s">
        <v>2904</v>
      </c>
      <c r="E184" s="40" t="s">
        <v>2905</v>
      </c>
      <c r="F184" s="40"/>
      <c r="G184" s="40"/>
      <c r="H184" s="44" t="s">
        <v>2907</v>
      </c>
      <c r="I184" s="41">
        <v>108.14</v>
      </c>
      <c r="J184" s="41">
        <v>108.14</v>
      </c>
      <c r="K184" s="41">
        <v>5918.27</v>
      </c>
      <c r="L184" s="43">
        <v>639056</v>
      </c>
      <c r="N184" s="33">
        <f t="shared" si="4"/>
        <v>586289.908256881</v>
      </c>
      <c r="O184" s="33">
        <f t="shared" si="5"/>
        <v>52766.0917431193</v>
      </c>
    </row>
    <row r="185" customHeight="1" spans="1:15">
      <c r="A185" s="31">
        <v>182</v>
      </c>
      <c r="B185" s="41" t="s">
        <v>2916</v>
      </c>
      <c r="C185" s="41">
        <v>20230008584</v>
      </c>
      <c r="D185" s="46" t="s">
        <v>2911</v>
      </c>
      <c r="E185" s="41" t="s">
        <v>2912</v>
      </c>
      <c r="F185" s="41"/>
      <c r="G185" s="41"/>
      <c r="H185" s="42" t="s">
        <v>2914</v>
      </c>
      <c r="I185" s="41">
        <v>107.77</v>
      </c>
      <c r="J185" s="41">
        <v>107.77</v>
      </c>
      <c r="K185" s="41">
        <v>5993.8</v>
      </c>
      <c r="L185" s="43">
        <v>645000</v>
      </c>
      <c r="N185" s="33">
        <f t="shared" si="4"/>
        <v>591743.119266055</v>
      </c>
      <c r="O185" s="33">
        <f t="shared" si="5"/>
        <v>53256.8807339449</v>
      </c>
    </row>
    <row r="186" customHeight="1" spans="1:15">
      <c r="A186" s="31">
        <v>183</v>
      </c>
      <c r="B186" s="54">
        <v>45317</v>
      </c>
      <c r="C186" s="51" t="s">
        <v>2918</v>
      </c>
      <c r="D186" s="46" t="s">
        <v>2919</v>
      </c>
      <c r="E186" s="49" t="s">
        <v>2920</v>
      </c>
      <c r="F186" s="49"/>
      <c r="G186" s="49"/>
      <c r="H186" s="44" t="s">
        <v>2922</v>
      </c>
      <c r="I186" s="41">
        <v>108.14</v>
      </c>
      <c r="J186" s="41">
        <v>108.14</v>
      </c>
      <c r="K186" s="41">
        <v>7000</v>
      </c>
      <c r="L186" s="43">
        <v>755860</v>
      </c>
      <c r="N186" s="33">
        <f t="shared" si="4"/>
        <v>693449.541284404</v>
      </c>
      <c r="O186" s="33">
        <f t="shared" si="5"/>
        <v>62410.4587155964</v>
      </c>
    </row>
    <row r="187" customHeight="1" spans="1:15">
      <c r="A187" s="31">
        <v>184</v>
      </c>
      <c r="B187" s="41"/>
      <c r="C187" s="51" t="s">
        <v>6800</v>
      </c>
      <c r="D187" s="46"/>
      <c r="E187" s="52" t="s">
        <v>2931</v>
      </c>
      <c r="F187" s="52"/>
      <c r="G187" s="52"/>
      <c r="H187" s="42" t="s">
        <v>2932</v>
      </c>
      <c r="I187" s="41">
        <v>107.77</v>
      </c>
      <c r="J187" s="41">
        <v>107.77</v>
      </c>
      <c r="K187" s="41">
        <v>6900</v>
      </c>
      <c r="L187" s="43">
        <v>743613</v>
      </c>
      <c r="N187" s="33">
        <f t="shared" si="4"/>
        <v>682213.76146789</v>
      </c>
      <c r="O187" s="33">
        <f t="shared" si="5"/>
        <v>61399.2385321101</v>
      </c>
    </row>
    <row r="188" customHeight="1" spans="1:15">
      <c r="A188" s="31">
        <v>185</v>
      </c>
      <c r="B188" s="54">
        <v>45455</v>
      </c>
      <c r="C188" s="51" t="s">
        <v>2935</v>
      </c>
      <c r="D188" s="46" t="s">
        <v>2936</v>
      </c>
      <c r="E188" s="52" t="s">
        <v>2937</v>
      </c>
      <c r="F188" s="52"/>
      <c r="G188" s="52"/>
      <c r="H188" s="44" t="s">
        <v>2939</v>
      </c>
      <c r="I188" s="41">
        <v>107.77</v>
      </c>
      <c r="J188" s="41">
        <v>107.77</v>
      </c>
      <c r="K188" s="41">
        <v>8095.03572422752</v>
      </c>
      <c r="L188" s="43">
        <v>872402</v>
      </c>
      <c r="N188" s="33">
        <f t="shared" si="4"/>
        <v>800368.80733945</v>
      </c>
      <c r="O188" s="33">
        <f t="shared" si="5"/>
        <v>72033.1926605505</v>
      </c>
    </row>
    <row r="189" customHeight="1" spans="1:15">
      <c r="A189" s="31">
        <v>186</v>
      </c>
      <c r="B189" s="41" t="s">
        <v>1365</v>
      </c>
      <c r="C189" s="41">
        <v>20230001739</v>
      </c>
      <c r="D189" s="1023" t="s">
        <v>2964</v>
      </c>
      <c r="E189" s="40" t="s">
        <v>2764</v>
      </c>
      <c r="F189" s="40"/>
      <c r="G189" s="40"/>
      <c r="H189" s="44" t="s">
        <v>2965</v>
      </c>
      <c r="I189" s="41">
        <v>107.77</v>
      </c>
      <c r="J189" s="41">
        <v>107.77</v>
      </c>
      <c r="K189" s="41">
        <v>5261.13</v>
      </c>
      <c r="L189" s="43">
        <v>566992</v>
      </c>
      <c r="N189" s="33">
        <f t="shared" si="4"/>
        <v>520176.146788991</v>
      </c>
      <c r="O189" s="33">
        <f t="shared" si="5"/>
        <v>46815.8532110092</v>
      </c>
    </row>
    <row r="190" customHeight="1" spans="1:15">
      <c r="A190" s="31">
        <v>187</v>
      </c>
      <c r="B190" s="41" t="s">
        <v>2876</v>
      </c>
      <c r="C190" s="51" t="s">
        <v>2969</v>
      </c>
      <c r="D190" s="46" t="s">
        <v>2970</v>
      </c>
      <c r="E190" s="49" t="s">
        <v>2971</v>
      </c>
      <c r="F190" s="49"/>
      <c r="G190" s="49"/>
      <c r="H190" s="42" t="s">
        <v>2973</v>
      </c>
      <c r="I190" s="41">
        <v>107.77</v>
      </c>
      <c r="J190" s="41">
        <v>107.77</v>
      </c>
      <c r="K190" s="41">
        <v>5296.9</v>
      </c>
      <c r="L190" s="43">
        <v>570000</v>
      </c>
      <c r="N190" s="33">
        <f t="shared" si="4"/>
        <v>522935.779816514</v>
      </c>
      <c r="O190" s="33">
        <f t="shared" si="5"/>
        <v>47064.2201834863</v>
      </c>
    </row>
    <row r="191" customHeight="1" spans="1:15">
      <c r="A191" s="31">
        <v>188</v>
      </c>
      <c r="B191" s="41" t="s">
        <v>1677</v>
      </c>
      <c r="C191" s="51" t="s">
        <v>2979</v>
      </c>
      <c r="D191" s="46" t="s">
        <v>2980</v>
      </c>
      <c r="E191" s="52" t="s">
        <v>2981</v>
      </c>
      <c r="F191" s="52"/>
      <c r="G191" s="52"/>
      <c r="H191" s="42" t="s">
        <v>2983</v>
      </c>
      <c r="I191" s="41">
        <v>107.77</v>
      </c>
      <c r="J191" s="41">
        <v>107.77</v>
      </c>
      <c r="K191" s="41">
        <v>5350</v>
      </c>
      <c r="L191" s="43">
        <v>575713</v>
      </c>
      <c r="N191" s="33">
        <f t="shared" si="4"/>
        <v>528177.064220183</v>
      </c>
      <c r="O191" s="33">
        <f t="shared" si="5"/>
        <v>47535.9357798166</v>
      </c>
    </row>
    <row r="192" customHeight="1" spans="1:15">
      <c r="A192" s="31">
        <v>189</v>
      </c>
      <c r="B192" s="41" t="s">
        <v>1346</v>
      </c>
      <c r="C192" s="41">
        <v>20230001355</v>
      </c>
      <c r="D192" s="46" t="s">
        <v>2990</v>
      </c>
      <c r="E192" s="52" t="s">
        <v>2991</v>
      </c>
      <c r="F192" s="52"/>
      <c r="G192" s="52"/>
      <c r="H192" s="42" t="s">
        <v>2993</v>
      </c>
      <c r="I192" s="41">
        <v>107.77</v>
      </c>
      <c r="J192" s="41">
        <v>107.77</v>
      </c>
      <c r="K192" s="41">
        <v>5175.58</v>
      </c>
      <c r="L192" s="43">
        <v>557772</v>
      </c>
      <c r="N192" s="33">
        <f t="shared" si="4"/>
        <v>511717.431192661</v>
      </c>
      <c r="O192" s="33">
        <f t="shared" si="5"/>
        <v>46054.5688073395</v>
      </c>
    </row>
    <row r="193" customHeight="1" spans="1:15">
      <c r="A193" s="31">
        <v>190</v>
      </c>
      <c r="B193" s="41" t="s">
        <v>1346</v>
      </c>
      <c r="C193" s="51" t="s">
        <v>2999</v>
      </c>
      <c r="D193" s="46" t="s">
        <v>3000</v>
      </c>
      <c r="E193" s="52" t="s">
        <v>3001</v>
      </c>
      <c r="F193" s="52"/>
      <c r="G193" s="52"/>
      <c r="H193" s="44" t="s">
        <v>3002</v>
      </c>
      <c r="I193" s="41">
        <v>107.77</v>
      </c>
      <c r="J193" s="41">
        <v>107.77</v>
      </c>
      <c r="K193" s="41">
        <v>5350</v>
      </c>
      <c r="L193" s="43">
        <v>575714</v>
      </c>
      <c r="N193" s="33">
        <f t="shared" si="4"/>
        <v>528177.981651376</v>
      </c>
      <c r="O193" s="33">
        <f t="shared" si="5"/>
        <v>47536.0183486239</v>
      </c>
    </row>
    <row r="194" customHeight="1" spans="1:15">
      <c r="A194" s="31">
        <v>191</v>
      </c>
      <c r="B194" s="41" t="s">
        <v>1887</v>
      </c>
      <c r="C194" s="51" t="s">
        <v>3006</v>
      </c>
      <c r="D194" s="46" t="s">
        <v>3007</v>
      </c>
      <c r="E194" s="49" t="s">
        <v>3008</v>
      </c>
      <c r="F194" s="49"/>
      <c r="G194" s="49"/>
      <c r="H194" s="42" t="s">
        <v>3010</v>
      </c>
      <c r="I194" s="41">
        <v>107.77</v>
      </c>
      <c r="J194" s="41">
        <v>107.77</v>
      </c>
      <c r="K194" s="41">
        <v>5225.58</v>
      </c>
      <c r="L194" s="43">
        <v>563161</v>
      </c>
      <c r="N194" s="33">
        <f t="shared" si="4"/>
        <v>516661.467889908</v>
      </c>
      <c r="O194" s="33">
        <f t="shared" si="5"/>
        <v>46499.5321100918</v>
      </c>
    </row>
    <row r="195" customHeight="1" spans="1:15">
      <c r="A195" s="31">
        <v>192</v>
      </c>
      <c r="B195" s="41" t="s">
        <v>1377</v>
      </c>
      <c r="C195" s="51" t="s">
        <v>3017</v>
      </c>
      <c r="D195" s="55" t="s">
        <v>6801</v>
      </c>
      <c r="E195" s="52" t="s">
        <v>6802</v>
      </c>
      <c r="F195" s="52"/>
      <c r="G195" s="52"/>
      <c r="H195" s="44" t="s">
        <v>3021</v>
      </c>
      <c r="I195" s="41">
        <v>107.77</v>
      </c>
      <c r="J195" s="41">
        <v>107.77</v>
      </c>
      <c r="K195" s="41">
        <v>5264.88</v>
      </c>
      <c r="L195" s="43">
        <v>567396</v>
      </c>
      <c r="N195" s="33">
        <f t="shared" si="4"/>
        <v>520546.788990826</v>
      </c>
      <c r="O195" s="33">
        <f t="shared" si="5"/>
        <v>46849.2110091744</v>
      </c>
    </row>
    <row r="196" customHeight="1" spans="1:15">
      <c r="A196" s="31">
        <v>193</v>
      </c>
      <c r="B196" s="41" t="s">
        <v>2696</v>
      </c>
      <c r="C196" s="51" t="s">
        <v>3026</v>
      </c>
      <c r="D196" s="46" t="s">
        <v>3027</v>
      </c>
      <c r="E196" s="49" t="s">
        <v>3028</v>
      </c>
      <c r="F196" s="49"/>
      <c r="G196" s="49"/>
      <c r="H196" s="42" t="s">
        <v>3030</v>
      </c>
      <c r="I196" s="41">
        <v>107.77</v>
      </c>
      <c r="J196" s="41">
        <v>107.77</v>
      </c>
      <c r="K196" s="41">
        <v>5270.58</v>
      </c>
      <c r="L196" s="43">
        <v>568010</v>
      </c>
      <c r="N196" s="33">
        <f t="shared" ref="N196:N225" si="6">L196/1.09</f>
        <v>521110.091743119</v>
      </c>
      <c r="O196" s="33">
        <f t="shared" ref="O196:O225" si="7">L196-N196</f>
        <v>46899.9082568808</v>
      </c>
    </row>
    <row r="197" customHeight="1" spans="1:15">
      <c r="A197" s="31">
        <v>194</v>
      </c>
      <c r="B197" s="41" t="s">
        <v>3042</v>
      </c>
      <c r="C197" s="41">
        <v>20230002570</v>
      </c>
      <c r="D197" s="50" t="s">
        <v>3036</v>
      </c>
      <c r="E197" s="52" t="s">
        <v>3037</v>
      </c>
      <c r="F197" s="52"/>
      <c r="G197" s="52"/>
      <c r="H197" s="44" t="s">
        <v>3039</v>
      </c>
      <c r="I197" s="41">
        <v>107.77</v>
      </c>
      <c r="J197" s="41">
        <v>107.77</v>
      </c>
      <c r="K197" s="41">
        <v>5625</v>
      </c>
      <c r="L197" s="43">
        <v>606206</v>
      </c>
      <c r="N197" s="33">
        <f t="shared" si="6"/>
        <v>556152.293577982</v>
      </c>
      <c r="O197" s="33">
        <f t="shared" si="7"/>
        <v>50053.7064220184</v>
      </c>
    </row>
    <row r="198" customHeight="1" spans="1:15">
      <c r="A198" s="31">
        <v>195</v>
      </c>
      <c r="B198" s="41" t="s">
        <v>1442</v>
      </c>
      <c r="C198" s="41">
        <v>20230000856</v>
      </c>
      <c r="D198" s="55" t="s">
        <v>3044</v>
      </c>
      <c r="E198" s="40" t="s">
        <v>3045</v>
      </c>
      <c r="F198" s="40"/>
      <c r="G198" s="40"/>
      <c r="H198" s="42" t="s">
        <v>3047</v>
      </c>
      <c r="I198" s="41">
        <v>107.77</v>
      </c>
      <c r="J198" s="41">
        <v>107.77</v>
      </c>
      <c r="K198" s="41">
        <v>5315.58</v>
      </c>
      <c r="L198" s="43">
        <v>572860</v>
      </c>
      <c r="N198" s="33">
        <f t="shared" si="6"/>
        <v>525559.633027523</v>
      </c>
      <c r="O198" s="33">
        <f t="shared" si="7"/>
        <v>47300.3669724771</v>
      </c>
    </row>
    <row r="199" customHeight="1" spans="1:15">
      <c r="A199" s="31">
        <v>196</v>
      </c>
      <c r="B199" s="41" t="s">
        <v>1346</v>
      </c>
      <c r="C199" s="51" t="s">
        <v>3052</v>
      </c>
      <c r="D199" s="46" t="s">
        <v>3053</v>
      </c>
      <c r="E199" s="52" t="s">
        <v>3054</v>
      </c>
      <c r="F199" s="52"/>
      <c r="G199" s="52"/>
      <c r="H199" s="44" t="s">
        <v>3055</v>
      </c>
      <c r="I199" s="41">
        <v>107.77</v>
      </c>
      <c r="J199" s="41">
        <v>107.77</v>
      </c>
      <c r="K199" s="41">
        <v>5390.51</v>
      </c>
      <c r="L199" s="43">
        <v>580935</v>
      </c>
      <c r="N199" s="33">
        <f t="shared" si="6"/>
        <v>532967.889908257</v>
      </c>
      <c r="O199" s="33">
        <f t="shared" si="7"/>
        <v>47967.1100917432</v>
      </c>
    </row>
    <row r="200" customHeight="1" spans="1:15">
      <c r="A200" s="31">
        <v>197</v>
      </c>
      <c r="B200" s="41" t="s">
        <v>1346</v>
      </c>
      <c r="C200" s="51" t="s">
        <v>3060</v>
      </c>
      <c r="D200" s="1023" t="s">
        <v>3061</v>
      </c>
      <c r="E200" s="52" t="s">
        <v>3062</v>
      </c>
      <c r="F200" s="52"/>
      <c r="G200" s="52"/>
      <c r="H200" s="42" t="s">
        <v>3063</v>
      </c>
      <c r="I200" s="41">
        <v>107.77</v>
      </c>
      <c r="J200" s="41">
        <v>107.77</v>
      </c>
      <c r="K200" s="41">
        <v>5421.87</v>
      </c>
      <c r="L200" s="43">
        <v>584315</v>
      </c>
      <c r="N200" s="33">
        <f t="shared" si="6"/>
        <v>536068.80733945</v>
      </c>
      <c r="O200" s="33">
        <f t="shared" si="7"/>
        <v>48246.1926605505</v>
      </c>
    </row>
    <row r="201" customHeight="1" spans="1:15">
      <c r="A201" s="31">
        <v>198</v>
      </c>
      <c r="B201" s="41" t="s">
        <v>3074</v>
      </c>
      <c r="C201" s="51" t="s">
        <v>3068</v>
      </c>
      <c r="D201" s="46" t="s">
        <v>3069</v>
      </c>
      <c r="E201" s="52" t="s">
        <v>2762</v>
      </c>
      <c r="F201" s="52"/>
      <c r="G201" s="52"/>
      <c r="H201" s="44" t="s">
        <v>3071</v>
      </c>
      <c r="I201" s="41">
        <v>107.77</v>
      </c>
      <c r="J201" s="41">
        <v>107.77</v>
      </c>
      <c r="K201" s="41">
        <v>5688.23</v>
      </c>
      <c r="L201" s="43">
        <v>613021</v>
      </c>
      <c r="N201" s="33">
        <f t="shared" si="6"/>
        <v>562404.587155963</v>
      </c>
      <c r="O201" s="33">
        <f t="shared" si="7"/>
        <v>50616.4128440367</v>
      </c>
    </row>
    <row r="202" customHeight="1" spans="1:15">
      <c r="A202" s="31">
        <v>199</v>
      </c>
      <c r="B202" s="41" t="s">
        <v>2901</v>
      </c>
      <c r="C202" s="41">
        <v>20230002599</v>
      </c>
      <c r="D202" s="56" t="s">
        <v>6803</v>
      </c>
      <c r="E202" s="52" t="s">
        <v>3078</v>
      </c>
      <c r="F202" s="52"/>
      <c r="G202" s="52"/>
      <c r="H202" s="42" t="s">
        <v>3080</v>
      </c>
      <c r="I202" s="41">
        <v>107.77</v>
      </c>
      <c r="J202" s="41">
        <v>107.77</v>
      </c>
      <c r="K202" s="41">
        <v>5694.3</v>
      </c>
      <c r="L202" s="43">
        <v>613675</v>
      </c>
      <c r="N202" s="33">
        <f t="shared" si="6"/>
        <v>563004.587155963</v>
      </c>
      <c r="O202" s="33">
        <f t="shared" si="7"/>
        <v>50670.4128440367</v>
      </c>
    </row>
    <row r="203" customHeight="1" spans="1:15">
      <c r="A203" s="31">
        <v>200</v>
      </c>
      <c r="B203" s="41" t="s">
        <v>1887</v>
      </c>
      <c r="C203" s="41">
        <v>20230000302</v>
      </c>
      <c r="D203" s="46" t="s">
        <v>6804</v>
      </c>
      <c r="E203" s="52" t="s">
        <v>6805</v>
      </c>
      <c r="F203" s="52"/>
      <c r="G203" s="52"/>
      <c r="H203" s="42" t="s">
        <v>3088</v>
      </c>
      <c r="I203" s="41">
        <v>107.77</v>
      </c>
      <c r="J203" s="41">
        <v>107.77</v>
      </c>
      <c r="K203" s="41">
        <v>5399.88</v>
      </c>
      <c r="L203" s="43">
        <v>581945</v>
      </c>
      <c r="N203" s="33">
        <f t="shared" si="6"/>
        <v>533894.495412844</v>
      </c>
      <c r="O203" s="33">
        <f t="shared" si="7"/>
        <v>48050.504587156</v>
      </c>
    </row>
    <row r="204" customHeight="1" spans="1:15">
      <c r="A204" s="31">
        <v>201</v>
      </c>
      <c r="B204" s="41" t="s">
        <v>2573</v>
      </c>
      <c r="C204" s="51" t="s">
        <v>3094</v>
      </c>
      <c r="D204" s="46" t="s">
        <v>3095</v>
      </c>
      <c r="E204" s="41" t="s">
        <v>3096</v>
      </c>
      <c r="F204" s="41"/>
      <c r="G204" s="41"/>
      <c r="H204" s="42" t="s">
        <v>3098</v>
      </c>
      <c r="I204" s="41">
        <v>107.77</v>
      </c>
      <c r="J204" s="41">
        <v>107.77</v>
      </c>
      <c r="K204" s="41">
        <v>5975.28</v>
      </c>
      <c r="L204" s="43">
        <v>643956</v>
      </c>
      <c r="N204" s="33">
        <f t="shared" si="6"/>
        <v>590785.321100917</v>
      </c>
      <c r="O204" s="33">
        <f t="shared" si="7"/>
        <v>53170.6788990826</v>
      </c>
    </row>
    <row r="205" customHeight="1" spans="1:15">
      <c r="A205" s="31">
        <v>202</v>
      </c>
      <c r="B205" s="54">
        <v>45397</v>
      </c>
      <c r="C205" s="51" t="s">
        <v>3102</v>
      </c>
      <c r="D205" s="46" t="s">
        <v>3103</v>
      </c>
      <c r="E205" s="52" t="s">
        <v>3104</v>
      </c>
      <c r="F205" s="52"/>
      <c r="G205" s="52"/>
      <c r="H205" s="42" t="s">
        <v>3106</v>
      </c>
      <c r="I205" s="41">
        <v>107.77</v>
      </c>
      <c r="J205" s="41">
        <v>107.77</v>
      </c>
      <c r="K205" s="41">
        <v>7025</v>
      </c>
      <c r="L205" s="48">
        <v>756000</v>
      </c>
      <c r="N205" s="33">
        <f t="shared" si="6"/>
        <v>693577.981651376</v>
      </c>
      <c r="O205" s="33">
        <f t="shared" si="7"/>
        <v>62422.0183486239</v>
      </c>
    </row>
    <row r="206" customHeight="1" spans="1:15">
      <c r="A206" s="31">
        <v>203</v>
      </c>
      <c r="B206" s="41"/>
      <c r="C206" s="51" t="s">
        <v>6800</v>
      </c>
      <c r="D206" s="46"/>
      <c r="E206" s="52" t="s">
        <v>3113</v>
      </c>
      <c r="F206" s="52"/>
      <c r="G206" s="52"/>
      <c r="H206" s="42" t="s">
        <v>3114</v>
      </c>
      <c r="I206" s="41">
        <v>107.77</v>
      </c>
      <c r="J206" s="41">
        <v>107.77</v>
      </c>
      <c r="K206" s="41">
        <v>7410.47601373295</v>
      </c>
      <c r="L206" s="48">
        <v>798627</v>
      </c>
      <c r="N206" s="33">
        <f t="shared" si="6"/>
        <v>732685.321100917</v>
      </c>
      <c r="O206" s="33">
        <f t="shared" si="7"/>
        <v>65941.6788990826</v>
      </c>
    </row>
    <row r="207" customHeight="1" spans="1:15">
      <c r="A207" s="31">
        <v>204</v>
      </c>
      <c r="B207" s="41" t="s">
        <v>3145</v>
      </c>
      <c r="C207" s="51" t="s">
        <v>3137</v>
      </c>
      <c r="D207" s="46" t="s">
        <v>3138</v>
      </c>
      <c r="E207" s="41" t="s">
        <v>3139</v>
      </c>
      <c r="F207" s="41"/>
      <c r="G207" s="41"/>
      <c r="H207" s="44" t="s">
        <v>3141</v>
      </c>
      <c r="I207" s="41">
        <v>107.77</v>
      </c>
      <c r="J207" s="41">
        <v>107.77</v>
      </c>
      <c r="K207" s="41">
        <v>5349.29</v>
      </c>
      <c r="L207" s="48">
        <v>575638</v>
      </c>
      <c r="N207" s="33">
        <f t="shared" si="6"/>
        <v>528108.256880734</v>
      </c>
      <c r="O207" s="33">
        <f t="shared" si="7"/>
        <v>47529.7431192661</v>
      </c>
    </row>
    <row r="208" customHeight="1" spans="1:15">
      <c r="A208" s="31">
        <v>205</v>
      </c>
      <c r="B208" s="41" t="s">
        <v>2070</v>
      </c>
      <c r="C208" s="51" t="s">
        <v>3147</v>
      </c>
      <c r="D208" s="46" t="s">
        <v>3148</v>
      </c>
      <c r="E208" s="52" t="s">
        <v>3149</v>
      </c>
      <c r="F208" s="52"/>
      <c r="G208" s="52"/>
      <c r="H208" s="42" t="s">
        <v>3151</v>
      </c>
      <c r="I208" s="41">
        <v>108.14</v>
      </c>
      <c r="J208" s="41">
        <v>108.14</v>
      </c>
      <c r="K208" s="41">
        <v>5300</v>
      </c>
      <c r="L208" s="48">
        <v>572294</v>
      </c>
      <c r="N208" s="33">
        <f t="shared" si="6"/>
        <v>525040.366972477</v>
      </c>
      <c r="O208" s="33">
        <f t="shared" si="7"/>
        <v>47253.6330275229</v>
      </c>
    </row>
    <row r="209" customHeight="1" spans="1:15">
      <c r="A209" s="31">
        <v>206</v>
      </c>
      <c r="B209" s="41" t="s">
        <v>1878</v>
      </c>
      <c r="C209" s="51" t="s">
        <v>3155</v>
      </c>
      <c r="D209" s="46" t="s">
        <v>3156</v>
      </c>
      <c r="E209" s="41" t="s">
        <v>3157</v>
      </c>
      <c r="F209" s="41"/>
      <c r="G209" s="41"/>
      <c r="H209" s="44" t="s">
        <v>3159</v>
      </c>
      <c r="I209" s="41">
        <v>107.77</v>
      </c>
      <c r="J209" s="41">
        <v>107.77</v>
      </c>
      <c r="K209" s="41">
        <v>5380.3</v>
      </c>
      <c r="L209" s="48">
        <v>578974</v>
      </c>
      <c r="N209" s="33">
        <f t="shared" si="6"/>
        <v>531168.80733945</v>
      </c>
      <c r="O209" s="33">
        <f t="shared" si="7"/>
        <v>47805.1926605505</v>
      </c>
    </row>
    <row r="210" customHeight="1" spans="1:15">
      <c r="A210" s="31">
        <v>207</v>
      </c>
      <c r="B210" s="41" t="s">
        <v>1527</v>
      </c>
      <c r="C210" s="51" t="s">
        <v>3163</v>
      </c>
      <c r="D210" s="46" t="s">
        <v>6806</v>
      </c>
      <c r="E210" s="41" t="s">
        <v>6807</v>
      </c>
      <c r="F210" s="41"/>
      <c r="G210" s="41"/>
      <c r="H210" s="42" t="s">
        <v>3167</v>
      </c>
      <c r="I210" s="41">
        <v>108.14</v>
      </c>
      <c r="J210" s="41">
        <v>108.14</v>
      </c>
      <c r="K210" s="41">
        <v>5350</v>
      </c>
      <c r="L210" s="48">
        <v>577693</v>
      </c>
      <c r="N210" s="33">
        <f t="shared" si="6"/>
        <v>529993.577981651</v>
      </c>
      <c r="O210" s="33">
        <f t="shared" si="7"/>
        <v>47699.4220183487</v>
      </c>
    </row>
    <row r="211" customHeight="1" spans="1:15">
      <c r="A211" s="31">
        <v>208</v>
      </c>
      <c r="B211" s="41" t="s">
        <v>1442</v>
      </c>
      <c r="C211" s="51" t="s">
        <v>3170</v>
      </c>
      <c r="D211" s="46" t="s">
        <v>6808</v>
      </c>
      <c r="E211" s="40" t="s">
        <v>6809</v>
      </c>
      <c r="F211" s="40"/>
      <c r="G211" s="40"/>
      <c r="H211" s="44" t="s">
        <v>3174</v>
      </c>
      <c r="I211" s="41">
        <v>107.77</v>
      </c>
      <c r="J211" s="41">
        <v>107.77</v>
      </c>
      <c r="K211" s="41">
        <v>5231.88</v>
      </c>
      <c r="L211" s="48">
        <v>563003</v>
      </c>
      <c r="N211" s="33">
        <f t="shared" si="6"/>
        <v>516516.513761468</v>
      </c>
      <c r="O211" s="33">
        <f t="shared" si="7"/>
        <v>46486.4862385322</v>
      </c>
    </row>
    <row r="212" customHeight="1" spans="1:15">
      <c r="A212" s="31">
        <v>209</v>
      </c>
      <c r="B212" s="41" t="s">
        <v>3187</v>
      </c>
      <c r="C212" s="51" t="s">
        <v>3179</v>
      </c>
      <c r="D212" s="46" t="s">
        <v>3180</v>
      </c>
      <c r="E212" s="40" t="s">
        <v>3181</v>
      </c>
      <c r="F212" s="40"/>
      <c r="G212" s="40"/>
      <c r="H212" s="42" t="s">
        <v>3183</v>
      </c>
      <c r="I212" s="41">
        <v>108.14</v>
      </c>
      <c r="J212" s="41">
        <v>108.14</v>
      </c>
      <c r="K212" s="41">
        <v>5230.38</v>
      </c>
      <c r="L212" s="48">
        <v>564777</v>
      </c>
      <c r="N212" s="33">
        <f t="shared" si="6"/>
        <v>518144.036697248</v>
      </c>
      <c r="O212" s="33">
        <f t="shared" si="7"/>
        <v>46632.9633027524</v>
      </c>
    </row>
    <row r="213" customHeight="1" spans="1:15">
      <c r="A213" s="31">
        <v>210</v>
      </c>
      <c r="B213" s="41" t="s">
        <v>926</v>
      </c>
      <c r="C213" s="51" t="s">
        <v>3189</v>
      </c>
      <c r="D213" s="46" t="s">
        <v>3190</v>
      </c>
      <c r="E213" s="41" t="s">
        <v>3191</v>
      </c>
      <c r="F213" s="41"/>
      <c r="G213" s="41"/>
      <c r="H213" s="42" t="s">
        <v>3193</v>
      </c>
      <c r="I213" s="41">
        <v>107.77</v>
      </c>
      <c r="J213" s="41">
        <v>107.77</v>
      </c>
      <c r="K213" s="41">
        <v>5276.88</v>
      </c>
      <c r="L213" s="48">
        <v>567845</v>
      </c>
      <c r="N213" s="33">
        <f t="shared" si="6"/>
        <v>520958.71559633</v>
      </c>
      <c r="O213" s="33">
        <f t="shared" si="7"/>
        <v>46886.2844036698</v>
      </c>
    </row>
    <row r="214" customHeight="1" spans="1:15">
      <c r="A214" s="31">
        <v>211</v>
      </c>
      <c r="B214" s="41" t="s">
        <v>1377</v>
      </c>
      <c r="C214" s="51" t="s">
        <v>3198</v>
      </c>
      <c r="D214" s="46" t="s">
        <v>6810</v>
      </c>
      <c r="E214" s="41" t="s">
        <v>3200</v>
      </c>
      <c r="F214" s="41"/>
      <c r="G214" s="41"/>
      <c r="H214" s="42" t="s">
        <v>3201</v>
      </c>
      <c r="I214" s="41">
        <v>108.14</v>
      </c>
      <c r="J214" s="41">
        <v>108.14</v>
      </c>
      <c r="K214" s="41">
        <v>5275.38</v>
      </c>
      <c r="L214" s="48">
        <v>569636</v>
      </c>
      <c r="N214" s="33">
        <f t="shared" si="6"/>
        <v>522601.834862385</v>
      </c>
      <c r="O214" s="33">
        <f t="shared" si="7"/>
        <v>47034.1651376147</v>
      </c>
    </row>
    <row r="215" customHeight="1" spans="1:15">
      <c r="A215" s="31">
        <v>212</v>
      </c>
      <c r="B215" s="41" t="s">
        <v>1481</v>
      </c>
      <c r="C215" s="51" t="s">
        <v>3207</v>
      </c>
      <c r="D215" s="46" t="s">
        <v>3208</v>
      </c>
      <c r="E215" s="41" t="s">
        <v>3209</v>
      </c>
      <c r="F215" s="41"/>
      <c r="G215" s="41"/>
      <c r="H215" s="42" t="s">
        <v>3211</v>
      </c>
      <c r="I215" s="41">
        <v>107.77</v>
      </c>
      <c r="J215" s="41">
        <v>107.77</v>
      </c>
      <c r="K215" s="41">
        <v>5321.88</v>
      </c>
      <c r="L215" s="48">
        <v>572688</v>
      </c>
      <c r="N215" s="33">
        <f t="shared" si="6"/>
        <v>525401.834862385</v>
      </c>
      <c r="O215" s="33">
        <f t="shared" si="7"/>
        <v>47286.1651376147</v>
      </c>
    </row>
    <row r="216" customHeight="1" spans="1:15">
      <c r="A216" s="31">
        <v>213</v>
      </c>
      <c r="B216" s="41" t="s">
        <v>1377</v>
      </c>
      <c r="C216" s="51" t="s">
        <v>3217</v>
      </c>
      <c r="D216" s="46" t="s">
        <v>971</v>
      </c>
      <c r="E216" s="40" t="s">
        <v>972</v>
      </c>
      <c r="F216" s="40"/>
      <c r="G216" s="40"/>
      <c r="H216" s="42" t="s">
        <v>3219</v>
      </c>
      <c r="I216" s="41">
        <v>108.14</v>
      </c>
      <c r="J216" s="41">
        <v>108.14</v>
      </c>
      <c r="K216" s="41">
        <v>5320.38</v>
      </c>
      <c r="L216" s="48">
        <v>574495</v>
      </c>
      <c r="N216" s="33">
        <f t="shared" si="6"/>
        <v>527059.633027523</v>
      </c>
      <c r="O216" s="33">
        <f t="shared" si="7"/>
        <v>47435.3669724771</v>
      </c>
    </row>
    <row r="217" customHeight="1" spans="1:15">
      <c r="A217" s="31">
        <v>214</v>
      </c>
      <c r="B217" s="41" t="s">
        <v>2336</v>
      </c>
      <c r="C217" s="51" t="s">
        <v>3225</v>
      </c>
      <c r="D217" s="46" t="s">
        <v>3226</v>
      </c>
      <c r="E217" s="41" t="s">
        <v>3227</v>
      </c>
      <c r="F217" s="41"/>
      <c r="G217" s="41"/>
      <c r="H217" s="44" t="s">
        <v>3229</v>
      </c>
      <c r="I217" s="41">
        <v>107.77</v>
      </c>
      <c r="J217" s="41">
        <v>107.77</v>
      </c>
      <c r="K217" s="41">
        <v>5631.64</v>
      </c>
      <c r="L217" s="48">
        <v>606021</v>
      </c>
      <c r="N217" s="33">
        <f t="shared" si="6"/>
        <v>555982.568807339</v>
      </c>
      <c r="O217" s="33">
        <f t="shared" si="7"/>
        <v>50038.4311926606</v>
      </c>
    </row>
    <row r="218" customHeight="1" spans="1:15">
      <c r="A218" s="31">
        <v>215</v>
      </c>
      <c r="B218" s="41" t="s">
        <v>1346</v>
      </c>
      <c r="C218" s="51" t="s">
        <v>3233</v>
      </c>
      <c r="D218" s="46" t="s">
        <v>3234</v>
      </c>
      <c r="E218" s="41" t="s">
        <v>3235</v>
      </c>
      <c r="F218" s="41"/>
      <c r="G218" s="41"/>
      <c r="H218" s="42" t="s">
        <v>3237</v>
      </c>
      <c r="I218" s="41">
        <v>108.14</v>
      </c>
      <c r="J218" s="41">
        <v>108.14</v>
      </c>
      <c r="K218" s="41">
        <v>5345.38</v>
      </c>
      <c r="L218" s="48">
        <v>577194</v>
      </c>
      <c r="N218" s="33">
        <f t="shared" si="6"/>
        <v>529535.779816514</v>
      </c>
      <c r="O218" s="33">
        <f t="shared" si="7"/>
        <v>47658.2201834862</v>
      </c>
    </row>
    <row r="219" customHeight="1" spans="1:15">
      <c r="A219" s="31">
        <v>216</v>
      </c>
      <c r="B219" s="41" t="s">
        <v>1714</v>
      </c>
      <c r="C219" s="51" t="s">
        <v>3243</v>
      </c>
      <c r="D219" s="46" t="s">
        <v>3244</v>
      </c>
      <c r="E219" s="41" t="s">
        <v>2766</v>
      </c>
      <c r="F219" s="41"/>
      <c r="G219" s="41"/>
      <c r="H219" s="44" t="s">
        <v>3246</v>
      </c>
      <c r="I219" s="41">
        <v>107.77</v>
      </c>
      <c r="J219" s="41">
        <v>107.77</v>
      </c>
      <c r="K219" s="41">
        <v>5668.618</v>
      </c>
      <c r="L219" s="48">
        <v>610000</v>
      </c>
      <c r="N219" s="33">
        <f t="shared" si="6"/>
        <v>559633.027522936</v>
      </c>
      <c r="O219" s="33">
        <f t="shared" si="7"/>
        <v>50366.9724770642</v>
      </c>
    </row>
    <row r="220" customHeight="1" spans="1:15">
      <c r="A220" s="31">
        <v>217</v>
      </c>
      <c r="B220" s="41" t="s">
        <v>1627</v>
      </c>
      <c r="C220" s="51" t="s">
        <v>3251</v>
      </c>
      <c r="D220" s="46" t="s">
        <v>6811</v>
      </c>
      <c r="E220" s="41" t="s">
        <v>3253</v>
      </c>
      <c r="F220" s="41"/>
      <c r="G220" s="41"/>
      <c r="H220" s="42" t="s">
        <v>3255</v>
      </c>
      <c r="I220" s="41">
        <v>108.14</v>
      </c>
      <c r="J220" s="41">
        <v>108.14</v>
      </c>
      <c r="K220" s="41">
        <v>5676.54</v>
      </c>
      <c r="L220" s="48">
        <v>612953</v>
      </c>
      <c r="N220" s="33">
        <f t="shared" si="6"/>
        <v>562342.201834862</v>
      </c>
      <c r="O220" s="33">
        <f t="shared" si="7"/>
        <v>50610.7981651376</v>
      </c>
    </row>
    <row r="221" customHeight="1" spans="1:15">
      <c r="A221" s="31">
        <v>218</v>
      </c>
      <c r="B221" s="41" t="s">
        <v>2000</v>
      </c>
      <c r="C221" s="51" t="s">
        <v>3260</v>
      </c>
      <c r="D221" s="1024" t="s">
        <v>3261</v>
      </c>
      <c r="E221" s="52" t="s">
        <v>3262</v>
      </c>
      <c r="F221" s="52"/>
      <c r="G221" s="52"/>
      <c r="H221" s="44" t="s">
        <v>3263</v>
      </c>
      <c r="I221" s="41">
        <v>107.77</v>
      </c>
      <c r="J221" s="41">
        <v>107.77</v>
      </c>
      <c r="K221" s="41">
        <v>5960</v>
      </c>
      <c r="L221" s="48">
        <v>641356</v>
      </c>
      <c r="N221" s="33">
        <f t="shared" si="6"/>
        <v>588400</v>
      </c>
      <c r="O221" s="33">
        <f t="shared" si="7"/>
        <v>52956</v>
      </c>
    </row>
    <row r="222" customHeight="1" spans="1:15">
      <c r="A222" s="31">
        <v>219</v>
      </c>
      <c r="B222" s="41" t="s">
        <v>2089</v>
      </c>
      <c r="C222" s="51" t="s">
        <v>3266</v>
      </c>
      <c r="D222" s="46" t="s">
        <v>3267</v>
      </c>
      <c r="E222" s="41" t="s">
        <v>3268</v>
      </c>
      <c r="F222" s="41"/>
      <c r="G222" s="41"/>
      <c r="H222" s="42" t="s">
        <v>3270</v>
      </c>
      <c r="I222" s="41">
        <v>108.14</v>
      </c>
      <c r="J222" s="41">
        <v>108.14</v>
      </c>
      <c r="K222" s="41">
        <v>5960</v>
      </c>
      <c r="L222" s="48">
        <v>644514</v>
      </c>
      <c r="N222" s="33">
        <f t="shared" si="6"/>
        <v>591297.247706422</v>
      </c>
      <c r="O222" s="33">
        <f t="shared" si="7"/>
        <v>53216.752293578</v>
      </c>
    </row>
    <row r="223" customHeight="1" spans="1:15">
      <c r="A223" s="31">
        <v>220</v>
      </c>
      <c r="B223" s="54">
        <v>45534</v>
      </c>
      <c r="C223" s="51" t="s">
        <v>3273</v>
      </c>
      <c r="D223" s="46" t="s">
        <v>3274</v>
      </c>
      <c r="E223" s="41" t="s">
        <v>2748</v>
      </c>
      <c r="F223" s="41"/>
      <c r="G223" s="41"/>
      <c r="H223" s="44" t="s">
        <v>3276</v>
      </c>
      <c r="I223" s="41">
        <v>107.77</v>
      </c>
      <c r="J223" s="41">
        <v>107.77</v>
      </c>
      <c r="K223" s="41">
        <v>7155.47</v>
      </c>
      <c r="L223" s="60">
        <v>771145</v>
      </c>
      <c r="N223" s="33">
        <f t="shared" si="6"/>
        <v>707472.47706422</v>
      </c>
      <c r="O223" s="33">
        <f t="shared" si="7"/>
        <v>63672.5229357799</v>
      </c>
    </row>
    <row r="224" customHeight="1" spans="1:15">
      <c r="A224" s="31">
        <v>221</v>
      </c>
      <c r="B224" s="41" t="s">
        <v>713</v>
      </c>
      <c r="C224" s="51" t="s">
        <v>3279</v>
      </c>
      <c r="D224" s="1023" t="s">
        <v>3280</v>
      </c>
      <c r="E224" s="40" t="s">
        <v>3281</v>
      </c>
      <c r="F224" s="40"/>
      <c r="G224" s="40"/>
      <c r="H224" s="42" t="s">
        <v>3283</v>
      </c>
      <c r="I224" s="41">
        <v>108.14</v>
      </c>
      <c r="J224" s="41">
        <v>108.14</v>
      </c>
      <c r="K224" s="41">
        <v>6973.51</v>
      </c>
      <c r="L224" s="48">
        <v>753000</v>
      </c>
      <c r="N224" s="33">
        <f t="shared" si="6"/>
        <v>690825.688073394</v>
      </c>
      <c r="O224" s="33">
        <f t="shared" si="7"/>
        <v>62174.3119266055</v>
      </c>
    </row>
    <row r="225" customHeight="1" spans="1:15">
      <c r="B225" s="41"/>
      <c r="C225" s="51"/>
      <c r="D225" s="41"/>
      <c r="E225" s="40"/>
      <c r="F225" s="40"/>
      <c r="G225" s="61"/>
      <c r="H225" s="42"/>
      <c r="I225" s="41"/>
      <c r="J225" s="41"/>
      <c r="K225" s="41"/>
      <c r="L225" s="48">
        <f>SUM(L3:L224)</f>
        <v>151024981</v>
      </c>
    </row>
    <row r="226" customHeight="1" spans="1:15">
      <c r="A226" s="31">
        <v>1</v>
      </c>
      <c r="B226" s="54">
        <v>45401</v>
      </c>
      <c r="C226" s="41">
        <v>20240002187</v>
      </c>
      <c r="D226" s="46" t="s">
        <v>379</v>
      </c>
      <c r="E226" s="40" t="s">
        <v>380</v>
      </c>
      <c r="F226" s="40"/>
      <c r="G226" s="62">
        <v>13</v>
      </c>
      <c r="H226" s="46" t="s">
        <v>370</v>
      </c>
      <c r="I226" s="46" t="s">
        <v>381</v>
      </c>
      <c r="J226" s="41">
        <v>68.42</v>
      </c>
      <c r="K226" s="41">
        <v>22700</v>
      </c>
      <c r="L226" s="43">
        <v>1553134</v>
      </c>
      <c r="N226" s="33">
        <f>L226/1.09</f>
        <v>1424893.57798165</v>
      </c>
      <c r="O226" s="33">
        <f>L226-N226</f>
        <v>128240.422018349</v>
      </c>
    </row>
    <row r="227" customHeight="1" spans="1:15">
      <c r="A227" s="31">
        <v>3</v>
      </c>
      <c r="B227" s="41" t="s">
        <v>402</v>
      </c>
      <c r="C227" s="41">
        <v>20230010576</v>
      </c>
      <c r="D227" s="46" t="s">
        <v>396</v>
      </c>
      <c r="E227" s="41" t="s">
        <v>397</v>
      </c>
      <c r="F227" s="41"/>
      <c r="G227" s="62"/>
      <c r="H227" s="46" t="s">
        <v>370</v>
      </c>
      <c r="I227" s="46" t="s">
        <v>398</v>
      </c>
      <c r="J227" s="41">
        <v>68.42</v>
      </c>
      <c r="K227" s="41">
        <v>21800</v>
      </c>
      <c r="L227" s="43">
        <v>1491556</v>
      </c>
      <c r="N227" s="33">
        <f t="shared" ref="N227:N259" si="8">L227/1.09</f>
        <v>1368400</v>
      </c>
      <c r="O227" s="33">
        <f t="shared" ref="O227:O259" si="9">L227-N227</f>
        <v>123156</v>
      </c>
    </row>
    <row r="228" customHeight="1" spans="1:15">
      <c r="A228" s="31">
        <v>4</v>
      </c>
      <c r="B228" s="41" t="s">
        <v>412</v>
      </c>
      <c r="C228" s="41">
        <v>20240002029</v>
      </c>
      <c r="D228" s="46" t="s">
        <v>406</v>
      </c>
      <c r="E228" s="40" t="s">
        <v>407</v>
      </c>
      <c r="F228" s="40"/>
      <c r="G228" s="62"/>
      <c r="H228" s="46" t="s">
        <v>370</v>
      </c>
      <c r="I228" s="46" t="s">
        <v>408</v>
      </c>
      <c r="J228" s="41">
        <v>68.42</v>
      </c>
      <c r="K228" s="41">
        <v>21967.26</v>
      </c>
      <c r="L228" s="43">
        <v>1503000</v>
      </c>
      <c r="N228" s="33">
        <f t="shared" si="8"/>
        <v>1378899.08256881</v>
      </c>
      <c r="O228" s="33">
        <f t="shared" si="9"/>
        <v>124100.917431193</v>
      </c>
    </row>
    <row r="229" customHeight="1" spans="1:15">
      <c r="A229" s="31">
        <v>5</v>
      </c>
      <c r="B229" s="41" t="s">
        <v>422</v>
      </c>
      <c r="C229" s="41">
        <v>20230010242</v>
      </c>
      <c r="D229" s="46" t="s">
        <v>415</v>
      </c>
      <c r="E229" s="40" t="s">
        <v>416</v>
      </c>
      <c r="F229" s="40"/>
      <c r="G229" s="62"/>
      <c r="H229" s="46" t="s">
        <v>370</v>
      </c>
      <c r="I229" s="46" t="s">
        <v>417</v>
      </c>
      <c r="J229" s="41">
        <v>68.42</v>
      </c>
      <c r="K229" s="41">
        <v>22500</v>
      </c>
      <c r="L229" s="43">
        <v>1539450</v>
      </c>
      <c r="N229" s="33">
        <f t="shared" si="8"/>
        <v>1412339.44954128</v>
      </c>
      <c r="O229" s="33">
        <f t="shared" si="9"/>
        <v>127110.550458716</v>
      </c>
    </row>
    <row r="230" customHeight="1" spans="1:15">
      <c r="A230" s="31">
        <v>6</v>
      </c>
      <c r="B230" s="54">
        <v>45200</v>
      </c>
      <c r="C230" s="41">
        <v>20230008432</v>
      </c>
      <c r="D230" s="46" t="s">
        <v>424</v>
      </c>
      <c r="E230" s="40" t="s">
        <v>425</v>
      </c>
      <c r="F230" s="40"/>
      <c r="G230" s="62"/>
      <c r="H230" s="46" t="s">
        <v>370</v>
      </c>
      <c r="I230" s="46" t="s">
        <v>426</v>
      </c>
      <c r="J230" s="41">
        <v>68.42</v>
      </c>
      <c r="K230" s="41">
        <v>22960.42</v>
      </c>
      <c r="L230" s="43">
        <v>1570952</v>
      </c>
      <c r="N230" s="33">
        <f t="shared" si="8"/>
        <v>1441240.36697248</v>
      </c>
      <c r="O230" s="33">
        <f t="shared" si="9"/>
        <v>129711.633027523</v>
      </c>
    </row>
    <row r="231" customHeight="1" spans="1:15">
      <c r="A231" s="31">
        <v>7</v>
      </c>
      <c r="B231" s="41" t="s">
        <v>439</v>
      </c>
      <c r="C231" s="41">
        <v>20230009415</v>
      </c>
      <c r="D231" s="46" t="s">
        <v>433</v>
      </c>
      <c r="E231" s="63" t="s">
        <v>434</v>
      </c>
      <c r="F231" s="63"/>
      <c r="G231" s="62"/>
      <c r="H231" s="46" t="s">
        <v>370</v>
      </c>
      <c r="I231" s="46" t="s">
        <v>435</v>
      </c>
      <c r="J231" s="41">
        <v>68.42</v>
      </c>
      <c r="K231" s="41">
        <v>23165.74</v>
      </c>
      <c r="L231" s="43">
        <v>1585000</v>
      </c>
      <c r="N231" s="33">
        <f t="shared" si="8"/>
        <v>1454128.44036697</v>
      </c>
      <c r="O231" s="33">
        <f t="shared" si="9"/>
        <v>130871.559633028</v>
      </c>
    </row>
    <row r="232" customHeight="1" spans="1:15">
      <c r="A232" s="31">
        <v>8</v>
      </c>
      <c r="B232" s="41" t="s">
        <v>449</v>
      </c>
      <c r="C232" s="41">
        <v>20230010496</v>
      </c>
      <c r="D232" s="46" t="s">
        <v>442</v>
      </c>
      <c r="E232" s="63" t="s">
        <v>443</v>
      </c>
      <c r="F232" s="63"/>
      <c r="G232" s="62"/>
      <c r="H232" s="46" t="s">
        <v>370</v>
      </c>
      <c r="I232" s="46" t="s">
        <v>519</v>
      </c>
      <c r="J232" s="41">
        <v>68.42</v>
      </c>
      <c r="K232" s="41">
        <v>23346.77</v>
      </c>
      <c r="L232" s="43">
        <v>1597386</v>
      </c>
      <c r="N232" s="33">
        <f t="shared" si="8"/>
        <v>1465491.74311927</v>
      </c>
      <c r="O232" s="33">
        <f t="shared" si="9"/>
        <v>131894.256880734</v>
      </c>
    </row>
    <row r="233" customHeight="1" spans="1:15">
      <c r="A233" s="31">
        <v>9</v>
      </c>
      <c r="B233" s="41" t="s">
        <v>6812</v>
      </c>
      <c r="C233" s="41">
        <v>20230008488</v>
      </c>
      <c r="D233" s="46" t="s">
        <v>452</v>
      </c>
      <c r="E233" s="40" t="s">
        <v>453</v>
      </c>
      <c r="F233" s="40"/>
      <c r="G233" s="62"/>
      <c r="H233" s="46" t="s">
        <v>370</v>
      </c>
      <c r="I233" s="46">
        <v>10</v>
      </c>
      <c r="J233" s="41">
        <v>68.42</v>
      </c>
      <c r="K233" s="41">
        <v>23830.765</v>
      </c>
      <c r="L233" s="43">
        <v>1630501</v>
      </c>
      <c r="N233" s="33">
        <f t="shared" si="8"/>
        <v>1495872.47706422</v>
      </c>
      <c r="O233" s="33">
        <f t="shared" si="9"/>
        <v>134628.52293578</v>
      </c>
    </row>
    <row r="234" customHeight="1" spans="1:15">
      <c r="A234" s="31">
        <v>10</v>
      </c>
      <c r="B234" s="54">
        <v>45201</v>
      </c>
      <c r="C234" s="41">
        <v>20230008484</v>
      </c>
      <c r="D234" s="55" t="s">
        <v>461</v>
      </c>
      <c r="E234" s="40" t="s">
        <v>462</v>
      </c>
      <c r="F234" s="40"/>
      <c r="G234" s="62"/>
      <c r="H234" s="46" t="s">
        <v>370</v>
      </c>
      <c r="I234" s="46">
        <v>11</v>
      </c>
      <c r="J234" s="41">
        <v>98.74</v>
      </c>
      <c r="K234" s="41">
        <v>23801.69</v>
      </c>
      <c r="L234" s="43">
        <v>2350179</v>
      </c>
      <c r="N234" s="33">
        <f t="shared" si="8"/>
        <v>2156127.52293578</v>
      </c>
      <c r="O234" s="33">
        <f t="shared" si="9"/>
        <v>194051.47706422</v>
      </c>
    </row>
    <row r="235" customHeight="1" spans="1:15">
      <c r="A235" s="31">
        <v>11</v>
      </c>
      <c r="B235" s="41" t="s">
        <v>6812</v>
      </c>
      <c r="C235" s="41">
        <v>20230008510</v>
      </c>
      <c r="D235" s="46" t="s">
        <v>466</v>
      </c>
      <c r="E235" s="40" t="s">
        <v>467</v>
      </c>
      <c r="F235" s="40"/>
      <c r="G235" s="62"/>
      <c r="H235" s="46" t="s">
        <v>370</v>
      </c>
      <c r="I235" s="46">
        <v>12</v>
      </c>
      <c r="J235" s="41">
        <v>146.3</v>
      </c>
      <c r="K235" s="41">
        <v>26000</v>
      </c>
      <c r="L235" s="43">
        <v>3803800</v>
      </c>
      <c r="N235" s="33">
        <f t="shared" si="8"/>
        <v>3489724.7706422</v>
      </c>
      <c r="O235" s="33">
        <f t="shared" si="9"/>
        <v>314075.229357799</v>
      </c>
    </row>
    <row r="236" customHeight="1" spans="1:15">
      <c r="A236" s="31">
        <v>12</v>
      </c>
      <c r="B236" s="41" t="s">
        <v>481</v>
      </c>
      <c r="C236" s="41">
        <v>2024000115</v>
      </c>
      <c r="D236" s="46" t="s">
        <v>475</v>
      </c>
      <c r="E236" s="64" t="s">
        <v>476</v>
      </c>
      <c r="F236" s="64"/>
      <c r="G236" s="62"/>
      <c r="H236" s="46" t="s">
        <v>477</v>
      </c>
      <c r="I236" s="46" t="s">
        <v>371</v>
      </c>
      <c r="J236" s="41">
        <v>85.66</v>
      </c>
      <c r="K236" s="41">
        <v>9777</v>
      </c>
      <c r="L236" s="43">
        <v>837500</v>
      </c>
      <c r="N236" s="33">
        <f t="shared" si="8"/>
        <v>768348.623853211</v>
      </c>
      <c r="O236" s="33">
        <f t="shared" si="9"/>
        <v>69151.3761467891</v>
      </c>
    </row>
    <row r="237" customHeight="1" spans="1:15">
      <c r="A237" s="31">
        <v>13</v>
      </c>
      <c r="B237" s="41" t="s">
        <v>481</v>
      </c>
      <c r="C237" s="41">
        <v>2024000116</v>
      </c>
      <c r="D237" s="46" t="s">
        <v>475</v>
      </c>
      <c r="E237" s="64" t="s">
        <v>476</v>
      </c>
      <c r="F237" s="64"/>
      <c r="G237" s="62"/>
      <c r="H237" s="46" t="s">
        <v>477</v>
      </c>
      <c r="I237" s="46" t="s">
        <v>381</v>
      </c>
      <c r="J237" s="41">
        <v>85.66</v>
      </c>
      <c r="K237" s="41">
        <v>9777</v>
      </c>
      <c r="L237" s="43">
        <v>837500</v>
      </c>
      <c r="N237" s="33">
        <f t="shared" si="8"/>
        <v>768348.623853211</v>
      </c>
      <c r="O237" s="33">
        <f t="shared" si="9"/>
        <v>69151.3761467891</v>
      </c>
    </row>
    <row r="238" customHeight="1" spans="1:15">
      <c r="A238" s="31">
        <v>14</v>
      </c>
      <c r="B238" s="54">
        <v>45524</v>
      </c>
      <c r="C238" s="41">
        <v>20240004769</v>
      </c>
      <c r="D238" s="55" t="s">
        <v>540</v>
      </c>
      <c r="E238" s="40" t="s">
        <v>541</v>
      </c>
      <c r="F238" s="40"/>
      <c r="G238" s="62">
        <v>14</v>
      </c>
      <c r="H238" s="41" t="s">
        <v>370</v>
      </c>
      <c r="I238" s="41">
        <v>1</v>
      </c>
      <c r="J238" s="41">
        <v>106.72</v>
      </c>
      <c r="K238" s="41">
        <v>26567.6536731634</v>
      </c>
      <c r="L238" s="43">
        <v>2835300</v>
      </c>
      <c r="N238" s="33">
        <f t="shared" si="8"/>
        <v>2601192.66055046</v>
      </c>
      <c r="O238" s="33">
        <f t="shared" si="9"/>
        <v>234107.339449542</v>
      </c>
    </row>
    <row r="239" customHeight="1" spans="1:15">
      <c r="A239" s="31">
        <v>15</v>
      </c>
      <c r="B239" s="54">
        <v>45398</v>
      </c>
      <c r="C239" s="41">
        <v>20240002095</v>
      </c>
      <c r="D239" s="46" t="s">
        <v>549</v>
      </c>
      <c r="E239" s="40" t="s">
        <v>550</v>
      </c>
      <c r="F239" s="40"/>
      <c r="G239" s="62"/>
      <c r="H239" s="41" t="s">
        <v>370</v>
      </c>
      <c r="I239" s="41">
        <v>2</v>
      </c>
      <c r="J239" s="41">
        <v>103.64</v>
      </c>
      <c r="K239" s="41">
        <v>23962.4662292551</v>
      </c>
      <c r="L239" s="43">
        <v>2483470</v>
      </c>
      <c r="N239" s="33">
        <f t="shared" si="8"/>
        <v>2278412.8440367</v>
      </c>
      <c r="O239" s="33">
        <f t="shared" si="9"/>
        <v>205057.155963303</v>
      </c>
    </row>
    <row r="240" customHeight="1" spans="1:15">
      <c r="A240" s="31">
        <v>16</v>
      </c>
      <c r="B240" s="54">
        <v>45202</v>
      </c>
      <c r="C240" s="1023" t="s">
        <v>6813</v>
      </c>
      <c r="D240" s="1024" t="s">
        <v>558</v>
      </c>
      <c r="E240" s="40" t="s">
        <v>6814</v>
      </c>
      <c r="F240" s="40"/>
      <c r="G240" s="62"/>
      <c r="H240" s="41" t="s">
        <v>370</v>
      </c>
      <c r="I240" s="41">
        <v>3</v>
      </c>
      <c r="J240" s="41">
        <v>68.28</v>
      </c>
      <c r="K240" s="41">
        <v>23929.6280023433</v>
      </c>
      <c r="L240" s="43">
        <v>1633915</v>
      </c>
      <c r="N240" s="33">
        <f t="shared" si="8"/>
        <v>1499004.58715596</v>
      </c>
      <c r="O240" s="33">
        <f t="shared" si="9"/>
        <v>134910.412844037</v>
      </c>
    </row>
    <row r="241" customHeight="1" spans="1:15">
      <c r="A241" s="31">
        <v>17</v>
      </c>
      <c r="B241" s="54">
        <v>45198</v>
      </c>
      <c r="C241" s="41">
        <v>20230008210</v>
      </c>
      <c r="D241" s="46" t="s">
        <v>566</v>
      </c>
      <c r="E241" s="40" t="s">
        <v>567</v>
      </c>
      <c r="F241" s="40"/>
      <c r="G241" s="62"/>
      <c r="H241" s="41" t="s">
        <v>370</v>
      </c>
      <c r="I241" s="41">
        <v>4</v>
      </c>
      <c r="J241" s="41">
        <v>68.28</v>
      </c>
      <c r="K241" s="41">
        <v>23428.405</v>
      </c>
      <c r="L241" s="43">
        <v>1610000</v>
      </c>
      <c r="N241" s="33">
        <f t="shared" si="8"/>
        <v>1477064.22018349</v>
      </c>
      <c r="O241" s="33">
        <f t="shared" si="9"/>
        <v>132935.779816514</v>
      </c>
    </row>
    <row r="242" customHeight="1" spans="1:15">
      <c r="A242" s="31">
        <v>18</v>
      </c>
      <c r="B242" s="54">
        <v>45204</v>
      </c>
      <c r="C242" s="41">
        <v>20230008684</v>
      </c>
      <c r="D242" s="46" t="s">
        <v>576</v>
      </c>
      <c r="E242" s="64" t="s">
        <v>577</v>
      </c>
      <c r="F242" s="64"/>
      <c r="G242" s="62"/>
      <c r="H242" s="41" t="s">
        <v>370</v>
      </c>
      <c r="I242" s="41">
        <v>5</v>
      </c>
      <c r="J242" s="41">
        <v>68.28</v>
      </c>
      <c r="K242" s="41">
        <v>23333.77</v>
      </c>
      <c r="L242" s="43">
        <v>1603497</v>
      </c>
      <c r="N242" s="33">
        <f t="shared" si="8"/>
        <v>1471098.16513761</v>
      </c>
      <c r="O242" s="33">
        <f t="shared" si="9"/>
        <v>132398.834862385</v>
      </c>
    </row>
    <row r="243" customHeight="1" spans="1:15">
      <c r="A243" s="31">
        <v>19</v>
      </c>
      <c r="B243" s="41" t="s">
        <v>587</v>
      </c>
      <c r="C243" s="41">
        <v>20230008648</v>
      </c>
      <c r="D243" s="46" t="s">
        <v>583</v>
      </c>
      <c r="E243" s="40" t="s">
        <v>6815</v>
      </c>
      <c r="F243" s="40"/>
      <c r="G243" s="62"/>
      <c r="H243" s="41" t="s">
        <v>370</v>
      </c>
      <c r="I243" s="41">
        <v>6</v>
      </c>
      <c r="J243" s="41">
        <v>60.15</v>
      </c>
      <c r="K243" s="41">
        <v>23000</v>
      </c>
      <c r="L243" s="43">
        <v>1392420</v>
      </c>
      <c r="N243" s="33">
        <f t="shared" si="8"/>
        <v>1277449.5412844</v>
      </c>
      <c r="O243" s="33">
        <f t="shared" si="9"/>
        <v>114970.458715596</v>
      </c>
    </row>
    <row r="244" customHeight="1" spans="1:15">
      <c r="A244" s="31">
        <v>20</v>
      </c>
      <c r="B244" s="54">
        <v>45370</v>
      </c>
      <c r="C244" s="41">
        <v>20240001485</v>
      </c>
      <c r="D244" s="46" t="s">
        <v>591</v>
      </c>
      <c r="E244" s="40" t="s">
        <v>592</v>
      </c>
      <c r="F244" s="40"/>
      <c r="G244" s="62"/>
      <c r="H244" s="41" t="s">
        <v>370</v>
      </c>
      <c r="I244" s="41">
        <v>7</v>
      </c>
      <c r="J244" s="41">
        <v>71.53</v>
      </c>
      <c r="K244" s="41">
        <v>23600</v>
      </c>
      <c r="L244" s="43">
        <v>1698965</v>
      </c>
      <c r="N244" s="33">
        <f t="shared" si="8"/>
        <v>1558683.48623853</v>
      </c>
      <c r="O244" s="33">
        <f t="shared" si="9"/>
        <v>140281.513761468</v>
      </c>
    </row>
    <row r="245" customHeight="1" spans="1:15">
      <c r="A245" s="31">
        <v>21</v>
      </c>
      <c r="B245" s="54">
        <v>45204</v>
      </c>
      <c r="C245" s="41">
        <v>20230008670</v>
      </c>
      <c r="D245" s="46" t="s">
        <v>601</v>
      </c>
      <c r="E245" s="65" t="s">
        <v>602</v>
      </c>
      <c r="F245" s="65"/>
      <c r="G245" s="62"/>
      <c r="H245" s="41" t="s">
        <v>370</v>
      </c>
      <c r="I245" s="41">
        <v>8</v>
      </c>
      <c r="J245" s="41">
        <v>68.28</v>
      </c>
      <c r="K245" s="41">
        <v>24000</v>
      </c>
      <c r="L245" s="43">
        <v>1649280</v>
      </c>
      <c r="N245" s="33">
        <f t="shared" si="8"/>
        <v>1513100.91743119</v>
      </c>
      <c r="O245" s="33">
        <f t="shared" si="9"/>
        <v>136179.082568808</v>
      </c>
    </row>
    <row r="246" customHeight="1" spans="1:15">
      <c r="A246" s="31">
        <v>22</v>
      </c>
      <c r="B246" s="41"/>
      <c r="C246" s="41" t="s">
        <v>6720</v>
      </c>
      <c r="D246" s="46" t="s">
        <v>615</v>
      </c>
      <c r="E246" s="66" t="s">
        <v>6816</v>
      </c>
      <c r="F246" s="66"/>
      <c r="G246" s="62"/>
      <c r="H246" s="41" t="s">
        <v>370</v>
      </c>
      <c r="I246" s="41">
        <v>10</v>
      </c>
      <c r="J246" s="41">
        <v>206.2</v>
      </c>
      <c r="K246" s="41">
        <v>26000</v>
      </c>
      <c r="L246" s="43">
        <v>350000</v>
      </c>
      <c r="N246" s="33">
        <f t="shared" si="8"/>
        <v>321100.917431193</v>
      </c>
      <c r="O246" s="33">
        <f t="shared" si="9"/>
        <v>28899.0825688074</v>
      </c>
    </row>
    <row r="247" customHeight="1" spans="1:15">
      <c r="A247" s="31">
        <v>23</v>
      </c>
      <c r="B247" s="54">
        <v>45527</v>
      </c>
      <c r="C247" s="41">
        <v>20240004826</v>
      </c>
      <c r="D247" s="46"/>
      <c r="E247" s="41" t="s">
        <v>626</v>
      </c>
      <c r="F247" s="41"/>
      <c r="G247" s="62"/>
      <c r="H247" s="41" t="s">
        <v>370</v>
      </c>
      <c r="I247" s="41">
        <v>11</v>
      </c>
      <c r="J247" s="41">
        <v>178.05</v>
      </c>
      <c r="K247" s="41">
        <f>L247/J247</f>
        <v>25835.4394832912</v>
      </c>
      <c r="L247" s="43">
        <v>4600000</v>
      </c>
      <c r="N247" s="33">
        <f t="shared" si="8"/>
        <v>4220183.48623853</v>
      </c>
      <c r="O247" s="33">
        <f t="shared" si="9"/>
        <v>379816.513761468</v>
      </c>
    </row>
    <row r="248" customHeight="1" spans="1:15">
      <c r="A248" s="31">
        <v>24</v>
      </c>
      <c r="B248" s="41" t="s">
        <v>2916</v>
      </c>
      <c r="C248" s="41">
        <v>20230008587</v>
      </c>
      <c r="D248" s="46" t="s">
        <v>634</v>
      </c>
      <c r="E248" s="66" t="s">
        <v>635</v>
      </c>
      <c r="F248" s="66"/>
      <c r="G248" s="62"/>
      <c r="H248" s="41" t="s">
        <v>370</v>
      </c>
      <c r="I248" s="41">
        <v>12</v>
      </c>
      <c r="J248" s="41">
        <v>63.93</v>
      </c>
      <c r="K248" s="41">
        <v>20000</v>
      </c>
      <c r="L248" s="43">
        <v>1286800</v>
      </c>
      <c r="N248" s="33">
        <f t="shared" si="8"/>
        <v>1180550.4587156</v>
      </c>
      <c r="O248" s="33">
        <f t="shared" si="9"/>
        <v>106249.541284404</v>
      </c>
    </row>
    <row r="249" customHeight="1" spans="1:15">
      <c r="A249" s="31">
        <v>25</v>
      </c>
      <c r="B249" s="54">
        <v>45201</v>
      </c>
      <c r="C249" s="41">
        <v>20230008471</v>
      </c>
      <c r="D249" s="46" t="s">
        <v>645</v>
      </c>
      <c r="E249" s="64" t="s">
        <v>646</v>
      </c>
      <c r="F249" s="64"/>
      <c r="G249" s="62"/>
      <c r="H249" s="41" t="s">
        <v>370</v>
      </c>
      <c r="I249" s="41">
        <v>13</v>
      </c>
      <c r="J249" s="41">
        <v>63.93</v>
      </c>
      <c r="K249" s="41">
        <v>20027.58</v>
      </c>
      <c r="L249" s="43">
        <v>1288575</v>
      </c>
      <c r="N249" s="33">
        <f t="shared" si="8"/>
        <v>1182178.89908257</v>
      </c>
      <c r="O249" s="33">
        <f t="shared" si="9"/>
        <v>106396.100917431</v>
      </c>
    </row>
    <row r="250" customHeight="1" spans="1:15">
      <c r="A250" s="31">
        <v>26</v>
      </c>
      <c r="B250" s="41"/>
      <c r="C250" s="41" t="s">
        <v>6720</v>
      </c>
      <c r="D250" s="46" t="s">
        <v>659</v>
      </c>
      <c r="E250" s="40" t="s">
        <v>6817</v>
      </c>
      <c r="F250" s="40"/>
      <c r="G250" s="62"/>
      <c r="H250" s="41" t="s">
        <v>370</v>
      </c>
      <c r="I250" s="41">
        <v>15</v>
      </c>
      <c r="J250" s="41">
        <v>67.42</v>
      </c>
      <c r="K250" s="41">
        <v>17686.07</v>
      </c>
      <c r="L250" s="43">
        <v>20000</v>
      </c>
      <c r="N250" s="33">
        <f t="shared" si="8"/>
        <v>18348.623853211</v>
      </c>
      <c r="O250" s="33">
        <f t="shared" si="9"/>
        <v>1651.37614678899</v>
      </c>
    </row>
    <row r="251" customHeight="1" spans="1:15">
      <c r="A251" s="31">
        <v>27</v>
      </c>
      <c r="B251" s="41" t="s">
        <v>671</v>
      </c>
      <c r="C251" s="41">
        <v>20240001898</v>
      </c>
      <c r="D251" s="46" t="s">
        <v>667</v>
      </c>
      <c r="E251" s="41" t="s">
        <v>668</v>
      </c>
      <c r="F251" s="41"/>
      <c r="G251" s="62"/>
      <c r="H251" s="41" t="s">
        <v>370</v>
      </c>
      <c r="I251" s="41">
        <v>16</v>
      </c>
      <c r="J251" s="41">
        <v>110.21</v>
      </c>
      <c r="K251" s="41">
        <v>17100</v>
      </c>
      <c r="L251" s="43">
        <v>1896732</v>
      </c>
      <c r="N251" s="33">
        <f t="shared" si="8"/>
        <v>1740121.10091743</v>
      </c>
      <c r="O251" s="33">
        <f t="shared" si="9"/>
        <v>156610.899082569</v>
      </c>
    </row>
    <row r="252" customHeight="1" spans="1:15">
      <c r="A252" s="31">
        <v>28</v>
      </c>
      <c r="B252" s="54">
        <v>45203</v>
      </c>
      <c r="C252" s="41">
        <v>20230008599</v>
      </c>
      <c r="D252" s="46" t="s">
        <v>674</v>
      </c>
      <c r="E252" s="41" t="s">
        <v>675</v>
      </c>
      <c r="F252" s="41"/>
      <c r="G252" s="62"/>
      <c r="H252" s="41" t="s">
        <v>370</v>
      </c>
      <c r="I252" s="41">
        <v>17</v>
      </c>
      <c r="J252" s="41">
        <v>50.88</v>
      </c>
      <c r="K252" s="41">
        <v>17965.24</v>
      </c>
      <c r="L252" s="43">
        <v>920000</v>
      </c>
      <c r="N252" s="33">
        <f t="shared" si="8"/>
        <v>844036.697247706</v>
      </c>
      <c r="O252" s="33">
        <f t="shared" si="9"/>
        <v>75963.3027522936</v>
      </c>
    </row>
    <row r="253" customHeight="1" spans="1:15">
      <c r="A253" s="31">
        <v>29</v>
      </c>
      <c r="B253" s="54">
        <v>45203</v>
      </c>
      <c r="C253" s="41">
        <v>20230008608</v>
      </c>
      <c r="D253" s="46" t="s">
        <v>679</v>
      </c>
      <c r="E253" s="41" t="s">
        <v>680</v>
      </c>
      <c r="F253" s="41"/>
      <c r="G253" s="62"/>
      <c r="H253" s="41" t="s">
        <v>370</v>
      </c>
      <c r="I253" s="41">
        <v>18</v>
      </c>
      <c r="J253" s="41">
        <v>50.88</v>
      </c>
      <c r="K253" s="41">
        <v>18121.46</v>
      </c>
      <c r="L253" s="43">
        <v>928000</v>
      </c>
      <c r="N253" s="33">
        <f t="shared" si="8"/>
        <v>851376.146788991</v>
      </c>
      <c r="O253" s="33">
        <f t="shared" si="9"/>
        <v>76623.8532110093</v>
      </c>
    </row>
    <row r="254" customHeight="1" spans="1:15">
      <c r="A254" s="31">
        <v>30</v>
      </c>
      <c r="B254" s="41"/>
      <c r="C254" s="41" t="s">
        <v>6720</v>
      </c>
      <c r="D254" s="46"/>
      <c r="E254" s="41" t="s">
        <v>694</v>
      </c>
      <c r="F254" s="41"/>
      <c r="G254" s="62"/>
      <c r="H254" s="41" t="s">
        <v>477</v>
      </c>
      <c r="I254" s="41">
        <v>1</v>
      </c>
      <c r="J254" s="41">
        <v>124.63</v>
      </c>
      <c r="K254" s="41"/>
      <c r="L254" s="43">
        <v>800000</v>
      </c>
      <c r="N254" s="33">
        <f t="shared" si="8"/>
        <v>733944.95412844</v>
      </c>
      <c r="O254" s="33">
        <f t="shared" si="9"/>
        <v>66055.0458715596</v>
      </c>
    </row>
    <row r="255" customHeight="1" spans="1:15">
      <c r="A255" s="31">
        <v>31</v>
      </c>
      <c r="B255" s="54">
        <v>45530</v>
      </c>
      <c r="C255" s="41">
        <v>20240004848</v>
      </c>
      <c r="D255" s="46"/>
      <c r="E255" s="41" t="s">
        <v>699</v>
      </c>
      <c r="F255" s="41"/>
      <c r="G255" s="62"/>
      <c r="H255" s="41" t="s">
        <v>477</v>
      </c>
      <c r="I255" s="41">
        <v>2</v>
      </c>
      <c r="J255" s="41">
        <v>123.99</v>
      </c>
      <c r="K255" s="41">
        <v>8950</v>
      </c>
      <c r="L255" s="43">
        <v>1120093</v>
      </c>
      <c r="N255" s="33">
        <f t="shared" si="8"/>
        <v>1027608.25688073</v>
      </c>
      <c r="O255" s="33">
        <f t="shared" si="9"/>
        <v>92484.7431192661</v>
      </c>
    </row>
    <row r="256" customHeight="1" spans="1:15">
      <c r="A256" s="31">
        <v>32</v>
      </c>
      <c r="B256" s="41"/>
      <c r="C256" s="41" t="s">
        <v>6720</v>
      </c>
      <c r="D256" s="46" t="s">
        <v>6818</v>
      </c>
      <c r="E256" s="41" t="s">
        <v>6819</v>
      </c>
      <c r="F256" s="41"/>
      <c r="G256" s="62"/>
      <c r="H256" s="41" t="s">
        <v>477</v>
      </c>
      <c r="I256" s="41">
        <v>3</v>
      </c>
      <c r="J256" s="41">
        <v>119.5</v>
      </c>
      <c r="K256" s="41">
        <v>9037.65690376569</v>
      </c>
      <c r="L256" s="43">
        <v>20000</v>
      </c>
      <c r="N256" s="33">
        <f t="shared" si="8"/>
        <v>18348.623853211</v>
      </c>
      <c r="O256" s="33">
        <f t="shared" si="9"/>
        <v>1651.37614678899</v>
      </c>
    </row>
    <row r="257" customHeight="1" spans="1:15">
      <c r="A257" s="31">
        <v>33</v>
      </c>
      <c r="B257" s="41" t="s">
        <v>6820</v>
      </c>
      <c r="C257" s="41">
        <v>20230010720</v>
      </c>
      <c r="D257" s="46" t="s">
        <v>710</v>
      </c>
      <c r="E257" s="41" t="s">
        <v>711</v>
      </c>
      <c r="F257" s="41"/>
      <c r="G257" s="62"/>
      <c r="H257" s="41" t="s">
        <v>477</v>
      </c>
      <c r="I257" s="41">
        <v>4</v>
      </c>
      <c r="J257" s="41">
        <v>78.72</v>
      </c>
      <c r="K257" s="41">
        <v>10000</v>
      </c>
      <c r="L257" s="43">
        <v>794600</v>
      </c>
      <c r="N257" s="33">
        <f t="shared" si="8"/>
        <v>728990.825688073</v>
      </c>
      <c r="O257" s="33">
        <f t="shared" si="9"/>
        <v>65609.1743119267</v>
      </c>
    </row>
    <row r="258" customHeight="1" spans="1:15">
      <c r="A258" s="31">
        <v>34</v>
      </c>
      <c r="B258" s="41" t="s">
        <v>6820</v>
      </c>
      <c r="C258" s="41">
        <v>20230010721</v>
      </c>
      <c r="D258" s="46" t="s">
        <v>710</v>
      </c>
      <c r="E258" s="41" t="s">
        <v>711</v>
      </c>
      <c r="F258" s="41"/>
      <c r="G258" s="62"/>
      <c r="H258" s="41" t="s">
        <v>477</v>
      </c>
      <c r="I258" s="41">
        <v>5</v>
      </c>
      <c r="J258" s="41">
        <v>78.72</v>
      </c>
      <c r="K258" s="41">
        <v>10000</v>
      </c>
      <c r="L258" s="43">
        <v>794600</v>
      </c>
      <c r="N258" s="33">
        <f t="shared" si="8"/>
        <v>728990.825688073</v>
      </c>
      <c r="O258" s="33">
        <f t="shared" si="9"/>
        <v>65609.1743119267</v>
      </c>
    </row>
    <row r="259" customHeight="1" spans="1:15">
      <c r="A259" s="31">
        <v>35</v>
      </c>
      <c r="B259" s="54">
        <v>45202</v>
      </c>
      <c r="C259" s="41">
        <v>20230008531</v>
      </c>
      <c r="D259" s="1024" t="s">
        <v>729</v>
      </c>
      <c r="E259" s="41" t="s">
        <v>6821</v>
      </c>
      <c r="F259" s="41"/>
      <c r="G259" s="62"/>
      <c r="H259" s="41" t="s">
        <v>477</v>
      </c>
      <c r="I259" s="41">
        <v>6</v>
      </c>
      <c r="J259" s="41">
        <v>78.72</v>
      </c>
      <c r="K259" s="41">
        <v>9690.4</v>
      </c>
      <c r="L259" s="43">
        <v>770000</v>
      </c>
      <c r="N259" s="33">
        <f t="shared" si="8"/>
        <v>706422.018348624</v>
      </c>
      <c r="O259" s="33">
        <f t="shared" si="9"/>
        <v>63577.9816513762</v>
      </c>
    </row>
    <row r="260" customHeight="1" spans="1:15">
      <c r="A260" s="31">
        <v>36</v>
      </c>
      <c r="B260" s="54">
        <v>45319</v>
      </c>
      <c r="C260" s="41">
        <v>20240000633</v>
      </c>
      <c r="D260" s="46" t="s">
        <v>6822</v>
      </c>
      <c r="E260" s="41" t="s">
        <v>6823</v>
      </c>
      <c r="F260" s="41"/>
      <c r="G260" s="62"/>
      <c r="H260" s="41" t="s">
        <v>477</v>
      </c>
      <c r="I260" s="41">
        <v>7</v>
      </c>
      <c r="J260" s="41">
        <v>69.35</v>
      </c>
      <c r="K260" s="41">
        <v>9740</v>
      </c>
      <c r="L260" s="43">
        <v>681800</v>
      </c>
      <c r="N260" s="33">
        <f t="shared" ref="N260:N323" si="10">L260/1.09</f>
        <v>625504.587155963</v>
      </c>
      <c r="O260" s="33">
        <f t="shared" ref="O260:O323" si="11">L260-N260</f>
        <v>56295.4128440367</v>
      </c>
    </row>
    <row r="261" customHeight="1" spans="1:15">
      <c r="A261" s="31">
        <v>37</v>
      </c>
      <c r="B261" s="54">
        <v>45202</v>
      </c>
      <c r="C261" s="41">
        <v>20230008528</v>
      </c>
      <c r="D261" s="46"/>
      <c r="E261" s="41" t="s">
        <v>730</v>
      </c>
      <c r="F261" s="41"/>
      <c r="G261" s="62"/>
      <c r="H261" s="41" t="s">
        <v>477</v>
      </c>
      <c r="I261" s="41">
        <v>8</v>
      </c>
      <c r="J261" s="41">
        <v>82.47</v>
      </c>
      <c r="K261" s="41">
        <v>9851</v>
      </c>
      <c r="L261" s="43">
        <v>820000</v>
      </c>
      <c r="N261" s="33">
        <f t="shared" si="10"/>
        <v>752293.577981651</v>
      </c>
      <c r="O261" s="33">
        <f t="shared" si="11"/>
        <v>67706.4220183487</v>
      </c>
    </row>
    <row r="262" customHeight="1" spans="1:15">
      <c r="A262" s="31">
        <v>38</v>
      </c>
      <c r="B262" s="54">
        <v>45202</v>
      </c>
      <c r="C262" s="41">
        <v>20230008534</v>
      </c>
      <c r="D262" s="46" t="s">
        <v>736</v>
      </c>
      <c r="E262" s="41" t="s">
        <v>6824</v>
      </c>
      <c r="F262" s="41"/>
      <c r="G262" s="62"/>
      <c r="H262" s="41" t="s">
        <v>477</v>
      </c>
      <c r="I262" s="41">
        <v>9</v>
      </c>
      <c r="J262" s="41">
        <v>78.72</v>
      </c>
      <c r="K262" s="41">
        <v>9942</v>
      </c>
      <c r="L262" s="43">
        <v>790000</v>
      </c>
      <c r="N262" s="33">
        <f t="shared" si="10"/>
        <v>724770.642201835</v>
      </c>
      <c r="O262" s="33">
        <f t="shared" si="11"/>
        <v>65229.3577981652</v>
      </c>
    </row>
    <row r="263" customHeight="1" spans="1:15">
      <c r="A263" s="31">
        <v>39</v>
      </c>
      <c r="B263" s="54">
        <v>45538</v>
      </c>
      <c r="C263" s="41">
        <v>20240005074</v>
      </c>
      <c r="D263" s="46"/>
      <c r="E263" s="41" t="s">
        <v>743</v>
      </c>
      <c r="F263" s="41"/>
      <c r="G263" s="62"/>
      <c r="H263" s="41" t="s">
        <v>477</v>
      </c>
      <c r="I263" s="41">
        <v>10</v>
      </c>
      <c r="J263" s="41">
        <v>140.64</v>
      </c>
      <c r="K263" s="41">
        <v>9405.14078498294</v>
      </c>
      <c r="L263" s="43">
        <v>1322739</v>
      </c>
      <c r="N263" s="33">
        <f t="shared" si="10"/>
        <v>1213522.01834862</v>
      </c>
      <c r="O263" s="33">
        <f t="shared" si="11"/>
        <v>109216.981651376</v>
      </c>
    </row>
    <row r="264" customHeight="1" spans="1:15">
      <c r="A264" s="31">
        <v>40</v>
      </c>
      <c r="B264" s="41" t="s">
        <v>1872</v>
      </c>
      <c r="C264" s="41">
        <v>20240000151</v>
      </c>
      <c r="D264" s="46" t="s">
        <v>746</v>
      </c>
      <c r="E264" s="40" t="s">
        <v>747</v>
      </c>
      <c r="F264" s="40"/>
      <c r="G264" s="62"/>
      <c r="H264" s="41" t="s">
        <v>477</v>
      </c>
      <c r="I264" s="41">
        <v>11</v>
      </c>
      <c r="J264" s="41">
        <v>237.74</v>
      </c>
      <c r="K264" s="41">
        <f>L264/J264</f>
        <v>11971.746445697</v>
      </c>
      <c r="L264" s="43">
        <v>2846163</v>
      </c>
      <c r="N264" s="33">
        <f t="shared" si="10"/>
        <v>2611158.71559633</v>
      </c>
      <c r="O264" s="33">
        <f t="shared" si="11"/>
        <v>235004.28440367</v>
      </c>
    </row>
    <row r="265" customHeight="1" spans="1:15">
      <c r="A265" s="31">
        <v>41</v>
      </c>
      <c r="B265" s="54">
        <v>45308</v>
      </c>
      <c r="C265" s="41">
        <v>20240000152</v>
      </c>
      <c r="D265" s="46"/>
      <c r="E265" s="40" t="s">
        <v>754</v>
      </c>
      <c r="F265" s="40"/>
      <c r="G265" s="62"/>
      <c r="H265" s="41" t="s">
        <v>477</v>
      </c>
      <c r="I265" s="41">
        <v>12</v>
      </c>
      <c r="J265" s="41">
        <v>205.28</v>
      </c>
      <c r="K265" s="41">
        <f>L265/J265</f>
        <v>11971.5072096648</v>
      </c>
      <c r="L265" s="43">
        <v>2457511</v>
      </c>
      <c r="N265" s="33">
        <f t="shared" si="10"/>
        <v>2254597.24770642</v>
      </c>
      <c r="O265" s="33">
        <f t="shared" si="11"/>
        <v>202913.752293578</v>
      </c>
    </row>
    <row r="266" customHeight="1" spans="1:15">
      <c r="A266" s="31">
        <v>42</v>
      </c>
      <c r="B266" s="54">
        <v>45204</v>
      </c>
      <c r="C266" s="41">
        <v>20230008633</v>
      </c>
      <c r="D266" s="46" t="s">
        <v>758</v>
      </c>
      <c r="E266" s="41" t="s">
        <v>759</v>
      </c>
      <c r="F266" s="41"/>
      <c r="G266" s="62"/>
      <c r="H266" s="41" t="s">
        <v>477</v>
      </c>
      <c r="I266" s="41">
        <v>13</v>
      </c>
      <c r="J266" s="41">
        <v>73.7</v>
      </c>
      <c r="K266" s="41">
        <v>8510.97</v>
      </c>
      <c r="L266" s="43">
        <v>633216</v>
      </c>
      <c r="N266" s="33">
        <f t="shared" si="10"/>
        <v>580932.110091743</v>
      </c>
      <c r="O266" s="33">
        <f t="shared" si="11"/>
        <v>52283.8899082569</v>
      </c>
    </row>
    <row r="267" customHeight="1" spans="1:15">
      <c r="A267" s="31">
        <v>43</v>
      </c>
      <c r="B267" s="41" t="s">
        <v>629</v>
      </c>
      <c r="C267" s="41">
        <v>20230008344</v>
      </c>
      <c r="D267" s="46" t="s">
        <v>766</v>
      </c>
      <c r="E267" s="41" t="s">
        <v>767</v>
      </c>
      <c r="F267" s="41"/>
      <c r="G267" s="62"/>
      <c r="H267" s="41" t="s">
        <v>477</v>
      </c>
      <c r="I267" s="41">
        <v>14</v>
      </c>
      <c r="J267" s="41">
        <v>73.7</v>
      </c>
      <c r="K267" s="41">
        <v>8431.25</v>
      </c>
      <c r="L267" s="43">
        <v>627285</v>
      </c>
      <c r="N267" s="33">
        <f t="shared" si="10"/>
        <v>575490.825688073</v>
      </c>
      <c r="O267" s="33">
        <f t="shared" si="11"/>
        <v>51794.1743119267</v>
      </c>
    </row>
    <row r="268" customHeight="1" spans="1:15">
      <c r="A268" s="31">
        <v>44</v>
      </c>
      <c r="B268" s="54">
        <v>45499</v>
      </c>
      <c r="C268" s="41">
        <v>20240004261</v>
      </c>
      <c r="D268" s="46" t="s">
        <v>781</v>
      </c>
      <c r="E268" s="40" t="s">
        <v>6825</v>
      </c>
      <c r="F268" s="40"/>
      <c r="G268" s="62"/>
      <c r="H268" s="41" t="s">
        <v>477</v>
      </c>
      <c r="I268" s="41">
        <v>17</v>
      </c>
      <c r="J268" s="41">
        <v>78.97</v>
      </c>
      <c r="K268" s="41">
        <v>8300</v>
      </c>
      <c r="L268" s="43">
        <v>661593</v>
      </c>
      <c r="N268" s="33">
        <f t="shared" si="10"/>
        <v>606966.055045872</v>
      </c>
      <c r="O268" s="33">
        <f t="shared" si="11"/>
        <v>54626.9449541285</v>
      </c>
    </row>
    <row r="269" customHeight="1" spans="1:15">
      <c r="A269" s="31">
        <v>45</v>
      </c>
      <c r="B269" s="41" t="s">
        <v>795</v>
      </c>
      <c r="C269" s="41">
        <v>20230008933</v>
      </c>
      <c r="D269" s="46"/>
      <c r="E269" s="41" t="s">
        <v>793</v>
      </c>
      <c r="F269" s="41"/>
      <c r="G269" s="62"/>
      <c r="H269" s="41" t="s">
        <v>477</v>
      </c>
      <c r="I269" s="41">
        <v>19</v>
      </c>
      <c r="J269" s="41">
        <v>58.66</v>
      </c>
      <c r="K269" s="41">
        <v>8144.33</v>
      </c>
      <c r="L269" s="43">
        <v>482226</v>
      </c>
      <c r="N269" s="33">
        <f t="shared" si="10"/>
        <v>442409.174311927</v>
      </c>
      <c r="O269" s="33">
        <f t="shared" si="11"/>
        <v>39816.8256880734</v>
      </c>
    </row>
    <row r="270" customHeight="1" spans="1:15">
      <c r="A270" s="31">
        <v>46</v>
      </c>
      <c r="B270" s="54">
        <v>45329</v>
      </c>
      <c r="C270" s="41">
        <v>20240000814</v>
      </c>
      <c r="D270" s="46" t="s">
        <v>798</v>
      </c>
      <c r="E270" s="41" t="s">
        <v>799</v>
      </c>
      <c r="F270" s="41"/>
      <c r="G270" s="62"/>
      <c r="H270" s="41" t="s">
        <v>477</v>
      </c>
      <c r="I270" s="41">
        <v>20</v>
      </c>
      <c r="J270" s="41">
        <v>58.66</v>
      </c>
      <c r="K270" s="41">
        <v>7768.95</v>
      </c>
      <c r="L270" s="43">
        <v>460000</v>
      </c>
      <c r="N270" s="33">
        <f t="shared" si="10"/>
        <v>422018.348623853</v>
      </c>
      <c r="O270" s="33">
        <f t="shared" si="11"/>
        <v>37981.6513761468</v>
      </c>
    </row>
    <row r="271" customHeight="1" spans="1:15">
      <c r="A271" s="31">
        <v>47</v>
      </c>
      <c r="B271" s="54">
        <v>45465</v>
      </c>
      <c r="C271" s="41">
        <v>20240003579</v>
      </c>
      <c r="D271" s="46" t="s">
        <v>817</v>
      </c>
      <c r="E271" s="41" t="s">
        <v>818</v>
      </c>
      <c r="F271" s="41"/>
      <c r="G271" s="62" t="s">
        <v>819</v>
      </c>
      <c r="H271" s="41" t="s">
        <v>370</v>
      </c>
      <c r="I271" s="41">
        <v>1</v>
      </c>
      <c r="J271" s="41">
        <v>43.43</v>
      </c>
      <c r="K271" s="41">
        <v>17000</v>
      </c>
      <c r="L271" s="43">
        <v>738310</v>
      </c>
      <c r="N271" s="33">
        <f t="shared" si="10"/>
        <v>677348.623853211</v>
      </c>
      <c r="O271" s="33">
        <f t="shared" si="11"/>
        <v>60961.3761467891</v>
      </c>
    </row>
    <row r="272" customHeight="1" spans="1:15">
      <c r="A272" s="31">
        <v>48</v>
      </c>
      <c r="B272" s="54">
        <v>45465</v>
      </c>
      <c r="C272" s="41">
        <v>20240003028</v>
      </c>
      <c r="D272" s="46" t="s">
        <v>817</v>
      </c>
      <c r="E272" s="41" t="s">
        <v>818</v>
      </c>
      <c r="F272" s="41"/>
      <c r="G272" s="62"/>
      <c r="H272" s="41" t="s">
        <v>370</v>
      </c>
      <c r="I272" s="41">
        <v>2</v>
      </c>
      <c r="J272" s="41">
        <v>50.67</v>
      </c>
      <c r="K272" s="41">
        <v>17000</v>
      </c>
      <c r="L272" s="43">
        <v>861390</v>
      </c>
      <c r="N272" s="33">
        <f t="shared" si="10"/>
        <v>790266.055045872</v>
      </c>
      <c r="O272" s="33">
        <f t="shared" si="11"/>
        <v>71123.9449541285</v>
      </c>
    </row>
    <row r="273" customHeight="1" spans="1:15">
      <c r="A273" s="31">
        <v>49</v>
      </c>
      <c r="B273" s="54">
        <v>45464</v>
      </c>
      <c r="C273" s="41">
        <v>20240003564</v>
      </c>
      <c r="D273" s="46" t="s">
        <v>829</v>
      </c>
      <c r="E273" s="41" t="s">
        <v>830</v>
      </c>
      <c r="F273" s="41"/>
      <c r="G273" s="62"/>
      <c r="H273" s="41" t="s">
        <v>370</v>
      </c>
      <c r="I273" s="41">
        <v>3</v>
      </c>
      <c r="J273" s="41">
        <v>50.67</v>
      </c>
      <c r="K273" s="41">
        <v>17959.3447799487</v>
      </c>
      <c r="L273" s="43">
        <v>910000</v>
      </c>
      <c r="N273" s="33">
        <f t="shared" si="10"/>
        <v>834862.385321101</v>
      </c>
      <c r="O273" s="33">
        <f t="shared" si="11"/>
        <v>75137.6146788992</v>
      </c>
    </row>
    <row r="274" customHeight="1" spans="1:15">
      <c r="A274" s="31">
        <v>50</v>
      </c>
      <c r="B274" s="54">
        <v>45504</v>
      </c>
      <c r="C274" s="41">
        <v>20240004390</v>
      </c>
      <c r="D274" s="46" t="s">
        <v>6826</v>
      </c>
      <c r="E274" s="40" t="s">
        <v>844</v>
      </c>
      <c r="F274" s="40"/>
      <c r="G274" s="62"/>
      <c r="H274" s="41" t="s">
        <v>370</v>
      </c>
      <c r="I274" s="41">
        <v>5</v>
      </c>
      <c r="J274" s="41">
        <v>50.67</v>
      </c>
      <c r="K274" s="41">
        <v>18000</v>
      </c>
      <c r="L274" s="43">
        <v>912060</v>
      </c>
      <c r="N274" s="33">
        <f t="shared" si="10"/>
        <v>836752.293577982</v>
      </c>
      <c r="O274" s="33">
        <f t="shared" si="11"/>
        <v>75307.7064220184</v>
      </c>
    </row>
    <row r="275" customHeight="1" spans="1:15">
      <c r="A275" s="31">
        <v>51</v>
      </c>
      <c r="B275" s="54">
        <v>45474</v>
      </c>
      <c r="C275" s="41">
        <v>20240003765</v>
      </c>
      <c r="D275" s="46" t="s">
        <v>848</v>
      </c>
      <c r="E275" s="40" t="s">
        <v>849</v>
      </c>
      <c r="F275" s="40"/>
      <c r="G275" s="62"/>
      <c r="H275" s="41" t="s">
        <v>370</v>
      </c>
      <c r="I275" s="41">
        <v>6</v>
      </c>
      <c r="J275" s="41">
        <v>50.67</v>
      </c>
      <c r="K275" s="41">
        <v>18117.2291296625</v>
      </c>
      <c r="L275" s="43">
        <v>918000</v>
      </c>
      <c r="N275" s="33">
        <f t="shared" si="10"/>
        <v>842201.834862385</v>
      </c>
      <c r="O275" s="33">
        <f t="shared" si="11"/>
        <v>75798.1651376147</v>
      </c>
    </row>
    <row r="276" customHeight="1" spans="1:15">
      <c r="A276" s="31">
        <v>52</v>
      </c>
      <c r="B276" s="54">
        <v>45474</v>
      </c>
      <c r="C276" s="41">
        <v>20240003764</v>
      </c>
      <c r="D276" s="46" t="s">
        <v>848</v>
      </c>
      <c r="E276" s="40" t="s">
        <v>855</v>
      </c>
      <c r="F276" s="40"/>
      <c r="G276" s="62"/>
      <c r="H276" s="41" t="s">
        <v>370</v>
      </c>
      <c r="I276" s="41">
        <v>7</v>
      </c>
      <c r="J276" s="41">
        <v>50.67</v>
      </c>
      <c r="K276" s="41">
        <v>18117.2291296625</v>
      </c>
      <c r="L276" s="43">
        <v>918000</v>
      </c>
      <c r="N276" s="33">
        <f t="shared" si="10"/>
        <v>842201.834862385</v>
      </c>
      <c r="O276" s="33">
        <f t="shared" si="11"/>
        <v>75798.1651376147</v>
      </c>
    </row>
    <row r="277" customHeight="1" spans="1:15">
      <c r="A277" s="31">
        <v>53</v>
      </c>
      <c r="B277" s="54">
        <v>45440</v>
      </c>
      <c r="C277" s="41">
        <v>20240003156</v>
      </c>
      <c r="D277" s="46"/>
      <c r="E277" s="41" t="s">
        <v>860</v>
      </c>
      <c r="F277" s="41"/>
      <c r="G277" s="62"/>
      <c r="H277" s="41" t="s">
        <v>370</v>
      </c>
      <c r="I277" s="41">
        <v>8</v>
      </c>
      <c r="J277" s="41">
        <v>50.67</v>
      </c>
      <c r="K277" s="41">
        <v>18072.82</v>
      </c>
      <c r="L277" s="43">
        <v>915750</v>
      </c>
      <c r="N277" s="33">
        <f t="shared" si="10"/>
        <v>840137.614678899</v>
      </c>
      <c r="O277" s="33">
        <f t="shared" si="11"/>
        <v>75612.3853211009</v>
      </c>
    </row>
    <row r="278" customHeight="1" spans="1:15">
      <c r="A278" s="31">
        <v>54</v>
      </c>
      <c r="B278" s="54">
        <v>45520</v>
      </c>
      <c r="C278" s="41">
        <v>20240004709</v>
      </c>
      <c r="D278" s="46" t="s">
        <v>867</v>
      </c>
      <c r="E278" s="41" t="s">
        <v>868</v>
      </c>
      <c r="F278" s="41"/>
      <c r="G278" s="62"/>
      <c r="H278" s="41" t="s">
        <v>370</v>
      </c>
      <c r="I278" s="41">
        <v>9</v>
      </c>
      <c r="J278" s="41">
        <v>50.67</v>
      </c>
      <c r="K278" s="41">
        <v>18413.26</v>
      </c>
      <c r="L278" s="43">
        <v>933000</v>
      </c>
      <c r="N278" s="33">
        <f t="shared" si="10"/>
        <v>855963.302752294</v>
      </c>
      <c r="O278" s="33">
        <f t="shared" si="11"/>
        <v>77036.6972477065</v>
      </c>
    </row>
    <row r="279" customHeight="1" spans="1:15">
      <c r="A279" s="31">
        <v>55</v>
      </c>
      <c r="B279" s="54">
        <v>45485</v>
      </c>
      <c r="C279" s="41">
        <v>20240003988</v>
      </c>
      <c r="D279" s="46" t="s">
        <v>878</v>
      </c>
      <c r="E279" s="41" t="s">
        <v>879</v>
      </c>
      <c r="F279" s="41"/>
      <c r="G279" s="62"/>
      <c r="H279" s="41" t="s">
        <v>477</v>
      </c>
      <c r="I279" s="41">
        <v>1</v>
      </c>
      <c r="J279" s="41">
        <v>49.47</v>
      </c>
      <c r="K279" s="41">
        <v>7883</v>
      </c>
      <c r="L279" s="43">
        <v>390000</v>
      </c>
      <c r="N279" s="33">
        <f t="shared" si="10"/>
        <v>357798.165137615</v>
      </c>
      <c r="O279" s="33">
        <f t="shared" si="11"/>
        <v>32201.8348623854</v>
      </c>
    </row>
    <row r="280" customHeight="1" spans="1:15">
      <c r="A280" s="31">
        <v>56</v>
      </c>
      <c r="B280" s="41" t="s">
        <v>928</v>
      </c>
      <c r="C280" s="41">
        <v>20230006321</v>
      </c>
      <c r="D280" s="46" t="s">
        <v>921</v>
      </c>
      <c r="E280" s="67" t="s">
        <v>6827</v>
      </c>
      <c r="F280" s="67"/>
      <c r="G280" s="62" t="s">
        <v>923</v>
      </c>
      <c r="H280" s="41" t="s">
        <v>370</v>
      </c>
      <c r="I280" s="41">
        <v>1</v>
      </c>
      <c r="J280" s="41">
        <v>43.2</v>
      </c>
      <c r="K280" s="41">
        <v>27823.06</v>
      </c>
      <c r="L280" s="43">
        <v>1201956</v>
      </c>
      <c r="N280" s="33">
        <f t="shared" si="10"/>
        <v>1102711.9266055</v>
      </c>
      <c r="O280" s="33">
        <f t="shared" si="11"/>
        <v>99244.0733944955</v>
      </c>
    </row>
    <row r="281" customHeight="1" spans="1:15">
      <c r="A281" s="31">
        <v>57</v>
      </c>
      <c r="B281" s="41" t="s">
        <v>928</v>
      </c>
      <c r="C281" s="41">
        <v>20230006321</v>
      </c>
      <c r="D281" s="46" t="s">
        <v>921</v>
      </c>
      <c r="E281" s="67" t="s">
        <v>6828</v>
      </c>
      <c r="F281" s="67"/>
      <c r="G281" s="62"/>
      <c r="H281" s="41" t="s">
        <v>370</v>
      </c>
      <c r="I281" s="41">
        <v>2</v>
      </c>
      <c r="J281" s="41">
        <v>42.69</v>
      </c>
      <c r="K281" s="41">
        <v>25861.15</v>
      </c>
      <c r="L281" s="43">
        <v>1104012</v>
      </c>
      <c r="N281" s="33">
        <f t="shared" si="10"/>
        <v>1012855.04587156</v>
      </c>
      <c r="O281" s="33">
        <f t="shared" si="11"/>
        <v>91156.9541284405</v>
      </c>
    </row>
    <row r="282" customHeight="1" spans="1:15">
      <c r="A282" s="31">
        <v>58</v>
      </c>
      <c r="B282" s="41" t="s">
        <v>928</v>
      </c>
      <c r="C282" s="41">
        <v>20230006321</v>
      </c>
      <c r="D282" s="46" t="s">
        <v>921</v>
      </c>
      <c r="E282" s="67" t="s">
        <v>6828</v>
      </c>
      <c r="F282" s="67"/>
      <c r="G282" s="62"/>
      <c r="H282" s="41" t="s">
        <v>370</v>
      </c>
      <c r="I282" s="41">
        <v>3</v>
      </c>
      <c r="J282" s="41">
        <v>42.69</v>
      </c>
      <c r="K282" s="41">
        <v>25391.04</v>
      </c>
      <c r="L282" s="43">
        <v>1083943</v>
      </c>
      <c r="N282" s="33">
        <f t="shared" si="10"/>
        <v>994443.119266055</v>
      </c>
      <c r="O282" s="33">
        <f t="shared" si="11"/>
        <v>89499.8807339451</v>
      </c>
    </row>
    <row r="283" customHeight="1" spans="1:15">
      <c r="A283" s="31">
        <v>59</v>
      </c>
      <c r="B283" s="41" t="s">
        <v>944</v>
      </c>
      <c r="C283" s="41">
        <v>20230006451</v>
      </c>
      <c r="D283" s="46" t="s">
        <v>938</v>
      </c>
      <c r="E283" s="65" t="s">
        <v>6829</v>
      </c>
      <c r="F283" s="65"/>
      <c r="G283" s="62"/>
      <c r="H283" s="41" t="s">
        <v>370</v>
      </c>
      <c r="I283" s="41">
        <v>4</v>
      </c>
      <c r="J283" s="41">
        <v>42.69</v>
      </c>
      <c r="K283" s="41">
        <v>24945.91</v>
      </c>
      <c r="L283" s="43">
        <v>1064941</v>
      </c>
      <c r="N283" s="33">
        <f t="shared" si="10"/>
        <v>977010.091743119</v>
      </c>
      <c r="O283" s="33">
        <f t="shared" si="11"/>
        <v>87930.9082568808</v>
      </c>
    </row>
    <row r="284" customHeight="1" spans="1:15">
      <c r="A284" s="31">
        <v>60</v>
      </c>
      <c r="B284" s="41" t="s">
        <v>587</v>
      </c>
      <c r="C284" s="41">
        <v>20230008712</v>
      </c>
      <c r="D284" s="46" t="s">
        <v>948</v>
      </c>
      <c r="E284" s="64" t="s">
        <v>6830</v>
      </c>
      <c r="F284" s="64"/>
      <c r="G284" s="62"/>
      <c r="H284" s="41" t="s">
        <v>370</v>
      </c>
      <c r="I284" s="41">
        <v>5</v>
      </c>
      <c r="J284" s="41">
        <v>42.69</v>
      </c>
      <c r="K284" s="41">
        <v>24963.84</v>
      </c>
      <c r="L284" s="43">
        <v>1065706</v>
      </c>
      <c r="N284" s="33">
        <f t="shared" si="10"/>
        <v>977711.926605504</v>
      </c>
      <c r="O284" s="33">
        <f t="shared" si="11"/>
        <v>87994.0733944955</v>
      </c>
    </row>
    <row r="285" customHeight="1" spans="1:15">
      <c r="A285" s="31">
        <v>61</v>
      </c>
      <c r="B285" s="41"/>
      <c r="C285" s="41" t="s">
        <v>6720</v>
      </c>
      <c r="D285" s="46" t="s">
        <v>959</v>
      </c>
      <c r="E285" s="47" t="s">
        <v>6831</v>
      </c>
      <c r="F285" s="47"/>
      <c r="G285" s="62"/>
      <c r="H285" s="41" t="s">
        <v>370</v>
      </c>
      <c r="I285" s="41">
        <v>6</v>
      </c>
      <c r="J285" s="41">
        <v>29.05</v>
      </c>
      <c r="K285" s="41">
        <v>24463.84</v>
      </c>
      <c r="L285" s="43">
        <v>368262</v>
      </c>
      <c r="N285" s="33">
        <f t="shared" si="10"/>
        <v>337855.04587156</v>
      </c>
      <c r="O285" s="33">
        <f t="shared" si="11"/>
        <v>30406.9541284404</v>
      </c>
    </row>
    <row r="286" customHeight="1" spans="1:15">
      <c r="A286" s="31">
        <v>62</v>
      </c>
      <c r="B286" s="41" t="s">
        <v>629</v>
      </c>
      <c r="C286" s="41">
        <v>20230008395</v>
      </c>
      <c r="D286" s="46" t="s">
        <v>959</v>
      </c>
      <c r="E286" s="47" t="s">
        <v>6832</v>
      </c>
      <c r="F286" s="47"/>
      <c r="G286" s="62"/>
      <c r="H286" s="41" t="s">
        <v>370</v>
      </c>
      <c r="I286" s="41">
        <v>7</v>
      </c>
      <c r="J286" s="41">
        <v>42.69</v>
      </c>
      <c r="K286" s="41">
        <v>24369.82</v>
      </c>
      <c r="L286" s="43">
        <v>1040348</v>
      </c>
      <c r="N286" s="33">
        <f t="shared" si="10"/>
        <v>954447.706422018</v>
      </c>
      <c r="O286" s="33">
        <f t="shared" si="11"/>
        <v>85900.2935779818</v>
      </c>
    </row>
    <row r="287" customHeight="1" spans="1:15">
      <c r="A287" s="31">
        <v>63</v>
      </c>
      <c r="B287" s="41" t="s">
        <v>976</v>
      </c>
      <c r="C287" s="41">
        <v>20230005526</v>
      </c>
      <c r="D287" s="46" t="s">
        <v>971</v>
      </c>
      <c r="E287" s="47" t="s">
        <v>6833</v>
      </c>
      <c r="F287" s="47"/>
      <c r="G287" s="62"/>
      <c r="H287" s="41" t="s">
        <v>370</v>
      </c>
      <c r="I287" s="41">
        <v>8</v>
      </c>
      <c r="J287" s="41">
        <v>42.69</v>
      </c>
      <c r="K287" s="41">
        <v>24275.79</v>
      </c>
      <c r="L287" s="43">
        <v>1036333</v>
      </c>
      <c r="N287" s="33">
        <f t="shared" si="10"/>
        <v>950764.220183486</v>
      </c>
      <c r="O287" s="33">
        <f t="shared" si="11"/>
        <v>85568.7798165139</v>
      </c>
    </row>
    <row r="288" customHeight="1" spans="1:15">
      <c r="A288" s="31">
        <v>64</v>
      </c>
      <c r="B288" s="41"/>
      <c r="C288" s="41" t="s">
        <v>6720</v>
      </c>
      <c r="D288" s="46" t="s">
        <v>6834</v>
      </c>
      <c r="E288" s="47" t="s">
        <v>6835</v>
      </c>
      <c r="F288" s="47"/>
      <c r="G288" s="62"/>
      <c r="H288" s="41" t="s">
        <v>370</v>
      </c>
      <c r="I288" s="41">
        <v>9</v>
      </c>
      <c r="J288" s="41">
        <v>42.69</v>
      </c>
      <c r="K288" s="41">
        <v>24181.77</v>
      </c>
      <c r="L288" s="43">
        <v>350000</v>
      </c>
      <c r="N288" s="33">
        <f t="shared" si="10"/>
        <v>321100.917431193</v>
      </c>
      <c r="O288" s="33">
        <f t="shared" si="11"/>
        <v>28899.0825688074</v>
      </c>
    </row>
    <row r="289" customHeight="1" spans="1:15">
      <c r="A289" s="31">
        <v>65</v>
      </c>
      <c r="B289" s="41" t="s">
        <v>994</v>
      </c>
      <c r="C289" s="41">
        <v>20230005458</v>
      </c>
      <c r="D289" s="46" t="s">
        <v>988</v>
      </c>
      <c r="E289" s="64" t="s">
        <v>6836</v>
      </c>
      <c r="F289" s="64"/>
      <c r="G289" s="62"/>
      <c r="H289" s="41" t="s">
        <v>370</v>
      </c>
      <c r="I289" s="41">
        <v>10</v>
      </c>
      <c r="J289" s="41">
        <v>41.68</v>
      </c>
      <c r="K289" s="41">
        <v>24669.16</v>
      </c>
      <c r="L289" s="43">
        <v>1028211</v>
      </c>
      <c r="N289" s="33">
        <f t="shared" si="10"/>
        <v>943312.844036697</v>
      </c>
      <c r="O289" s="33">
        <f t="shared" si="11"/>
        <v>84898.1559633028</v>
      </c>
    </row>
    <row r="290" customHeight="1" spans="1:15">
      <c r="A290" s="31">
        <v>66</v>
      </c>
      <c r="B290" s="41" t="s">
        <v>571</v>
      </c>
      <c r="C290" s="41">
        <v>20230008219</v>
      </c>
      <c r="D290" s="46" t="s">
        <v>996</v>
      </c>
      <c r="E290" s="64" t="s">
        <v>6837</v>
      </c>
      <c r="F290" s="64"/>
      <c r="G290" s="62"/>
      <c r="H290" s="41" t="s">
        <v>370</v>
      </c>
      <c r="I290" s="41">
        <v>11</v>
      </c>
      <c r="J290" s="41">
        <v>43.2</v>
      </c>
      <c r="K290" s="41">
        <v>25867</v>
      </c>
      <c r="L290" s="43">
        <v>1117454</v>
      </c>
      <c r="N290" s="33">
        <f t="shared" si="10"/>
        <v>1025187.1559633</v>
      </c>
      <c r="O290" s="33">
        <f t="shared" si="11"/>
        <v>92266.8440366973</v>
      </c>
    </row>
    <row r="291" customHeight="1" spans="1:15">
      <c r="A291" s="31">
        <v>67</v>
      </c>
      <c r="B291" s="41" t="s">
        <v>571</v>
      </c>
      <c r="C291" s="41">
        <v>20230008224</v>
      </c>
      <c r="D291" s="46" t="s">
        <v>996</v>
      </c>
      <c r="E291" s="64" t="s">
        <v>6837</v>
      </c>
      <c r="F291" s="64"/>
      <c r="G291" s="62"/>
      <c r="H291" s="41" t="s">
        <v>370</v>
      </c>
      <c r="I291" s="41">
        <v>12</v>
      </c>
      <c r="J291" s="41">
        <v>43.2</v>
      </c>
      <c r="K291" s="41">
        <v>20533</v>
      </c>
      <c r="L291" s="43">
        <v>887026</v>
      </c>
      <c r="N291" s="33">
        <f t="shared" si="10"/>
        <v>813785.321100917</v>
      </c>
      <c r="O291" s="33">
        <f t="shared" si="11"/>
        <v>73240.6788990826</v>
      </c>
    </row>
    <row r="292" customHeight="1" spans="1:15">
      <c r="A292" s="31">
        <v>68</v>
      </c>
      <c r="B292" s="41" t="s">
        <v>994</v>
      </c>
      <c r="C292" s="41">
        <v>20230005459</v>
      </c>
      <c r="D292" s="46" t="s">
        <v>988</v>
      </c>
      <c r="E292" s="64" t="s">
        <v>6836</v>
      </c>
      <c r="F292" s="64"/>
      <c r="G292" s="62"/>
      <c r="H292" s="41" t="s">
        <v>370</v>
      </c>
      <c r="I292" s="41">
        <v>13</v>
      </c>
      <c r="J292" s="41">
        <v>41.68</v>
      </c>
      <c r="K292" s="41">
        <v>19527.5</v>
      </c>
      <c r="L292" s="43">
        <v>813906</v>
      </c>
      <c r="N292" s="33">
        <f t="shared" si="10"/>
        <v>746702.752293578</v>
      </c>
      <c r="O292" s="33">
        <f t="shared" si="11"/>
        <v>67203.2477064221</v>
      </c>
    </row>
    <row r="293" customHeight="1" spans="1:15">
      <c r="A293" s="31">
        <v>69</v>
      </c>
      <c r="B293" s="54">
        <v>45318</v>
      </c>
      <c r="C293" s="41">
        <v>20240000629</v>
      </c>
      <c r="D293" s="46" t="s">
        <v>1010</v>
      </c>
      <c r="E293" s="47" t="s">
        <v>6838</v>
      </c>
      <c r="F293" s="47"/>
      <c r="G293" s="62"/>
      <c r="H293" s="41" t="s">
        <v>370</v>
      </c>
      <c r="I293" s="41">
        <v>14</v>
      </c>
      <c r="J293" s="41">
        <v>42.69</v>
      </c>
      <c r="K293" s="41">
        <v>17421.83</v>
      </c>
      <c r="L293" s="43">
        <v>743738</v>
      </c>
      <c r="N293" s="33">
        <f t="shared" si="10"/>
        <v>682328.440366972</v>
      </c>
      <c r="O293" s="33">
        <f t="shared" si="11"/>
        <v>61409.5596330275</v>
      </c>
    </row>
    <row r="294" customHeight="1" spans="1:15">
      <c r="A294" s="31">
        <v>70</v>
      </c>
      <c r="B294" s="54">
        <v>45111</v>
      </c>
      <c r="C294" s="41">
        <v>20230005527</v>
      </c>
      <c r="D294" s="46" t="s">
        <v>971</v>
      </c>
      <c r="E294" s="47" t="s">
        <v>6833</v>
      </c>
      <c r="F294" s="47"/>
      <c r="G294" s="62"/>
      <c r="H294" s="41" t="s">
        <v>370</v>
      </c>
      <c r="I294" s="41">
        <v>15</v>
      </c>
      <c r="J294" s="41">
        <v>42.69</v>
      </c>
      <c r="K294" s="41">
        <v>17235.72</v>
      </c>
      <c r="L294" s="43">
        <v>735793</v>
      </c>
      <c r="N294" s="33">
        <f t="shared" si="10"/>
        <v>675039.449541284</v>
      </c>
      <c r="O294" s="33">
        <f t="shared" si="11"/>
        <v>60753.5504587156</v>
      </c>
    </row>
    <row r="295" customHeight="1" spans="1:15">
      <c r="A295" s="31">
        <v>71</v>
      </c>
      <c r="B295" s="54">
        <v>45223</v>
      </c>
      <c r="C295" s="41">
        <v>20230009189</v>
      </c>
      <c r="D295" s="46" t="s">
        <v>959</v>
      </c>
      <c r="E295" s="47" t="s">
        <v>6831</v>
      </c>
      <c r="F295" s="47"/>
      <c r="G295" s="62"/>
      <c r="H295" s="41" t="s">
        <v>370</v>
      </c>
      <c r="I295" s="41">
        <v>16</v>
      </c>
      <c r="J295" s="41">
        <v>42.69</v>
      </c>
      <c r="K295" s="41">
        <v>17049.62</v>
      </c>
      <c r="L295" s="43">
        <v>727848</v>
      </c>
      <c r="N295" s="33">
        <f t="shared" si="10"/>
        <v>667750.458715596</v>
      </c>
      <c r="O295" s="33">
        <f t="shared" si="11"/>
        <v>60097.5412844038</v>
      </c>
    </row>
    <row r="296" customHeight="1" spans="1:15">
      <c r="A296" s="31">
        <v>72</v>
      </c>
      <c r="B296" s="54">
        <v>45223</v>
      </c>
      <c r="C296" s="41">
        <v>20230009190</v>
      </c>
      <c r="D296" s="46" t="s">
        <v>959</v>
      </c>
      <c r="E296" s="47" t="s">
        <v>6831</v>
      </c>
      <c r="F296" s="47"/>
      <c r="G296" s="62"/>
      <c r="H296" s="41" t="s">
        <v>370</v>
      </c>
      <c r="I296" s="41">
        <v>17</v>
      </c>
      <c r="J296" s="41">
        <v>42.69</v>
      </c>
      <c r="K296" s="41">
        <v>17049.62</v>
      </c>
      <c r="L296" s="43">
        <v>727848</v>
      </c>
      <c r="N296" s="33">
        <f t="shared" si="10"/>
        <v>667750.458715596</v>
      </c>
      <c r="O296" s="33">
        <f t="shared" si="11"/>
        <v>60097.5412844038</v>
      </c>
    </row>
    <row r="297" customHeight="1" spans="1:15">
      <c r="A297" s="31">
        <v>73</v>
      </c>
      <c r="B297" s="41" t="s">
        <v>587</v>
      </c>
      <c r="C297" s="41">
        <v>20230008715</v>
      </c>
      <c r="D297" s="46" t="s">
        <v>948</v>
      </c>
      <c r="E297" s="41" t="s">
        <v>6839</v>
      </c>
      <c r="F297" s="41"/>
      <c r="G297" s="62"/>
      <c r="H297" s="41" t="s">
        <v>370</v>
      </c>
      <c r="I297" s="41">
        <v>18</v>
      </c>
      <c r="J297" s="41">
        <v>42.69</v>
      </c>
      <c r="K297" s="41">
        <v>16677.4</v>
      </c>
      <c r="L297" s="43">
        <v>711958</v>
      </c>
      <c r="N297" s="33">
        <f t="shared" si="10"/>
        <v>653172.47706422</v>
      </c>
      <c r="O297" s="33">
        <f t="shared" si="11"/>
        <v>58785.5229357799</v>
      </c>
    </row>
    <row r="298" customHeight="1" spans="1:15">
      <c r="A298" s="31">
        <v>74</v>
      </c>
      <c r="B298" s="41" t="s">
        <v>1035</v>
      </c>
      <c r="C298" s="41">
        <v>20230006187</v>
      </c>
      <c r="D298" s="46" t="s">
        <v>1031</v>
      </c>
      <c r="E298" s="64" t="s">
        <v>6840</v>
      </c>
      <c r="F298" s="64"/>
      <c r="G298" s="62"/>
      <c r="H298" s="41" t="s">
        <v>370</v>
      </c>
      <c r="I298" s="41">
        <v>19</v>
      </c>
      <c r="J298" s="41">
        <v>42.69</v>
      </c>
      <c r="K298" s="41">
        <v>16563.51</v>
      </c>
      <c r="L298" s="43">
        <v>706767</v>
      </c>
      <c r="N298" s="33">
        <f t="shared" si="10"/>
        <v>648410.091743119</v>
      </c>
      <c r="O298" s="33">
        <f t="shared" si="11"/>
        <v>58356.9082568808</v>
      </c>
    </row>
    <row r="299" customHeight="1" spans="1:15">
      <c r="A299" s="31">
        <v>75</v>
      </c>
      <c r="B299" s="41" t="s">
        <v>571</v>
      </c>
      <c r="C299" s="41">
        <v>20230008181</v>
      </c>
      <c r="D299" s="46" t="s">
        <v>1038</v>
      </c>
      <c r="E299" s="64" t="s">
        <v>6841</v>
      </c>
      <c r="F299" s="64"/>
      <c r="G299" s="62"/>
      <c r="H299" s="41" t="s">
        <v>370</v>
      </c>
      <c r="I299" s="41">
        <v>20</v>
      </c>
      <c r="J299" s="41">
        <v>42.69</v>
      </c>
      <c r="K299" s="41">
        <v>17780.15</v>
      </c>
      <c r="L299" s="43">
        <v>759035</v>
      </c>
      <c r="N299" s="33">
        <f t="shared" si="10"/>
        <v>696362.385321101</v>
      </c>
      <c r="O299" s="33">
        <f t="shared" si="11"/>
        <v>62672.6146788992</v>
      </c>
    </row>
    <row r="300" customHeight="1" spans="1:15">
      <c r="A300" s="31">
        <v>76</v>
      </c>
      <c r="B300" s="41" t="s">
        <v>928</v>
      </c>
      <c r="C300" s="41">
        <v>20230006324</v>
      </c>
      <c r="D300" s="46" t="s">
        <v>921</v>
      </c>
      <c r="E300" s="64" t="s">
        <v>6828</v>
      </c>
      <c r="F300" s="64"/>
      <c r="G300" s="62"/>
      <c r="H300" s="41" t="s">
        <v>370</v>
      </c>
      <c r="I300" s="41">
        <v>21</v>
      </c>
      <c r="J300" s="41">
        <v>42.69</v>
      </c>
      <c r="K300" s="41">
        <v>20163.06</v>
      </c>
      <c r="L300" s="43">
        <v>860761</v>
      </c>
      <c r="N300" s="33">
        <f t="shared" si="10"/>
        <v>789688.990825688</v>
      </c>
      <c r="O300" s="33">
        <f t="shared" si="11"/>
        <v>71072.009174312</v>
      </c>
    </row>
    <row r="301" customHeight="1" spans="1:15">
      <c r="A301" s="31">
        <v>77</v>
      </c>
      <c r="B301" s="41" t="s">
        <v>928</v>
      </c>
      <c r="C301" s="41">
        <v>20230006324</v>
      </c>
      <c r="D301" s="46" t="s">
        <v>921</v>
      </c>
      <c r="E301" s="40" t="s">
        <v>6828</v>
      </c>
      <c r="F301" s="40"/>
      <c r="G301" s="62"/>
      <c r="H301" s="41" t="s">
        <v>370</v>
      </c>
      <c r="I301" s="41">
        <v>22</v>
      </c>
      <c r="J301" s="41">
        <v>43.2</v>
      </c>
      <c r="K301" s="41">
        <v>26663.06</v>
      </c>
      <c r="L301" s="43">
        <v>1151844</v>
      </c>
      <c r="N301" s="33">
        <f t="shared" si="10"/>
        <v>1056737.6146789</v>
      </c>
      <c r="O301" s="33">
        <f t="shared" si="11"/>
        <v>95106.3853211009</v>
      </c>
    </row>
    <row r="302" customHeight="1" spans="1:15">
      <c r="A302" s="31">
        <v>78</v>
      </c>
      <c r="B302" s="41" t="s">
        <v>1056</v>
      </c>
      <c r="C302" s="41">
        <v>20230006477</v>
      </c>
      <c r="D302" s="46" t="s">
        <v>746</v>
      </c>
      <c r="E302" s="64" t="s">
        <v>6842</v>
      </c>
      <c r="F302" s="64"/>
      <c r="G302" s="62"/>
      <c r="H302" s="41" t="s">
        <v>477</v>
      </c>
      <c r="I302" s="41">
        <v>1</v>
      </c>
      <c r="J302" s="41">
        <v>197.25</v>
      </c>
      <c r="K302" s="41">
        <v>10900</v>
      </c>
      <c r="L302" s="43">
        <v>2150025</v>
      </c>
      <c r="N302" s="33">
        <f t="shared" si="10"/>
        <v>1972500</v>
      </c>
      <c r="O302" s="33">
        <f t="shared" si="11"/>
        <v>177525</v>
      </c>
    </row>
    <row r="303" customHeight="1" spans="1:15">
      <c r="A303" s="31">
        <v>79</v>
      </c>
      <c r="B303" s="54">
        <v>45501</v>
      </c>
      <c r="C303" s="41">
        <v>20240004284</v>
      </c>
      <c r="D303" s="46" t="s">
        <v>1059</v>
      </c>
      <c r="E303" s="41" t="s">
        <v>6843</v>
      </c>
      <c r="F303" s="41"/>
      <c r="G303" s="62"/>
      <c r="H303" s="41" t="s">
        <v>477</v>
      </c>
      <c r="I303" s="41">
        <v>2</v>
      </c>
      <c r="J303" s="41">
        <v>291.86</v>
      </c>
      <c r="K303" s="41">
        <v>10674.0526279723</v>
      </c>
      <c r="L303" s="43">
        <v>3115329</v>
      </c>
      <c r="N303" s="33">
        <f t="shared" si="10"/>
        <v>2858100</v>
      </c>
      <c r="O303" s="33">
        <f t="shared" si="11"/>
        <v>257229</v>
      </c>
    </row>
    <row r="304" customHeight="1" spans="1:15">
      <c r="A304" s="31">
        <v>80</v>
      </c>
      <c r="B304" s="41" t="s">
        <v>1071</v>
      </c>
      <c r="C304" s="41">
        <v>20240001025</v>
      </c>
      <c r="D304" s="46" t="s">
        <v>1068</v>
      </c>
      <c r="E304" s="40" t="s">
        <v>6844</v>
      </c>
      <c r="F304" s="40"/>
      <c r="G304" s="62"/>
      <c r="H304" s="41" t="s">
        <v>477</v>
      </c>
      <c r="I304" s="41">
        <v>3</v>
      </c>
      <c r="J304" s="41">
        <v>276.2</v>
      </c>
      <c r="K304" s="41">
        <v>9100</v>
      </c>
      <c r="L304" s="43">
        <v>2600871</v>
      </c>
      <c r="N304" s="33">
        <f t="shared" si="10"/>
        <v>2386120.18348624</v>
      </c>
      <c r="O304" s="33">
        <f t="shared" si="11"/>
        <v>214750.816513761</v>
      </c>
    </row>
    <row r="305" customHeight="1" spans="1:15">
      <c r="A305" s="31">
        <v>81</v>
      </c>
      <c r="B305" s="41" t="s">
        <v>2916</v>
      </c>
      <c r="C305" s="41">
        <v>20230008529</v>
      </c>
      <c r="D305" s="46" t="s">
        <v>1073</v>
      </c>
      <c r="E305" s="40" t="s">
        <v>6845</v>
      </c>
      <c r="F305" s="40"/>
      <c r="G305" s="62"/>
      <c r="H305" s="41" t="s">
        <v>812</v>
      </c>
      <c r="I305" s="41">
        <v>1</v>
      </c>
      <c r="J305" s="41">
        <v>489.11</v>
      </c>
      <c r="K305" s="41">
        <v>7600</v>
      </c>
      <c r="L305" s="43">
        <v>3717236</v>
      </c>
      <c r="N305" s="33">
        <f t="shared" si="10"/>
        <v>3410308.25688073</v>
      </c>
      <c r="O305" s="33">
        <f t="shared" si="11"/>
        <v>306927.743119266</v>
      </c>
    </row>
    <row r="306" customHeight="1" spans="1:15">
      <c r="A306" s="31">
        <v>82</v>
      </c>
      <c r="B306" s="41" t="s">
        <v>1083</v>
      </c>
      <c r="C306" s="41">
        <v>20240002594</v>
      </c>
      <c r="D306" s="46" t="s">
        <v>1078</v>
      </c>
      <c r="E306" s="40" t="s">
        <v>6846</v>
      </c>
      <c r="F306" s="40"/>
      <c r="G306" s="62"/>
      <c r="H306" s="41" t="s">
        <v>812</v>
      </c>
      <c r="I306" s="41">
        <v>2</v>
      </c>
      <c r="J306" s="41">
        <v>569.14</v>
      </c>
      <c r="K306" s="41">
        <v>7000</v>
      </c>
      <c r="L306" s="43">
        <v>3983980</v>
      </c>
      <c r="N306" s="33">
        <f t="shared" si="10"/>
        <v>3655027.52293578</v>
      </c>
      <c r="O306" s="33">
        <f t="shared" si="11"/>
        <v>328952.47706422</v>
      </c>
    </row>
    <row r="307" customHeight="1" spans="1:15">
      <c r="A307" s="31">
        <v>83</v>
      </c>
      <c r="B307" s="41" t="s">
        <v>4738</v>
      </c>
      <c r="C307" s="41">
        <v>20230006201</v>
      </c>
      <c r="D307" s="46" t="s">
        <v>1087</v>
      </c>
      <c r="E307" s="40" t="s">
        <v>6847</v>
      </c>
      <c r="F307" s="40"/>
      <c r="G307" s="62" t="s">
        <v>1089</v>
      </c>
      <c r="H307" s="41" t="s">
        <v>370</v>
      </c>
      <c r="I307" s="41">
        <v>1</v>
      </c>
      <c r="J307" s="41">
        <v>58.46</v>
      </c>
      <c r="K307" s="41">
        <v>26290</v>
      </c>
      <c r="L307" s="43">
        <v>1536651</v>
      </c>
      <c r="N307" s="33">
        <f t="shared" si="10"/>
        <v>1409771.55963303</v>
      </c>
      <c r="O307" s="33">
        <f t="shared" si="11"/>
        <v>126879.440366972</v>
      </c>
    </row>
    <row r="308" customHeight="1" spans="1:15">
      <c r="A308" s="31">
        <v>84</v>
      </c>
      <c r="B308" s="41" t="s">
        <v>1223</v>
      </c>
      <c r="C308" s="41">
        <v>20230006847</v>
      </c>
      <c r="D308" s="46" t="s">
        <v>1097</v>
      </c>
      <c r="E308" s="47" t="s">
        <v>6848</v>
      </c>
      <c r="F308" s="47"/>
      <c r="G308" s="62"/>
      <c r="H308" s="41" t="s">
        <v>370</v>
      </c>
      <c r="I308" s="41">
        <v>2</v>
      </c>
      <c r="J308" s="41">
        <v>41.69</v>
      </c>
      <c r="K308" s="41">
        <v>24675</v>
      </c>
      <c r="L308" s="43">
        <v>1028701</v>
      </c>
      <c r="N308" s="33">
        <f t="shared" si="10"/>
        <v>943762.385321101</v>
      </c>
      <c r="O308" s="33">
        <f t="shared" si="11"/>
        <v>84938.6146788992</v>
      </c>
    </row>
    <row r="309" customHeight="1" spans="1:15">
      <c r="A309" s="31">
        <v>85</v>
      </c>
      <c r="B309" s="41" t="s">
        <v>1223</v>
      </c>
      <c r="C309" s="41">
        <v>20230006849</v>
      </c>
      <c r="D309" s="46" t="s">
        <v>1097</v>
      </c>
      <c r="E309" s="65" t="s">
        <v>6849</v>
      </c>
      <c r="F309" s="65"/>
      <c r="G309" s="62"/>
      <c r="H309" s="41" t="s">
        <v>370</v>
      </c>
      <c r="I309" s="41">
        <v>3</v>
      </c>
      <c r="J309" s="41">
        <v>42.7</v>
      </c>
      <c r="K309" s="41">
        <v>23799.7</v>
      </c>
      <c r="L309" s="43">
        <v>1016247</v>
      </c>
      <c r="N309" s="33">
        <f t="shared" si="10"/>
        <v>932336.697247706</v>
      </c>
      <c r="O309" s="33">
        <f t="shared" si="11"/>
        <v>83910.3027522936</v>
      </c>
    </row>
    <row r="310" customHeight="1" spans="1:15">
      <c r="A310" s="31">
        <v>86</v>
      </c>
      <c r="B310" s="41" t="s">
        <v>4738</v>
      </c>
      <c r="C310" s="41">
        <v>20230006188</v>
      </c>
      <c r="D310" s="46" t="s">
        <v>1108</v>
      </c>
      <c r="E310" s="47" t="s">
        <v>6850</v>
      </c>
      <c r="F310" s="47"/>
      <c r="G310" s="62"/>
      <c r="H310" s="41" t="s">
        <v>370</v>
      </c>
      <c r="I310" s="41">
        <v>4</v>
      </c>
      <c r="J310" s="41">
        <v>42.7</v>
      </c>
      <c r="K310" s="41">
        <v>23793.72</v>
      </c>
      <c r="L310" s="43">
        <v>1015992</v>
      </c>
      <c r="N310" s="33">
        <f t="shared" si="10"/>
        <v>932102.752293578</v>
      </c>
      <c r="O310" s="33">
        <f t="shared" si="11"/>
        <v>83889.2477064221</v>
      </c>
    </row>
    <row r="311" customHeight="1" spans="1:15">
      <c r="A311" s="31">
        <v>87</v>
      </c>
      <c r="B311" s="41" t="s">
        <v>4738</v>
      </c>
      <c r="C311" s="41">
        <v>20230006199</v>
      </c>
      <c r="D311" s="46" t="s">
        <v>1114</v>
      </c>
      <c r="E311" s="68" t="s">
        <v>6851</v>
      </c>
      <c r="F311" s="68"/>
      <c r="G311" s="62"/>
      <c r="H311" s="41" t="s">
        <v>370</v>
      </c>
      <c r="I311" s="41">
        <v>5</v>
      </c>
      <c r="J311" s="41">
        <v>42.7</v>
      </c>
      <c r="K311" s="41">
        <v>23887.75</v>
      </c>
      <c r="L311" s="43">
        <v>1020007</v>
      </c>
      <c r="N311" s="33">
        <f t="shared" si="10"/>
        <v>935786.23853211</v>
      </c>
      <c r="O311" s="33">
        <f t="shared" si="11"/>
        <v>84220.76146789</v>
      </c>
    </row>
    <row r="312" customHeight="1" spans="1:15">
      <c r="A312" s="31">
        <v>88</v>
      </c>
      <c r="B312" s="41" t="s">
        <v>1215</v>
      </c>
      <c r="C312" s="41">
        <v>20230005506</v>
      </c>
      <c r="D312" s="46" t="s">
        <v>1120</v>
      </c>
      <c r="E312" s="47" t="s">
        <v>6852</v>
      </c>
      <c r="F312" s="47"/>
      <c r="G312" s="62"/>
      <c r="H312" s="41" t="s">
        <v>370</v>
      </c>
      <c r="I312" s="41">
        <v>6</v>
      </c>
      <c r="J312" s="41">
        <v>42.7</v>
      </c>
      <c r="K312" s="41">
        <v>24181.76</v>
      </c>
      <c r="L312" s="43">
        <v>1032561</v>
      </c>
      <c r="N312" s="33">
        <f t="shared" si="10"/>
        <v>947303.669724771</v>
      </c>
      <c r="O312" s="33">
        <f t="shared" si="11"/>
        <v>85257.3302752294</v>
      </c>
    </row>
    <row r="313" customHeight="1" spans="1:15">
      <c r="A313" s="31">
        <v>89</v>
      </c>
      <c r="B313" s="41" t="s">
        <v>1137</v>
      </c>
      <c r="C313" s="41">
        <v>20230005811</v>
      </c>
      <c r="D313" s="46" t="s">
        <v>6853</v>
      </c>
      <c r="E313" s="40" t="s">
        <v>6854</v>
      </c>
      <c r="F313" s="40"/>
      <c r="G313" s="62"/>
      <c r="H313" s="41" t="s">
        <v>370</v>
      </c>
      <c r="I313" s="41">
        <v>7</v>
      </c>
      <c r="J313" s="41">
        <v>42.7</v>
      </c>
      <c r="K313" s="41">
        <v>23799.7</v>
      </c>
      <c r="L313" s="43">
        <v>1016247</v>
      </c>
      <c r="N313" s="33">
        <f t="shared" si="10"/>
        <v>932336.697247706</v>
      </c>
      <c r="O313" s="33">
        <f t="shared" si="11"/>
        <v>83910.3027522936</v>
      </c>
    </row>
    <row r="314" customHeight="1" spans="1:15">
      <c r="A314" s="31">
        <v>90</v>
      </c>
      <c r="B314" s="41" t="s">
        <v>1145</v>
      </c>
      <c r="C314" s="41">
        <v>20230005770</v>
      </c>
      <c r="D314" s="46" t="s">
        <v>1139</v>
      </c>
      <c r="E314" s="47" t="s">
        <v>6855</v>
      </c>
      <c r="F314" s="47"/>
      <c r="G314" s="62"/>
      <c r="H314" s="41" t="s">
        <v>370</v>
      </c>
      <c r="I314" s="41">
        <v>8</v>
      </c>
      <c r="J314" s="41">
        <v>42.7</v>
      </c>
      <c r="K314" s="41">
        <v>24475.79</v>
      </c>
      <c r="L314" s="43">
        <v>1044872</v>
      </c>
      <c r="N314" s="33">
        <f t="shared" si="10"/>
        <v>958598.165137615</v>
      </c>
      <c r="O314" s="33">
        <f t="shared" si="11"/>
        <v>86273.8348623854</v>
      </c>
    </row>
    <row r="315" customHeight="1" spans="1:15">
      <c r="A315" s="31">
        <v>91</v>
      </c>
      <c r="B315" s="41" t="s">
        <v>1056</v>
      </c>
      <c r="C315" s="41">
        <v>20230006480</v>
      </c>
      <c r="D315" s="46" t="s">
        <v>1148</v>
      </c>
      <c r="E315" s="47" t="s">
        <v>6856</v>
      </c>
      <c r="F315" s="47"/>
      <c r="G315" s="62"/>
      <c r="H315" s="41" t="s">
        <v>370</v>
      </c>
      <c r="I315" s="41">
        <v>9</v>
      </c>
      <c r="J315" s="41">
        <v>42.7</v>
      </c>
      <c r="K315" s="41">
        <v>24633.96</v>
      </c>
      <c r="L315" s="43">
        <v>1051870</v>
      </c>
      <c r="N315" s="33">
        <f t="shared" si="10"/>
        <v>965018.348623853</v>
      </c>
      <c r="O315" s="33">
        <f t="shared" si="11"/>
        <v>86851.6513761468</v>
      </c>
    </row>
    <row r="316" customHeight="1" spans="1:15">
      <c r="A316" s="31">
        <v>92</v>
      </c>
      <c r="B316" s="54">
        <v>45166</v>
      </c>
      <c r="C316" s="41">
        <v>20230007366</v>
      </c>
      <c r="D316" s="46" t="s">
        <v>1155</v>
      </c>
      <c r="E316" s="47" t="s">
        <v>6857</v>
      </c>
      <c r="F316" s="47"/>
      <c r="G316" s="62"/>
      <c r="H316" s="41" t="s">
        <v>370</v>
      </c>
      <c r="I316" s="41">
        <v>10</v>
      </c>
      <c r="J316" s="41">
        <v>42.7</v>
      </c>
      <c r="K316" s="41">
        <v>25532.91</v>
      </c>
      <c r="L316" s="43">
        <v>1090255</v>
      </c>
      <c r="N316" s="33">
        <f t="shared" si="10"/>
        <v>1000233.94495413</v>
      </c>
      <c r="O316" s="33">
        <f t="shared" si="11"/>
        <v>90021.0550458716</v>
      </c>
    </row>
    <row r="317" customHeight="1" spans="1:15">
      <c r="A317" s="31">
        <v>93</v>
      </c>
      <c r="B317" s="41"/>
      <c r="C317" s="41" t="s">
        <v>6720</v>
      </c>
      <c r="D317" s="46" t="s">
        <v>1180</v>
      </c>
      <c r="E317" s="64" t="s">
        <v>6858</v>
      </c>
      <c r="F317" s="64"/>
      <c r="G317" s="62"/>
      <c r="H317" s="41" t="s">
        <v>370</v>
      </c>
      <c r="I317" s="41">
        <v>11</v>
      </c>
      <c r="J317" s="41">
        <v>55.92</v>
      </c>
      <c r="K317" s="41"/>
      <c r="L317" s="43">
        <v>1353633</v>
      </c>
      <c r="N317" s="33">
        <f t="shared" si="10"/>
        <v>1241865.13761468</v>
      </c>
      <c r="O317" s="33">
        <f t="shared" si="11"/>
        <v>111767.862385321</v>
      </c>
    </row>
    <row r="318" customHeight="1" spans="1:15">
      <c r="A318" s="31">
        <v>94</v>
      </c>
      <c r="B318" s="41" t="s">
        <v>1990</v>
      </c>
      <c r="C318" s="41">
        <v>20230005679</v>
      </c>
      <c r="D318" s="55" t="s">
        <v>1169</v>
      </c>
      <c r="E318" s="40" t="s">
        <v>6859</v>
      </c>
      <c r="F318" s="40"/>
      <c r="G318" s="62"/>
      <c r="H318" s="41" t="s">
        <v>370</v>
      </c>
      <c r="I318" s="41">
        <v>12</v>
      </c>
      <c r="J318" s="41">
        <v>42.19</v>
      </c>
      <c r="K318" s="41">
        <v>33084.45</v>
      </c>
      <c r="L318" s="43">
        <v>1395833</v>
      </c>
      <c r="N318" s="33">
        <f t="shared" si="10"/>
        <v>1280580.73394495</v>
      </c>
      <c r="O318" s="33">
        <f t="shared" si="11"/>
        <v>115252.266055046</v>
      </c>
    </row>
    <row r="319" customHeight="1" spans="1:15">
      <c r="A319" s="31">
        <v>95</v>
      </c>
      <c r="B319" s="41" t="s">
        <v>1990</v>
      </c>
      <c r="C319" s="41">
        <v>20230005680</v>
      </c>
      <c r="D319" s="55" t="s">
        <v>1169</v>
      </c>
      <c r="E319" s="40" t="s">
        <v>6860</v>
      </c>
      <c r="F319" s="40"/>
      <c r="G319" s="62"/>
      <c r="H319" s="41" t="s">
        <v>370</v>
      </c>
      <c r="I319" s="41">
        <v>13</v>
      </c>
      <c r="J319" s="41">
        <v>42.19</v>
      </c>
      <c r="K319" s="41">
        <v>26171.3</v>
      </c>
      <c r="L319" s="43">
        <v>1104167</v>
      </c>
      <c r="N319" s="33">
        <f t="shared" si="10"/>
        <v>1012997.24770642</v>
      </c>
      <c r="O319" s="33">
        <f t="shared" si="11"/>
        <v>91169.752293578</v>
      </c>
    </row>
    <row r="320" customHeight="1" spans="1:15">
      <c r="A320" s="31">
        <v>96</v>
      </c>
      <c r="B320" s="41"/>
      <c r="C320" s="41" t="s">
        <v>6720</v>
      </c>
      <c r="D320" s="46" t="s">
        <v>1180</v>
      </c>
      <c r="E320" s="64" t="s">
        <v>6861</v>
      </c>
      <c r="F320" s="64"/>
      <c r="G320" s="62"/>
      <c r="H320" s="41" t="s">
        <v>370</v>
      </c>
      <c r="I320" s="41">
        <v>14</v>
      </c>
      <c r="J320" s="41">
        <v>55.92</v>
      </c>
      <c r="K320" s="41">
        <f>L320/J320</f>
        <v>7421.31616595136</v>
      </c>
      <c r="L320" s="43">
        <v>415000</v>
      </c>
      <c r="N320" s="33">
        <f t="shared" si="10"/>
        <v>380733.944954128</v>
      </c>
      <c r="O320" s="33">
        <f t="shared" si="11"/>
        <v>34266.0550458716</v>
      </c>
    </row>
    <row r="321" customHeight="1" spans="1:15">
      <c r="A321" s="31">
        <v>97</v>
      </c>
      <c r="B321" s="41" t="s">
        <v>1990</v>
      </c>
      <c r="C321" s="41">
        <v>20230005699</v>
      </c>
      <c r="D321" s="46" t="s">
        <v>1184</v>
      </c>
      <c r="E321" s="47" t="s">
        <v>6862</v>
      </c>
      <c r="F321" s="47"/>
      <c r="G321" s="62"/>
      <c r="H321" s="41" t="s">
        <v>370</v>
      </c>
      <c r="I321" s="41">
        <v>15</v>
      </c>
      <c r="J321" s="41">
        <v>42.7</v>
      </c>
      <c r="K321" s="41">
        <v>17880.15</v>
      </c>
      <c r="L321" s="43">
        <v>763482</v>
      </c>
      <c r="N321" s="33">
        <f t="shared" si="10"/>
        <v>700442.201834862</v>
      </c>
      <c r="O321" s="33">
        <f t="shared" si="11"/>
        <v>63039.7981651376</v>
      </c>
    </row>
    <row r="322" customHeight="1" spans="1:15">
      <c r="A322" s="31">
        <v>98</v>
      </c>
      <c r="B322" s="41" t="s">
        <v>587</v>
      </c>
      <c r="C322" s="41">
        <v>20230008663</v>
      </c>
      <c r="D322" s="46" t="s">
        <v>1191</v>
      </c>
      <c r="E322" s="47" t="s">
        <v>6863</v>
      </c>
      <c r="F322" s="47"/>
      <c r="G322" s="62"/>
      <c r="H322" s="41" t="s">
        <v>370</v>
      </c>
      <c r="I322" s="41">
        <v>16</v>
      </c>
      <c r="J322" s="41">
        <v>42.7</v>
      </c>
      <c r="K322" s="41">
        <v>17214.88</v>
      </c>
      <c r="L322" s="43">
        <v>735075</v>
      </c>
      <c r="N322" s="33">
        <f t="shared" si="10"/>
        <v>674380.733944954</v>
      </c>
      <c r="O322" s="33">
        <f t="shared" si="11"/>
        <v>60694.2660550459</v>
      </c>
    </row>
    <row r="323" customHeight="1" spans="1:15">
      <c r="A323" s="31">
        <v>99</v>
      </c>
      <c r="B323" s="41" t="s">
        <v>2392</v>
      </c>
      <c r="C323" s="41">
        <v>20230005464</v>
      </c>
      <c r="D323" s="46" t="s">
        <v>1198</v>
      </c>
      <c r="E323" s="64" t="s">
        <v>6864</v>
      </c>
      <c r="F323" s="64"/>
      <c r="G323" s="62"/>
      <c r="H323" s="41" t="s">
        <v>370</v>
      </c>
      <c r="I323" s="41">
        <v>17</v>
      </c>
      <c r="J323" s="41">
        <v>42.7</v>
      </c>
      <c r="K323" s="41">
        <v>17621.83</v>
      </c>
      <c r="L323" s="43">
        <v>752452</v>
      </c>
      <c r="N323" s="33">
        <f t="shared" si="10"/>
        <v>690322.935779816</v>
      </c>
      <c r="O323" s="33">
        <f t="shared" si="11"/>
        <v>62129.0642201835</v>
      </c>
    </row>
    <row r="324" customHeight="1" spans="1:15">
      <c r="A324" s="31">
        <v>100</v>
      </c>
      <c r="B324" s="41"/>
      <c r="C324" s="41">
        <v>20230005448</v>
      </c>
      <c r="D324" s="46" t="s">
        <v>6865</v>
      </c>
      <c r="E324" s="65" t="s">
        <v>6866</v>
      </c>
      <c r="F324" s="65"/>
      <c r="G324" s="62"/>
      <c r="H324" s="41" t="s">
        <v>370</v>
      </c>
      <c r="I324" s="41">
        <v>18</v>
      </c>
      <c r="J324" s="41">
        <v>42.8</v>
      </c>
      <c r="K324" s="41">
        <v>17400</v>
      </c>
      <c r="L324" s="43">
        <v>744720</v>
      </c>
      <c r="N324" s="33">
        <f t="shared" ref="N324:N331" si="12">L324/1.09</f>
        <v>683229.357798165</v>
      </c>
      <c r="O324" s="33">
        <f t="shared" ref="O324:O331" si="13">L324-N324</f>
        <v>61490.6422018349</v>
      </c>
    </row>
    <row r="325" customHeight="1" spans="1:15">
      <c r="A325" s="31">
        <v>101</v>
      </c>
      <c r="B325" s="41" t="s">
        <v>1215</v>
      </c>
      <c r="C325" s="41">
        <v>20230005507</v>
      </c>
      <c r="D325" s="46" t="s">
        <v>1120</v>
      </c>
      <c r="E325" s="64" t="s">
        <v>6867</v>
      </c>
      <c r="F325" s="64"/>
      <c r="G325" s="62"/>
      <c r="H325" s="41" t="s">
        <v>370</v>
      </c>
      <c r="I325" s="41">
        <v>19</v>
      </c>
      <c r="J325" s="41">
        <v>42.7</v>
      </c>
      <c r="K325" s="41">
        <v>16956.55</v>
      </c>
      <c r="L325" s="43">
        <v>724045</v>
      </c>
      <c r="N325" s="33">
        <f t="shared" si="12"/>
        <v>664261.467889908</v>
      </c>
      <c r="O325" s="33">
        <f t="shared" si="13"/>
        <v>59783.5321100918</v>
      </c>
    </row>
    <row r="326" customHeight="1" spans="1:15">
      <c r="A326" s="31">
        <v>102</v>
      </c>
      <c r="B326" s="41" t="s">
        <v>4738</v>
      </c>
      <c r="C326" s="41">
        <v>20230006200</v>
      </c>
      <c r="D326" s="46" t="s">
        <v>1114</v>
      </c>
      <c r="E326" s="47" t="s">
        <v>6851</v>
      </c>
      <c r="F326" s="47"/>
      <c r="G326" s="62"/>
      <c r="H326" s="41" t="s">
        <v>370</v>
      </c>
      <c r="I326" s="41">
        <v>20</v>
      </c>
      <c r="J326" s="41">
        <v>42.7</v>
      </c>
      <c r="K326" s="41">
        <v>16942.67</v>
      </c>
      <c r="L326" s="43">
        <v>723452</v>
      </c>
      <c r="N326" s="33">
        <f t="shared" si="12"/>
        <v>663717.43119266</v>
      </c>
      <c r="O326" s="33">
        <f t="shared" si="13"/>
        <v>59734.5688073395</v>
      </c>
    </row>
    <row r="327" customHeight="1" spans="1:15">
      <c r="A327" s="31">
        <v>103</v>
      </c>
      <c r="B327" s="41" t="s">
        <v>4738</v>
      </c>
      <c r="C327" s="41">
        <v>20230006190</v>
      </c>
      <c r="D327" s="46" t="s">
        <v>1108</v>
      </c>
      <c r="E327" s="65" t="s">
        <v>6868</v>
      </c>
      <c r="F327" s="65"/>
      <c r="G327" s="62"/>
      <c r="H327" s="41" t="s">
        <v>370</v>
      </c>
      <c r="I327" s="41">
        <v>21</v>
      </c>
      <c r="J327" s="41">
        <v>42.7</v>
      </c>
      <c r="K327" s="41">
        <v>16849.62</v>
      </c>
      <c r="L327" s="43">
        <v>719479</v>
      </c>
      <c r="N327" s="33">
        <f t="shared" si="12"/>
        <v>660072.47706422</v>
      </c>
      <c r="O327" s="33">
        <f t="shared" si="13"/>
        <v>59406.5229357799</v>
      </c>
    </row>
    <row r="328" customHeight="1" spans="1:15">
      <c r="A328" s="31">
        <v>104</v>
      </c>
      <c r="B328" s="41" t="s">
        <v>1223</v>
      </c>
      <c r="C328" s="41">
        <v>20230006850</v>
      </c>
      <c r="D328" s="46" t="s">
        <v>1097</v>
      </c>
      <c r="E328" s="64" t="s">
        <v>6848</v>
      </c>
      <c r="F328" s="64"/>
      <c r="G328" s="62"/>
      <c r="H328" s="41" t="s">
        <v>370</v>
      </c>
      <c r="I328" s="41">
        <v>22</v>
      </c>
      <c r="J328" s="41">
        <v>42.7</v>
      </c>
      <c r="K328" s="41">
        <v>17135</v>
      </c>
      <c r="L328" s="43">
        <v>731665</v>
      </c>
      <c r="N328" s="33">
        <f t="shared" si="12"/>
        <v>671252.293577982</v>
      </c>
      <c r="O328" s="33">
        <f t="shared" si="13"/>
        <v>60412.7064220184</v>
      </c>
    </row>
    <row r="329" customHeight="1" spans="1:15">
      <c r="A329" s="31">
        <v>105</v>
      </c>
      <c r="B329" s="41" t="s">
        <v>1223</v>
      </c>
      <c r="C329" s="41">
        <v>20230006852</v>
      </c>
      <c r="D329" s="46" t="s">
        <v>1097</v>
      </c>
      <c r="E329" s="64" t="s">
        <v>6848</v>
      </c>
      <c r="F329" s="64"/>
      <c r="G329" s="62"/>
      <c r="H329" s="41" t="s">
        <v>370</v>
      </c>
      <c r="I329" s="41">
        <v>23</v>
      </c>
      <c r="J329" s="41">
        <v>41.69</v>
      </c>
      <c r="K329" s="41">
        <v>17201.58</v>
      </c>
      <c r="L329" s="43">
        <v>717134</v>
      </c>
      <c r="N329" s="33">
        <f t="shared" si="12"/>
        <v>657921.100917431</v>
      </c>
      <c r="O329" s="33">
        <f t="shared" si="13"/>
        <v>59212.8990825688</v>
      </c>
    </row>
    <row r="330" customHeight="1" spans="1:15">
      <c r="A330" s="31">
        <v>106</v>
      </c>
      <c r="B330" s="41" t="s">
        <v>4738</v>
      </c>
      <c r="C330" s="41">
        <v>20230006202</v>
      </c>
      <c r="D330" s="46" t="s">
        <v>1087</v>
      </c>
      <c r="E330" s="40" t="s">
        <v>6869</v>
      </c>
      <c r="F330" s="40"/>
      <c r="G330" s="62"/>
      <c r="H330" s="41" t="s">
        <v>370</v>
      </c>
      <c r="I330" s="41">
        <v>24</v>
      </c>
      <c r="J330" s="41">
        <v>58.46</v>
      </c>
      <c r="K330" s="41">
        <v>19436.81</v>
      </c>
      <c r="L330" s="43">
        <v>1136276</v>
      </c>
      <c r="N330" s="33">
        <f t="shared" si="12"/>
        <v>1042455.04587156</v>
      </c>
      <c r="O330" s="33">
        <f t="shared" si="13"/>
        <v>93820.9541284405</v>
      </c>
    </row>
    <row r="331" customHeight="1" spans="1:15">
      <c r="A331" s="31">
        <v>107</v>
      </c>
      <c r="B331" s="41"/>
      <c r="C331" s="41" t="s">
        <v>6720</v>
      </c>
      <c r="D331" s="46"/>
      <c r="E331" s="41" t="s">
        <v>1233</v>
      </c>
      <c r="F331" s="41"/>
      <c r="G331" s="62"/>
      <c r="H331" s="41" t="s">
        <v>477</v>
      </c>
      <c r="I331" s="41">
        <v>1</v>
      </c>
      <c r="J331" s="41">
        <v>351.53</v>
      </c>
      <c r="K331" s="41">
        <f>L331/J331</f>
        <v>113.788296873667</v>
      </c>
      <c r="L331" s="43">
        <v>40000</v>
      </c>
      <c r="N331" s="33">
        <f t="shared" si="12"/>
        <v>36697.247706422</v>
      </c>
      <c r="O331" s="33">
        <f t="shared" si="13"/>
        <v>3302.75229357799</v>
      </c>
    </row>
    <row r="332" customHeight="1" spans="1:15">
      <c r="L332" s="32">
        <f>SUM(L226:L331)</f>
        <v>127840195</v>
      </c>
    </row>
    <row r="333" customHeight="1" spans="1:15">
      <c r="A333" s="34" t="s">
        <v>70</v>
      </c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69">
        <f>L225+L332</f>
        <v>278865176</v>
      </c>
      <c r="M333" s="34"/>
      <c r="N333" s="69">
        <f>SUM(N3:N332)</f>
        <v>255839611.009174</v>
      </c>
      <c r="O333" s="69">
        <f>SUM(O3:O332)</f>
        <v>23025564.9908257</v>
      </c>
    </row>
  </sheetData>
  <autoFilter xmlns:etc="http://www.wps.cn/officeDocument/2017/etCustomData" ref="A2:L333" etc:filterBottomFollowUsedRange="0">
    <extLst/>
  </autoFilter>
  <mergeCells count="14">
    <mergeCell ref="B1:B2"/>
    <mergeCell ref="C1:C2"/>
    <mergeCell ref="D1:D2"/>
    <mergeCell ref="E1:E2"/>
    <mergeCell ref="G226:G237"/>
    <mergeCell ref="G238:G270"/>
    <mergeCell ref="G271:G279"/>
    <mergeCell ref="G280:G306"/>
    <mergeCell ref="G307:G331"/>
    <mergeCell ref="H1:H2"/>
    <mergeCell ref="I1:I2"/>
    <mergeCell ref="J1:J2"/>
    <mergeCell ref="K1:K2"/>
    <mergeCell ref="L1:L2"/>
  </mergeCells>
  <pageMargins left="0.75" right="0.75" top="1" bottom="1" header="0.5" footer="0.5"/>
  <pageSetup paperSize="9" orientation="portrait"/>
  <headerFooter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C46" sqref="C46:R46"/>
    </sheetView>
  </sheetViews>
  <sheetFormatPr defaultColWidth="9" defaultRowHeight="23" customHeight="1"/>
  <cols>
    <col min="1" max="2" width="9" style="18"/>
    <col min="3" max="3" width="14.125" style="20"/>
    <col min="4" max="4" width="12.875" style="20"/>
    <col min="5" max="5" width="13.875" style="20" customWidth="1"/>
    <col min="6" max="6" width="15.5" style="20" customWidth="1"/>
    <col min="7" max="7" width="16.375" style="20" customWidth="1"/>
    <col min="8" max="8" width="19.5" style="20" customWidth="1"/>
    <col min="9" max="9" width="15.875" style="17" customWidth="1"/>
    <col min="10" max="10" width="12.125" style="17" customWidth="1"/>
    <col min="11" max="16384" width="9" style="17"/>
  </cols>
  <sheetData>
    <row r="1" s="17" customFormat="1" ht="42" customHeight="1" spans="1:10">
      <c r="A1" s="21" t="s">
        <v>6870</v>
      </c>
      <c r="B1" s="21"/>
      <c r="C1" s="21"/>
      <c r="D1" s="21"/>
      <c r="E1" s="21"/>
      <c r="F1" s="21"/>
      <c r="G1" s="21"/>
      <c r="H1" s="21"/>
    </row>
    <row r="2" s="18" customFormat="1" customHeight="1" spans="1:10">
      <c r="A2" s="21" t="s">
        <v>6871</v>
      </c>
      <c r="B2" s="21" t="s">
        <v>6872</v>
      </c>
      <c r="C2" s="22" t="s">
        <v>6873</v>
      </c>
      <c r="D2" s="22" t="s">
        <v>6874</v>
      </c>
      <c r="E2" s="22" t="s">
        <v>6875</v>
      </c>
      <c r="F2" s="22" t="s">
        <v>6876</v>
      </c>
      <c r="G2" s="23" t="s">
        <v>6877</v>
      </c>
      <c r="H2" s="23" t="s">
        <v>6878</v>
      </c>
      <c r="J2" s="18" t="s">
        <v>6879</v>
      </c>
    </row>
    <row r="3" s="17" customFormat="1" customHeight="1" spans="1:10">
      <c r="A3" s="21">
        <v>2022</v>
      </c>
      <c r="B3" s="21">
        <v>7</v>
      </c>
      <c r="C3" s="24"/>
      <c r="D3" s="24"/>
      <c r="E3" s="24">
        <v>76171</v>
      </c>
      <c r="F3" s="24"/>
      <c r="G3" s="24">
        <f t="shared" ref="G3:G21" si="0">C3+D3+E3+F3</f>
        <v>76171</v>
      </c>
      <c r="H3" s="24"/>
    </row>
    <row r="4" s="17" customFormat="1" customHeight="1" spans="1:10">
      <c r="A4" s="21"/>
      <c r="B4" s="21">
        <v>8</v>
      </c>
      <c r="C4" s="24"/>
      <c r="D4" s="24">
        <v>20233</v>
      </c>
      <c r="E4" s="24">
        <v>130081</v>
      </c>
      <c r="F4" s="24"/>
      <c r="G4" s="24">
        <f t="shared" si="0"/>
        <v>150314</v>
      </c>
      <c r="H4" s="24"/>
    </row>
    <row r="5" s="17" customFormat="1" customHeight="1" spans="1:10">
      <c r="A5" s="21"/>
      <c r="B5" s="21">
        <v>9</v>
      </c>
      <c r="C5" s="24"/>
      <c r="D5" s="24"/>
      <c r="E5" s="24">
        <v>51634.78</v>
      </c>
      <c r="F5" s="24"/>
      <c r="G5" s="24">
        <f t="shared" si="0"/>
        <v>51634.78</v>
      </c>
      <c r="H5" s="24"/>
    </row>
    <row r="6" s="17" customFormat="1" customHeight="1" spans="1:10">
      <c r="A6" s="21"/>
      <c r="B6" s="21">
        <v>10</v>
      </c>
      <c r="C6" s="24"/>
      <c r="D6" s="24"/>
      <c r="E6" s="24">
        <v>44850</v>
      </c>
      <c r="F6" s="24">
        <v>10486.46</v>
      </c>
      <c r="G6" s="24">
        <f t="shared" si="0"/>
        <v>55336.46</v>
      </c>
      <c r="H6" s="24"/>
    </row>
    <row r="7" s="17" customFormat="1" customHeight="1" spans="1:10">
      <c r="A7" s="21"/>
      <c r="B7" s="21">
        <v>11</v>
      </c>
      <c r="C7" s="24"/>
      <c r="D7" s="24"/>
      <c r="E7" s="24">
        <v>44850</v>
      </c>
      <c r="F7" s="24">
        <v>10486.46</v>
      </c>
      <c r="G7" s="24">
        <f t="shared" si="0"/>
        <v>55336.46</v>
      </c>
      <c r="H7" s="24"/>
    </row>
    <row r="8" s="17" customFormat="1" customHeight="1" spans="1:10">
      <c r="A8" s="21"/>
      <c r="B8" s="21">
        <v>12</v>
      </c>
      <c r="C8" s="24"/>
      <c r="D8" s="24"/>
      <c r="E8" s="24">
        <v>115936.67</v>
      </c>
      <c r="F8" s="24">
        <f>74852.8+2382.24+11429.05+487.5+1905.12</f>
        <v>91056.71</v>
      </c>
      <c r="G8" s="24">
        <f t="shared" si="0"/>
        <v>206993.38</v>
      </c>
      <c r="H8" s="24"/>
    </row>
    <row r="9" s="17" customFormat="1" customHeight="1" spans="1:10">
      <c r="A9" s="21">
        <v>2023</v>
      </c>
      <c r="B9" s="21">
        <v>1</v>
      </c>
      <c r="C9" s="24"/>
      <c r="D9" s="24"/>
      <c r="E9" s="24">
        <v>86064.3</v>
      </c>
      <c r="F9" s="24">
        <v>19126.88</v>
      </c>
      <c r="G9" s="24">
        <f t="shared" si="0"/>
        <v>105191.18</v>
      </c>
      <c r="H9" s="24">
        <v>1217345</v>
      </c>
    </row>
    <row r="10" s="17" customFormat="1" customHeight="1" spans="1:10">
      <c r="A10" s="21"/>
      <c r="B10" s="21">
        <v>2</v>
      </c>
      <c r="C10" s="24">
        <v>156309</v>
      </c>
      <c r="D10" s="24">
        <v>34200</v>
      </c>
      <c r="E10" s="24">
        <v>86216</v>
      </c>
      <c r="F10" s="24">
        <v>19126.88</v>
      </c>
      <c r="G10" s="24">
        <f t="shared" si="0"/>
        <v>295851.88</v>
      </c>
      <c r="H10" s="24">
        <v>23244883</v>
      </c>
    </row>
    <row r="11" s="17" customFormat="1" customHeight="1" spans="1:10">
      <c r="A11" s="21"/>
      <c r="B11" s="21">
        <v>3</v>
      </c>
      <c r="C11" s="24">
        <v>71499.75</v>
      </c>
      <c r="D11" s="24">
        <v>10700</v>
      </c>
      <c r="E11" s="24">
        <v>75000</v>
      </c>
      <c r="F11" s="25">
        <v>23938.45</v>
      </c>
      <c r="G11" s="24">
        <f t="shared" si="0"/>
        <v>181138.2</v>
      </c>
      <c r="H11" s="24">
        <v>11104011</v>
      </c>
      <c r="I11" s="26">
        <v>0.02</v>
      </c>
      <c r="J11" s="17">
        <f>H11*I11</f>
        <v>222080.22</v>
      </c>
    </row>
    <row r="12" s="17" customFormat="1" customHeight="1" spans="1:10">
      <c r="A12" s="21"/>
      <c r="B12" s="21">
        <v>4</v>
      </c>
      <c r="C12" s="24">
        <v>66046.51</v>
      </c>
      <c r="D12" s="24">
        <v>5100</v>
      </c>
      <c r="E12" s="24">
        <v>88732</v>
      </c>
      <c r="F12" s="24">
        <v>25135.39</v>
      </c>
      <c r="G12" s="24">
        <f t="shared" si="0"/>
        <v>185013.9</v>
      </c>
      <c r="H12" s="24">
        <v>9615172</v>
      </c>
      <c r="I12" s="26">
        <v>0.02</v>
      </c>
      <c r="J12" s="17">
        <f>H12*I12</f>
        <v>192303.44</v>
      </c>
    </row>
    <row r="13" s="17" customFormat="1" customHeight="1" spans="1:10">
      <c r="A13" s="21"/>
      <c r="B13" s="21">
        <v>5</v>
      </c>
      <c r="C13" s="24"/>
      <c r="D13" s="24"/>
      <c r="E13" s="24"/>
      <c r="F13" s="24"/>
      <c r="G13" s="24">
        <f t="shared" si="0"/>
        <v>0</v>
      </c>
      <c r="H13" s="24"/>
    </row>
    <row r="14" s="17" customFormat="1" customHeight="1" spans="1:10">
      <c r="A14" s="21"/>
      <c r="B14" s="21">
        <v>6</v>
      </c>
      <c r="C14" s="24"/>
      <c r="D14" s="24"/>
      <c r="E14" s="24"/>
      <c r="F14" s="24"/>
      <c r="G14" s="24">
        <f t="shared" si="0"/>
        <v>0</v>
      </c>
      <c r="H14" s="24"/>
    </row>
    <row r="15" s="17" customFormat="1" customHeight="1" spans="1:10">
      <c r="A15" s="21"/>
      <c r="B15" s="21">
        <v>7</v>
      </c>
      <c r="C15" s="24"/>
      <c r="D15" s="24"/>
      <c r="E15" s="24"/>
      <c r="F15" s="24"/>
      <c r="G15" s="24">
        <f t="shared" si="0"/>
        <v>0</v>
      </c>
      <c r="H15" s="24"/>
    </row>
    <row r="16" s="17" customFormat="1" customHeight="1" spans="1:10">
      <c r="A16" s="21"/>
      <c r="B16" s="21">
        <v>8</v>
      </c>
      <c r="C16" s="24"/>
      <c r="D16" s="24"/>
      <c r="E16" s="24"/>
      <c r="F16" s="24"/>
      <c r="G16" s="24">
        <f t="shared" si="0"/>
        <v>0</v>
      </c>
      <c r="H16" s="24"/>
    </row>
    <row r="17" s="17" customFormat="1" customHeight="1" spans="1:10">
      <c r="A17" s="21"/>
      <c r="B17" s="21">
        <v>9</v>
      </c>
      <c r="C17" s="24"/>
      <c r="D17" s="24"/>
      <c r="E17" s="24"/>
      <c r="F17" s="24"/>
      <c r="G17" s="24">
        <f t="shared" si="0"/>
        <v>0</v>
      </c>
      <c r="H17" s="24"/>
    </row>
    <row r="18" s="17" customFormat="1" customHeight="1" spans="1:10">
      <c r="A18" s="21"/>
      <c r="B18" s="21">
        <v>10</v>
      </c>
      <c r="C18" s="24"/>
      <c r="D18" s="24"/>
      <c r="E18" s="24"/>
      <c r="F18" s="24"/>
      <c r="G18" s="24">
        <f t="shared" si="0"/>
        <v>0</v>
      </c>
      <c r="H18" s="24"/>
    </row>
    <row r="19" s="17" customFormat="1" customHeight="1" spans="1:10">
      <c r="A19" s="21"/>
      <c r="B19" s="21">
        <v>11</v>
      </c>
      <c r="C19" s="24"/>
      <c r="D19" s="24"/>
      <c r="E19" s="24"/>
      <c r="F19" s="24"/>
      <c r="G19" s="24">
        <f t="shared" si="0"/>
        <v>0</v>
      </c>
      <c r="H19" s="24"/>
    </row>
    <row r="20" s="17" customFormat="1" customHeight="1" spans="1:10">
      <c r="A20" s="21"/>
      <c r="B20" s="21">
        <v>12</v>
      </c>
      <c r="C20" s="24"/>
      <c r="D20" s="24"/>
      <c r="E20" s="24"/>
      <c r="F20" s="24"/>
      <c r="G20" s="24">
        <f t="shared" si="0"/>
        <v>0</v>
      </c>
      <c r="H20" s="24"/>
    </row>
    <row r="21" s="17" customFormat="1" customHeight="1" spans="1:10">
      <c r="A21" s="21"/>
      <c r="B21" s="21"/>
      <c r="C21" s="24"/>
      <c r="D21" s="24"/>
      <c r="E21" s="24"/>
      <c r="F21" s="24"/>
      <c r="G21" s="24">
        <f t="shared" si="0"/>
        <v>0</v>
      </c>
      <c r="H21" s="24"/>
    </row>
    <row r="22" s="19" customFormat="1" customHeight="1" spans="1:10">
      <c r="A22" s="27" t="s">
        <v>70</v>
      </c>
      <c r="B22" s="27"/>
      <c r="C22" s="28">
        <f t="shared" ref="C22:H22" si="1">SUM(C3:C21)</f>
        <v>293855.26</v>
      </c>
      <c r="D22" s="28">
        <f t="shared" si="1"/>
        <v>70233</v>
      </c>
      <c r="E22" s="28">
        <f t="shared" si="1"/>
        <v>799535.75</v>
      </c>
      <c r="F22" s="28">
        <f t="shared" si="1"/>
        <v>199357.23</v>
      </c>
      <c r="G22" s="29">
        <f t="shared" si="1"/>
        <v>1362981.24</v>
      </c>
      <c r="H22" s="29">
        <f t="shared" si="1"/>
        <v>45181411</v>
      </c>
      <c r="I22" s="19" t="s">
        <v>6880</v>
      </c>
      <c r="J22" s="30">
        <f>G22/H22</f>
        <v>0.0301668586667203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P2:P355"/>
  <sheetViews>
    <sheetView topLeftCell="A304" workbookViewId="0">
      <selection activeCell="C46" sqref="C46:R46"/>
    </sheetView>
  </sheetViews>
  <sheetFormatPr defaultColWidth="9" defaultRowHeight="14.25"/>
  <cols>
    <col min="16" max="16" width="13.5" style="1" customWidth="1"/>
  </cols>
  <sheetData>
    <row r="2" spans="16:16">
      <c r="P2" s="2"/>
    </row>
    <row r="3" spans="16:16">
      <c r="P3" s="3" t="s">
        <v>1297</v>
      </c>
    </row>
    <row r="4" spans="16:16">
      <c r="P4" s="4"/>
    </row>
    <row r="5" spans="16:16">
      <c r="P5" s="4"/>
    </row>
    <row r="6" spans="16:16">
      <c r="P6" s="4"/>
    </row>
    <row r="7" spans="16:16">
      <c r="P7" s="4"/>
    </row>
    <row r="8" spans="16:16">
      <c r="P8" s="4"/>
    </row>
    <row r="9" spans="16:16">
      <c r="P9" s="4"/>
    </row>
    <row r="10" spans="16:16">
      <c r="P10" s="4"/>
    </row>
    <row r="11" spans="16:16">
      <c r="P11" s="4"/>
    </row>
    <row r="12" spans="16:16">
      <c r="P12" s="4"/>
    </row>
    <row r="13" spans="16:16">
      <c r="P13" s="4"/>
    </row>
    <row r="14" spans="16:16">
      <c r="P14" s="4"/>
    </row>
    <row r="15" spans="16:16">
      <c r="P15" s="4"/>
    </row>
    <row r="16" spans="16:16">
      <c r="P16" s="4"/>
    </row>
    <row r="17" spans="16:16">
      <c r="P17" s="4"/>
    </row>
    <row r="18" spans="16:16">
      <c r="P18" s="4"/>
    </row>
    <row r="19" spans="16:16">
      <c r="P19" s="4"/>
    </row>
    <row r="20" spans="16:16">
      <c r="P20" s="4"/>
    </row>
    <row r="21" spans="16:16">
      <c r="P21" s="4"/>
    </row>
    <row r="22" spans="16:16">
      <c r="P22" s="4"/>
    </row>
    <row r="23" spans="16:16">
      <c r="P23" s="5"/>
    </row>
    <row r="24" spans="16:16">
      <c r="P24" s="6">
        <v>45653</v>
      </c>
    </row>
    <row r="25" spans="16:16">
      <c r="P25" s="6">
        <v>45656</v>
      </c>
    </row>
    <row r="26" spans="16:16">
      <c r="P26" s="6">
        <v>45715</v>
      </c>
    </row>
    <row r="27" spans="16:16">
      <c r="P27" s="6">
        <v>45656</v>
      </c>
    </row>
    <row r="28" spans="16:16">
      <c r="P28" s="6">
        <v>45656</v>
      </c>
    </row>
    <row r="29" spans="16:16">
      <c r="P29" s="6">
        <v>45656</v>
      </c>
    </row>
    <row r="30" spans="16:16">
      <c r="P30" s="6">
        <v>45656</v>
      </c>
    </row>
    <row r="31" spans="16:16">
      <c r="P31" s="6">
        <v>45656</v>
      </c>
    </row>
    <row r="32" spans="16:16">
      <c r="P32" s="6">
        <v>45656</v>
      </c>
    </row>
    <row r="33" spans="16:16">
      <c r="P33" s="6">
        <v>45656</v>
      </c>
    </row>
    <row r="34" spans="16:16">
      <c r="P34" s="6">
        <v>45656</v>
      </c>
    </row>
    <row r="35" spans="16:16">
      <c r="P35" s="6">
        <v>45656</v>
      </c>
    </row>
    <row r="36" spans="16:16">
      <c r="P36" s="6">
        <v>45656</v>
      </c>
    </row>
    <row r="37" spans="16:16">
      <c r="P37" s="6">
        <v>45656</v>
      </c>
    </row>
    <row r="38" spans="16:16">
      <c r="P38" s="6" t="s">
        <v>6881</v>
      </c>
    </row>
    <row r="39" spans="16:16">
      <c r="P39" s="6"/>
    </row>
    <row r="40" spans="16:16">
      <c r="P40" s="6">
        <v>45656</v>
      </c>
    </row>
    <row r="41" spans="16:16">
      <c r="P41" s="6">
        <v>45656</v>
      </c>
    </row>
    <row r="42" spans="16:16">
      <c r="P42" s="6">
        <v>45656</v>
      </c>
    </row>
    <row r="43" spans="16:16">
      <c r="P43" s="6">
        <v>45656</v>
      </c>
    </row>
    <row r="44" spans="16:16">
      <c r="P44" s="6">
        <v>45656</v>
      </c>
    </row>
    <row r="45" spans="16:16">
      <c r="P45" s="6"/>
    </row>
    <row r="46" spans="16:16">
      <c r="P46" s="6">
        <v>45656</v>
      </c>
    </row>
    <row r="47" spans="16:16">
      <c r="P47" s="6">
        <v>45656</v>
      </c>
    </row>
    <row r="48" spans="16:16">
      <c r="P48" s="6">
        <v>45656</v>
      </c>
    </row>
    <row r="49" spans="16:16">
      <c r="P49" s="6">
        <v>45656</v>
      </c>
    </row>
    <row r="50" spans="16:16">
      <c r="P50" s="6">
        <v>45656</v>
      </c>
    </row>
    <row r="51" spans="16:16">
      <c r="P51" s="6">
        <v>45694</v>
      </c>
    </row>
    <row r="52" spans="16:16">
      <c r="P52" s="6">
        <v>45656</v>
      </c>
    </row>
    <row r="53" spans="16:16">
      <c r="P53" s="6">
        <v>45656</v>
      </c>
    </row>
    <row r="54" spans="16:16">
      <c r="P54" s="6">
        <v>45656</v>
      </c>
    </row>
    <row r="55" spans="16:16">
      <c r="P55" s="6">
        <v>45656</v>
      </c>
    </row>
    <row r="56" spans="16:16">
      <c r="P56" s="6">
        <v>45656</v>
      </c>
    </row>
    <row r="57" spans="16:16">
      <c r="P57" s="6">
        <v>45656</v>
      </c>
    </row>
    <row r="58" spans="16:16">
      <c r="P58" s="6">
        <v>45656</v>
      </c>
    </row>
    <row r="59" spans="16:16">
      <c r="P59" s="6">
        <v>45656</v>
      </c>
    </row>
    <row r="60" spans="16:16">
      <c r="P60" s="6">
        <v>45656</v>
      </c>
    </row>
    <row r="61" spans="16:16">
      <c r="P61" s="7">
        <v>45652</v>
      </c>
    </row>
    <row r="62" spans="16:16">
      <c r="P62" s="7">
        <v>45656</v>
      </c>
    </row>
    <row r="63" spans="16:16">
      <c r="P63" s="7">
        <v>45656</v>
      </c>
    </row>
    <row r="64" spans="16:16">
      <c r="P64" s="7">
        <v>45656</v>
      </c>
    </row>
    <row r="65" spans="16:16">
      <c r="P65" s="7">
        <v>45656</v>
      </c>
    </row>
    <row r="66" spans="16:16">
      <c r="P66" s="8" t="s">
        <v>6882</v>
      </c>
    </row>
    <row r="67" spans="16:16">
      <c r="P67" s="9"/>
    </row>
    <row r="68" spans="16:16">
      <c r="P68" s="9"/>
    </row>
    <row r="69" spans="16:16">
      <c r="P69" s="9"/>
    </row>
    <row r="70" spans="16:16">
      <c r="P70" s="9"/>
    </row>
    <row r="71" spans="16:16">
      <c r="P71" s="9"/>
    </row>
    <row r="72" spans="16:16">
      <c r="P72" s="9"/>
    </row>
    <row r="73" spans="16:16">
      <c r="P73" s="9"/>
    </row>
    <row r="74" spans="16:16">
      <c r="P74" s="9"/>
    </row>
    <row r="75" spans="16:16">
      <c r="P75" s="9"/>
    </row>
    <row r="76" spans="16:16">
      <c r="P76" s="9"/>
    </row>
    <row r="77" spans="16:16">
      <c r="P77" s="9"/>
    </row>
    <row r="78" spans="16:16">
      <c r="P78" s="9"/>
    </row>
    <row r="79" spans="16:16">
      <c r="P79" s="9"/>
    </row>
    <row r="80" spans="16:16">
      <c r="P80" s="9"/>
    </row>
    <row r="81" spans="16:16">
      <c r="P81" s="9"/>
    </row>
    <row r="82" spans="16:16">
      <c r="P82" s="9"/>
    </row>
    <row r="83" spans="16:16">
      <c r="P83" s="9"/>
    </row>
    <row r="84" spans="16:16">
      <c r="P84" s="9"/>
    </row>
    <row r="85" spans="16:16">
      <c r="P85" s="9"/>
    </row>
    <row r="86" spans="16:16">
      <c r="P86" s="9"/>
    </row>
    <row r="87" spans="16:16">
      <c r="P87" s="8" t="s">
        <v>6883</v>
      </c>
    </row>
    <row r="88" spans="16:16">
      <c r="P88" s="8"/>
    </row>
    <row r="89" spans="16:16">
      <c r="P89" s="8" t="s">
        <v>6884</v>
      </c>
    </row>
    <row r="90" spans="16:16">
      <c r="P90" s="8" t="s">
        <v>6883</v>
      </c>
    </row>
    <row r="91" spans="16:16">
      <c r="P91" s="8" t="s">
        <v>6885</v>
      </c>
    </row>
    <row r="92" spans="16:16">
      <c r="P92" s="8" t="s">
        <v>6883</v>
      </c>
    </row>
    <row r="93" spans="16:16">
      <c r="P93" s="8" t="s">
        <v>6883</v>
      </c>
    </row>
    <row r="94" spans="16:16">
      <c r="P94" s="8" t="s">
        <v>6883</v>
      </c>
    </row>
    <row r="95" spans="16:16">
      <c r="P95" s="8" t="s">
        <v>6883</v>
      </c>
    </row>
    <row r="96" spans="16:16">
      <c r="P96" s="8" t="s">
        <v>6883</v>
      </c>
    </row>
    <row r="97" spans="16:16">
      <c r="P97" s="8" t="s">
        <v>6883</v>
      </c>
    </row>
    <row r="98" spans="16:16">
      <c r="P98" s="8" t="s">
        <v>6883</v>
      </c>
    </row>
    <row r="99" spans="16:16">
      <c r="P99" s="8" t="s">
        <v>6883</v>
      </c>
    </row>
    <row r="100" spans="16:16">
      <c r="P100" s="8" t="s">
        <v>6883</v>
      </c>
    </row>
    <row r="101" spans="16:16">
      <c r="P101" s="8" t="s">
        <v>6883</v>
      </c>
    </row>
    <row r="102" spans="16:16">
      <c r="P102" s="8" t="s">
        <v>6883</v>
      </c>
    </row>
    <row r="103" spans="16:16">
      <c r="P103" s="8" t="s">
        <v>6883</v>
      </c>
    </row>
    <row r="104" spans="16:16">
      <c r="P104" s="8" t="s">
        <v>6883</v>
      </c>
    </row>
    <row r="105" spans="16:16">
      <c r="P105" s="8" t="s">
        <v>6883</v>
      </c>
    </row>
    <row r="106" spans="16:16">
      <c r="P106" s="8" t="s">
        <v>6881</v>
      </c>
    </row>
    <row r="107" spans="16:16">
      <c r="P107" s="8" t="s">
        <v>6883</v>
      </c>
    </row>
    <row r="108" spans="16:16">
      <c r="P108" s="8" t="s">
        <v>6886</v>
      </c>
    </row>
    <row r="109" spans="16:16">
      <c r="P109" s="8" t="s">
        <v>6887</v>
      </c>
    </row>
    <row r="110" spans="16:16">
      <c r="P110" s="8" t="s">
        <v>6887</v>
      </c>
    </row>
    <row r="111" spans="16:16">
      <c r="P111" s="8" t="s">
        <v>6887</v>
      </c>
    </row>
    <row r="112" spans="16:16">
      <c r="P112" s="8" t="s">
        <v>6887</v>
      </c>
    </row>
    <row r="113" spans="16:16">
      <c r="P113" s="8" t="s">
        <v>6887</v>
      </c>
    </row>
    <row r="114" spans="16:16">
      <c r="P114" s="8" t="s">
        <v>6887</v>
      </c>
    </row>
    <row r="115" spans="16:16">
      <c r="P115" s="8" t="s">
        <v>6887</v>
      </c>
    </row>
    <row r="116" spans="16:16">
      <c r="P116" s="8" t="s">
        <v>6887</v>
      </c>
    </row>
    <row r="117" spans="16:16">
      <c r="P117" s="8" t="s">
        <v>6887</v>
      </c>
    </row>
    <row r="118" spans="16:16">
      <c r="P118" s="8" t="s">
        <v>6887</v>
      </c>
    </row>
    <row r="119" spans="16:16">
      <c r="P119" s="8" t="s">
        <v>6887</v>
      </c>
    </row>
    <row r="120" spans="16:16">
      <c r="P120" s="8" t="s">
        <v>6887</v>
      </c>
    </row>
    <row r="121" spans="16:16">
      <c r="P121" s="8" t="s">
        <v>6887</v>
      </c>
    </row>
    <row r="122" spans="16:16">
      <c r="P122" s="8" t="s">
        <v>6887</v>
      </c>
    </row>
    <row r="123" spans="16:16">
      <c r="P123" s="8" t="s">
        <v>6887</v>
      </c>
    </row>
    <row r="124" spans="16:16">
      <c r="P124" s="8" t="s">
        <v>6887</v>
      </c>
    </row>
    <row r="125" spans="16:16">
      <c r="P125" s="8" t="s">
        <v>6887</v>
      </c>
    </row>
    <row r="126" spans="16:16">
      <c r="P126" s="8" t="s">
        <v>6887</v>
      </c>
    </row>
    <row r="127" spans="16:16">
      <c r="P127" s="8" t="s">
        <v>6887</v>
      </c>
    </row>
    <row r="128" spans="16:16">
      <c r="P128" s="8" t="s">
        <v>6887</v>
      </c>
    </row>
    <row r="129" spans="16:16">
      <c r="P129" s="8" t="s">
        <v>6887</v>
      </c>
    </row>
    <row r="130" spans="16:16">
      <c r="P130" s="8" t="s">
        <v>6887</v>
      </c>
    </row>
    <row r="131" spans="16:16">
      <c r="P131" s="10">
        <v>45630</v>
      </c>
    </row>
    <row r="132" spans="16:16">
      <c r="P132" s="9"/>
    </row>
    <row r="133" spans="16:16">
      <c r="P133" s="10">
        <v>45630</v>
      </c>
    </row>
    <row r="134" spans="16:16">
      <c r="P134" s="10">
        <v>45630</v>
      </c>
    </row>
    <row r="135" spans="16:16">
      <c r="P135" s="10">
        <v>45630</v>
      </c>
    </row>
    <row r="136" spans="16:16">
      <c r="P136" s="10">
        <v>45630</v>
      </c>
    </row>
    <row r="137" spans="16:16">
      <c r="P137" s="10">
        <v>45630</v>
      </c>
    </row>
    <row r="138" spans="16:16">
      <c r="P138" s="10">
        <v>45631</v>
      </c>
    </row>
    <row r="139" spans="16:16">
      <c r="P139" s="10">
        <v>45631</v>
      </c>
    </row>
    <row r="140" spans="16:16">
      <c r="P140" s="10">
        <v>45631</v>
      </c>
    </row>
    <row r="141" spans="16:16">
      <c r="P141" s="8" t="s">
        <v>6888</v>
      </c>
    </row>
    <row r="142" spans="16:16">
      <c r="P142" s="8" t="s">
        <v>6883</v>
      </c>
    </row>
    <row r="143" spans="16:16">
      <c r="P143" s="8" t="s">
        <v>6883</v>
      </c>
    </row>
    <row r="144" spans="16:16">
      <c r="P144" s="8" t="s">
        <v>6883</v>
      </c>
    </row>
    <row r="145" spans="16:16">
      <c r="P145" s="8" t="s">
        <v>6883</v>
      </c>
    </row>
    <row r="146" spans="16:16">
      <c r="P146" s="8" t="s">
        <v>6883</v>
      </c>
    </row>
    <row r="147" spans="16:16">
      <c r="P147" s="8" t="s">
        <v>6883</v>
      </c>
    </row>
    <row r="148" spans="16:16">
      <c r="P148" s="8" t="s">
        <v>6883</v>
      </c>
    </row>
    <row r="149" spans="16:16">
      <c r="P149" s="8" t="s">
        <v>6883</v>
      </c>
    </row>
    <row r="150" spans="16:16">
      <c r="P150" s="8" t="s">
        <v>6883</v>
      </c>
    </row>
    <row r="151" spans="16:16">
      <c r="P151" s="8" t="s">
        <v>6889</v>
      </c>
    </row>
    <row r="152" spans="16:16">
      <c r="P152" s="8" t="s">
        <v>6883</v>
      </c>
    </row>
    <row r="153" spans="16:16">
      <c r="P153" s="8"/>
    </row>
    <row r="154" spans="16:16">
      <c r="P154" s="11"/>
    </row>
    <row r="155" spans="16:16">
      <c r="P155" s="11"/>
    </row>
    <row r="156" spans="16:16">
      <c r="P156" s="11"/>
    </row>
    <row r="157" spans="16:16">
      <c r="P157" s="11"/>
    </row>
    <row r="158" spans="16:16">
      <c r="P158" s="11"/>
    </row>
    <row r="159" spans="16:16">
      <c r="P159" s="11"/>
    </row>
    <row r="160" spans="16:16">
      <c r="P160" s="11"/>
    </row>
    <row r="161" spans="16:16">
      <c r="P161" s="11"/>
    </row>
    <row r="162" spans="16:16">
      <c r="P162" s="11"/>
    </row>
    <row r="163" spans="16:16">
      <c r="P163" s="11"/>
    </row>
    <row r="164" spans="16:16">
      <c r="P164" s="11"/>
    </row>
    <row r="165" spans="16:16">
      <c r="P165" s="11"/>
    </row>
    <row r="166" spans="16:16">
      <c r="P166" s="11"/>
    </row>
    <row r="167" spans="16:16">
      <c r="P167" s="11"/>
    </row>
    <row r="168" spans="16:16">
      <c r="P168" s="11"/>
    </row>
    <row r="169" spans="16:16">
      <c r="P169" s="11"/>
    </row>
    <row r="170" spans="16:16">
      <c r="P170" s="11"/>
    </row>
    <row r="171" spans="16:16">
      <c r="P171" s="11"/>
    </row>
    <row r="172" spans="16:16">
      <c r="P172" s="11"/>
    </row>
    <row r="173" spans="16:16">
      <c r="P173" s="11"/>
    </row>
    <row r="174" spans="16:16">
      <c r="P174" s="11"/>
    </row>
    <row r="175" spans="16:16">
      <c r="P175" s="11"/>
    </row>
    <row r="176" spans="16:16">
      <c r="P176" s="11"/>
    </row>
    <row r="177" spans="16:16">
      <c r="P177" s="11"/>
    </row>
    <row r="178" spans="16:16">
      <c r="P178" s="8" t="s">
        <v>6882</v>
      </c>
    </row>
    <row r="179" spans="16:16">
      <c r="P179" s="8" t="s">
        <v>6890</v>
      </c>
    </row>
    <row r="180" spans="16:16">
      <c r="P180" s="8" t="s">
        <v>6882</v>
      </c>
    </row>
    <row r="181" spans="16:16">
      <c r="P181" s="8" t="s">
        <v>6882</v>
      </c>
    </row>
    <row r="182" spans="16:16">
      <c r="P182" s="8" t="s">
        <v>6882</v>
      </c>
    </row>
    <row r="183" spans="16:16">
      <c r="P183" s="8" t="s">
        <v>6891</v>
      </c>
    </row>
    <row r="184" spans="16:16">
      <c r="P184" s="8" t="s">
        <v>6882</v>
      </c>
    </row>
    <row r="185" spans="16:16">
      <c r="P185" s="8" t="s">
        <v>6882</v>
      </c>
    </row>
    <row r="186" spans="16:16">
      <c r="P186" s="8" t="s">
        <v>6882</v>
      </c>
    </row>
    <row r="187" spans="16:16">
      <c r="P187" s="8" t="s">
        <v>6882</v>
      </c>
    </row>
    <row r="188" spans="16:16">
      <c r="P188" s="8" t="s">
        <v>6882</v>
      </c>
    </row>
    <row r="189" spans="16:16">
      <c r="P189" s="8" t="s">
        <v>6882</v>
      </c>
    </row>
    <row r="190" spans="16:16">
      <c r="P190" s="8" t="s">
        <v>6882</v>
      </c>
    </row>
    <row r="191" spans="16:16">
      <c r="P191" s="8" t="s">
        <v>6892</v>
      </c>
    </row>
    <row r="192" spans="16:16">
      <c r="P192" s="8" t="s">
        <v>6892</v>
      </c>
    </row>
    <row r="193" spans="16:16">
      <c r="P193" s="8" t="s">
        <v>6892</v>
      </c>
    </row>
    <row r="194" spans="16:16">
      <c r="P194" s="8" t="s">
        <v>6892</v>
      </c>
    </row>
    <row r="195" spans="16:16">
      <c r="P195" s="8" t="s">
        <v>6892</v>
      </c>
    </row>
    <row r="196" spans="16:16">
      <c r="P196" s="8" t="s">
        <v>6892</v>
      </c>
    </row>
    <row r="197" spans="16:16">
      <c r="P197" s="8" t="s">
        <v>6892</v>
      </c>
    </row>
    <row r="198" spans="16:16">
      <c r="P198" s="8" t="s">
        <v>6892</v>
      </c>
    </row>
    <row r="199" spans="16:16">
      <c r="P199" s="8" t="s">
        <v>6882</v>
      </c>
    </row>
    <row r="200" spans="16:16">
      <c r="P200" s="8" t="s">
        <v>6893</v>
      </c>
    </row>
    <row r="201" spans="16:16">
      <c r="P201" s="8" t="s">
        <v>6881</v>
      </c>
    </row>
    <row r="202" spans="16:16">
      <c r="P202" s="9"/>
    </row>
    <row r="203" spans="16:16">
      <c r="P203" s="9"/>
    </row>
    <row r="204" spans="16:16">
      <c r="P204" s="8" t="s">
        <v>6893</v>
      </c>
    </row>
    <row r="205" spans="16:16">
      <c r="P205" s="8" t="s">
        <v>6893</v>
      </c>
    </row>
    <row r="206" spans="16:16">
      <c r="P206" s="8" t="s">
        <v>6893</v>
      </c>
    </row>
    <row r="207" spans="16:16">
      <c r="P207" s="8" t="s">
        <v>6893</v>
      </c>
    </row>
    <row r="208" spans="16:16">
      <c r="P208" s="8" t="s">
        <v>6893</v>
      </c>
    </row>
    <row r="209" spans="16:16">
      <c r="P209" s="8" t="s">
        <v>6893</v>
      </c>
    </row>
    <row r="210" spans="16:16">
      <c r="P210" s="8" t="s">
        <v>6893</v>
      </c>
    </row>
    <row r="211" spans="16:16">
      <c r="P211" s="8" t="s">
        <v>6893</v>
      </c>
    </row>
    <row r="212" spans="16:16">
      <c r="P212" s="8" t="s">
        <v>6893</v>
      </c>
    </row>
    <row r="213" spans="16:16">
      <c r="P213" s="8" t="s">
        <v>6893</v>
      </c>
    </row>
    <row r="214" spans="16:16">
      <c r="P214" s="8" t="s">
        <v>6893</v>
      </c>
    </row>
    <row r="215" spans="16:16">
      <c r="P215" s="8" t="s">
        <v>6893</v>
      </c>
    </row>
    <row r="216" spans="16:16">
      <c r="P216" s="8" t="s">
        <v>6893</v>
      </c>
    </row>
    <row r="217" spans="16:16">
      <c r="P217" s="8" t="s">
        <v>6893</v>
      </c>
    </row>
    <row r="218" spans="16:16">
      <c r="P218" s="8" t="s">
        <v>6893</v>
      </c>
    </row>
    <row r="219" spans="16:16">
      <c r="P219" s="8" t="s">
        <v>6893</v>
      </c>
    </row>
    <row r="220" spans="16:16">
      <c r="P220" s="8" t="s">
        <v>6882</v>
      </c>
    </row>
    <row r="221" spans="16:16">
      <c r="P221" s="8" t="s">
        <v>6882</v>
      </c>
    </row>
    <row r="222" spans="16:16">
      <c r="P222" s="9"/>
    </row>
    <row r="223" spans="16:16">
      <c r="P223" s="8" t="s">
        <v>6894</v>
      </c>
    </row>
    <row r="224" spans="16:16">
      <c r="P224" s="12" t="s">
        <v>6895</v>
      </c>
    </row>
    <row r="225" spans="16:16">
      <c r="P225" s="8" t="s">
        <v>6894</v>
      </c>
    </row>
    <row r="226" spans="16:16">
      <c r="P226" s="8" t="s">
        <v>6894</v>
      </c>
    </row>
    <row r="227" spans="16:16">
      <c r="P227" s="8" t="s">
        <v>6894</v>
      </c>
    </row>
    <row r="228" spans="16:16">
      <c r="P228" s="8" t="s">
        <v>6894</v>
      </c>
    </row>
    <row r="229" spans="16:16">
      <c r="P229" s="8" t="s">
        <v>6894</v>
      </c>
    </row>
    <row r="230" spans="16:16">
      <c r="P230" s="8" t="s">
        <v>6894</v>
      </c>
    </row>
    <row r="231" spans="16:16">
      <c r="P231" s="8" t="s">
        <v>6894</v>
      </c>
    </row>
    <row r="232" spans="16:16">
      <c r="P232" s="8" t="s">
        <v>6894</v>
      </c>
    </row>
    <row r="233" spans="16:16">
      <c r="P233" s="8" t="s">
        <v>6894</v>
      </c>
    </row>
    <row r="234" spans="16:16">
      <c r="P234" s="8" t="s">
        <v>6894</v>
      </c>
    </row>
    <row r="235" spans="16:16">
      <c r="P235" s="8" t="s">
        <v>6894</v>
      </c>
    </row>
    <row r="236" spans="16:16">
      <c r="P236" s="8" t="s">
        <v>6893</v>
      </c>
    </row>
    <row r="237" spans="16:16">
      <c r="P237" s="8" t="s">
        <v>6893</v>
      </c>
    </row>
    <row r="238" spans="16:16">
      <c r="P238" s="8" t="s">
        <v>6893</v>
      </c>
    </row>
    <row r="239" spans="16:16">
      <c r="P239" s="8" t="s">
        <v>6893</v>
      </c>
    </row>
    <row r="240" spans="16:16">
      <c r="P240" s="8" t="s">
        <v>6893</v>
      </c>
    </row>
    <row r="241" spans="16:16">
      <c r="P241" s="8" t="s">
        <v>6893</v>
      </c>
    </row>
    <row r="242" spans="16:16">
      <c r="P242" s="8" t="s">
        <v>6893</v>
      </c>
    </row>
    <row r="243" spans="16:16">
      <c r="P243" s="8" t="s">
        <v>6893</v>
      </c>
    </row>
    <row r="244" spans="16:16">
      <c r="P244" s="11"/>
    </row>
    <row r="245" spans="16:16">
      <c r="P245" s="11"/>
    </row>
    <row r="246" spans="16:16">
      <c r="P246" s="11"/>
    </row>
    <row r="247" spans="16:16">
      <c r="P247" s="11"/>
    </row>
    <row r="248" spans="16:16">
      <c r="P248" s="11"/>
    </row>
    <row r="249" spans="16:16">
      <c r="P249" s="11"/>
    </row>
    <row r="250" spans="16:16">
      <c r="P250" s="11"/>
    </row>
    <row r="251" spans="16:16">
      <c r="P251" s="11"/>
    </row>
    <row r="252" spans="16:16">
      <c r="P252" s="11"/>
    </row>
    <row r="253" spans="16:16">
      <c r="P253" s="11"/>
    </row>
    <row r="254" spans="16:16">
      <c r="P254" s="11"/>
    </row>
    <row r="255" spans="16:16">
      <c r="P255" s="11"/>
    </row>
    <row r="256" spans="16:16">
      <c r="P256" s="11"/>
    </row>
    <row r="257" spans="16:16">
      <c r="P257" s="11"/>
    </row>
    <row r="258" spans="16:16">
      <c r="P258" s="11"/>
    </row>
    <row r="259" spans="16:16">
      <c r="P259" s="11"/>
    </row>
    <row r="260" spans="16:16">
      <c r="P260" s="11"/>
    </row>
    <row r="261" spans="16:16">
      <c r="P261" s="11"/>
    </row>
    <row r="262" spans="16:16">
      <c r="P262" s="11"/>
    </row>
    <row r="263" spans="16:16">
      <c r="P263" s="11"/>
    </row>
    <row r="264" spans="16:16">
      <c r="P264" s="11"/>
    </row>
    <row r="265" spans="16:16">
      <c r="P265" s="11"/>
    </row>
    <row r="266" spans="16:16">
      <c r="P266" s="11"/>
    </row>
    <row r="267" spans="16:16">
      <c r="P267" s="11"/>
    </row>
    <row r="268" spans="16:16">
      <c r="P268" s="10">
        <v>45736</v>
      </c>
    </row>
    <row r="269" spans="16:16">
      <c r="P269" s="10">
        <v>45736</v>
      </c>
    </row>
    <row r="270" spans="16:16">
      <c r="P270" s="10">
        <v>45652</v>
      </c>
    </row>
    <row r="271" spans="16:16">
      <c r="P271" s="11"/>
    </row>
    <row r="272" spans="16:16">
      <c r="P272" s="10">
        <v>45564</v>
      </c>
    </row>
    <row r="273" spans="16:16">
      <c r="P273" s="11"/>
    </row>
    <row r="274" spans="16:16">
      <c r="P274" s="10">
        <v>45564</v>
      </c>
    </row>
    <row r="275" spans="16:16">
      <c r="P275" s="10">
        <v>45564</v>
      </c>
    </row>
    <row r="276" spans="16:16">
      <c r="P276" s="10">
        <v>45564</v>
      </c>
    </row>
    <row r="277" spans="16:16">
      <c r="P277" s="10">
        <v>45564</v>
      </c>
    </row>
    <row r="278" spans="16:16">
      <c r="P278" s="10">
        <v>45564</v>
      </c>
    </row>
    <row r="279" spans="16:16">
      <c r="P279" s="10">
        <v>45564</v>
      </c>
    </row>
    <row r="280" spans="16:16">
      <c r="P280" s="10">
        <v>45564</v>
      </c>
    </row>
    <row r="281" spans="16:16">
      <c r="P281" s="10">
        <v>45564</v>
      </c>
    </row>
    <row r="282" spans="16:16">
      <c r="P282" s="10">
        <v>45564</v>
      </c>
    </row>
    <row r="283" spans="16:16">
      <c r="P283" s="10">
        <v>45564</v>
      </c>
    </row>
    <row r="284" spans="16:16">
      <c r="P284" s="10">
        <v>45564</v>
      </c>
    </row>
    <row r="285" spans="16:16">
      <c r="P285" s="10">
        <v>45564</v>
      </c>
    </row>
    <row r="286" spans="16:16">
      <c r="P286" s="10">
        <v>45564</v>
      </c>
    </row>
    <row r="287" spans="16:16">
      <c r="P287" s="10">
        <v>45564</v>
      </c>
    </row>
    <row r="288" spans="16:16">
      <c r="P288" s="8"/>
    </row>
    <row r="289" spans="16:16">
      <c r="P289" s="10">
        <v>45564</v>
      </c>
    </row>
    <row r="290" spans="16:16">
      <c r="P290" s="10">
        <v>45755</v>
      </c>
    </row>
    <row r="291" spans="16:16">
      <c r="P291" s="10">
        <v>45715</v>
      </c>
    </row>
    <row r="292" spans="16:16">
      <c r="P292" s="13"/>
    </row>
    <row r="293" spans="16:16">
      <c r="P293" s="10">
        <v>45564</v>
      </c>
    </row>
    <row r="294" spans="16:16">
      <c r="P294" s="10">
        <v>45564</v>
      </c>
    </row>
    <row r="295" spans="16:16">
      <c r="P295" s="10">
        <v>45564</v>
      </c>
    </row>
    <row r="296" spans="16:16">
      <c r="P296" s="10">
        <v>45564</v>
      </c>
    </row>
    <row r="297" spans="16:16">
      <c r="P297" s="10">
        <v>45564</v>
      </c>
    </row>
    <row r="298" spans="16:16">
      <c r="P298" s="10">
        <v>45564</v>
      </c>
    </row>
    <row r="299" spans="16:16">
      <c r="P299" s="10">
        <v>45564</v>
      </c>
    </row>
    <row r="300" spans="16:16">
      <c r="P300" s="10">
        <v>45564</v>
      </c>
    </row>
    <row r="301" spans="16:16">
      <c r="P301" s="10">
        <v>45564</v>
      </c>
    </row>
    <row r="302" spans="16:16">
      <c r="P302" s="10">
        <v>45564</v>
      </c>
    </row>
    <row r="303" spans="16:16">
      <c r="P303" s="10">
        <v>45564</v>
      </c>
    </row>
    <row r="304" spans="16:16">
      <c r="P304" s="10">
        <v>45564</v>
      </c>
    </row>
    <row r="305" spans="16:16">
      <c r="P305" s="8" t="s">
        <v>6887</v>
      </c>
    </row>
    <row r="306" spans="16:16">
      <c r="P306" s="10">
        <v>45564</v>
      </c>
    </row>
    <row r="307" spans="16:16">
      <c r="P307" s="10">
        <v>45564</v>
      </c>
    </row>
    <row r="308" spans="16:16">
      <c r="P308" s="10">
        <v>45564</v>
      </c>
    </row>
    <row r="309" spans="16:16">
      <c r="P309" s="10">
        <v>45564</v>
      </c>
    </row>
    <row r="310" spans="16:16">
      <c r="P310" s="8" t="s">
        <v>6896</v>
      </c>
    </row>
    <row r="311" spans="16:16">
      <c r="P311" s="14" t="s">
        <v>6897</v>
      </c>
    </row>
    <row r="312" spans="16:16">
      <c r="P312" s="11"/>
    </row>
    <row r="313" spans="16:16">
      <c r="P313" s="10">
        <v>45758</v>
      </c>
    </row>
    <row r="314" spans="16:16">
      <c r="P314" s="9"/>
    </row>
    <row r="315" spans="16:16">
      <c r="P315" s="8" t="s">
        <v>6898</v>
      </c>
    </row>
    <row r="316" spans="16:16">
      <c r="P316" s="8" t="s">
        <v>6898</v>
      </c>
    </row>
    <row r="317" spans="16:16">
      <c r="P317" s="8" t="s">
        <v>6898</v>
      </c>
    </row>
    <row r="318" spans="16:16">
      <c r="P318" s="8" t="s">
        <v>6898</v>
      </c>
    </row>
    <row r="319" spans="16:16">
      <c r="P319" s="8" t="s">
        <v>6898</v>
      </c>
    </row>
    <row r="320" spans="16:16">
      <c r="P320" s="8" t="s">
        <v>6898</v>
      </c>
    </row>
    <row r="321" spans="16:16">
      <c r="P321" s="8" t="s">
        <v>6898</v>
      </c>
    </row>
    <row r="322" spans="16:16">
      <c r="P322" s="8" t="s">
        <v>6898</v>
      </c>
    </row>
    <row r="323" spans="16:16">
      <c r="P323" s="8" t="s">
        <v>6898</v>
      </c>
    </row>
    <row r="324" spans="16:16">
      <c r="P324" s="8" t="s">
        <v>6898</v>
      </c>
    </row>
    <row r="325" spans="16:16">
      <c r="P325" s="8" t="s">
        <v>6898</v>
      </c>
    </row>
    <row r="326" spans="16:16">
      <c r="P326" s="8" t="s">
        <v>6894</v>
      </c>
    </row>
    <row r="327" spans="16:16">
      <c r="P327" s="8" t="s">
        <v>6894</v>
      </c>
    </row>
    <row r="328" spans="16:16">
      <c r="P328" s="8" t="s">
        <v>6894</v>
      </c>
    </row>
    <row r="329" spans="16:16">
      <c r="P329" s="8" t="s">
        <v>6894</v>
      </c>
    </row>
    <row r="330" spans="16:16">
      <c r="P330" s="8" t="s">
        <v>6894</v>
      </c>
    </row>
    <row r="331" spans="16:16">
      <c r="P331" s="8" t="s">
        <v>6898</v>
      </c>
    </row>
    <row r="332" spans="16:16">
      <c r="P332" s="8" t="s">
        <v>6894</v>
      </c>
    </row>
    <row r="333" spans="16:16">
      <c r="P333" s="15"/>
    </row>
    <row r="334" spans="16:16">
      <c r="P334" s="1" t="s">
        <v>3289</v>
      </c>
    </row>
    <row r="335" spans="16:16">
      <c r="P335" s="1" t="s">
        <v>94</v>
      </c>
    </row>
    <row r="336" spans="16:16">
      <c r="P336" s="11" t="s">
        <v>3290</v>
      </c>
    </row>
    <row r="337" spans="16:16">
      <c r="P337" s="11" t="s">
        <v>9</v>
      </c>
    </row>
    <row r="338" spans="16:16">
      <c r="P338" s="16"/>
    </row>
    <row r="346" spans="16:16">
      <c r="P346" s="11"/>
    </row>
    <row r="347" spans="16:16">
      <c r="P347" s="11"/>
    </row>
    <row r="348" spans="16:16">
      <c r="P348" s="11"/>
    </row>
    <row r="349" spans="16:16">
      <c r="P349" s="11"/>
    </row>
    <row r="350" spans="16:16">
      <c r="P350" s="11"/>
    </row>
    <row r="351" spans="16:16">
      <c r="P351" s="11"/>
    </row>
    <row r="352" spans="16:16">
      <c r="P352" s="11"/>
    </row>
    <row r="353" spans="16:16">
      <c r="P353" s="11"/>
    </row>
    <row r="354" spans="16:16">
      <c r="P354" s="11"/>
    </row>
    <row r="355" spans="16:16">
      <c r="P355" s="11"/>
    </row>
  </sheetData>
  <pageMargins left="0.75" right="0.75" top="1" bottom="1" header="0.5" footer="0.5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46" sqref="C46:R46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61" master="" otherUserPermission="visible"/>
  <rangeList sheetStid="1" master="" otherUserPermission="visible"/>
  <rangeList sheetStid="64" master="" otherUserPermission="visible"/>
  <rangeList sheetStid="65" master="" otherUserPermission="visible"/>
  <rangeList sheetStid="2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  <rangeList sheetStid="14" master="" otherUserPermission="visible"/>
  <rangeList sheetStid="15" master="" otherUserPermission="visible"/>
  <rangeList sheetStid="16" master="" otherUserPermission="visible"/>
  <rangeList sheetStid="17" master="" otherUserPermission="visible"/>
  <rangeList sheetStid="19" master="" otherUserPermission="visible"/>
  <rangeList sheetStid="53" master="" otherUserPermission="visible"/>
  <rangeList sheetStid="55" master="" otherUserPermission="visible"/>
  <rangeList sheetStid="59" master="" otherUserPermission="visible"/>
  <rangeList sheetStid="60" master="" otherUserPermission="visible"/>
  <rangeList sheetStid="56" master="" otherUserPermission="visible"/>
  <rangeList sheetStid="57" master="" otherUserPermission="visible"/>
  <rangeList sheetStid="52" master="" otherUserPermission="visible"/>
  <rangeList sheetStid="62" master="" otherUserPermission="visible"/>
  <rangeList sheetStid="47" master="" otherUserPermission="visible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计算税金</vt:lpstr>
      <vt:lpstr>汇总表</vt:lpstr>
      <vt:lpstr>面积统计</vt:lpstr>
      <vt:lpstr>预缴增值税抵减明细</vt:lpstr>
      <vt:lpstr>画堂春锦13#14#15#17#18# 商铺</vt:lpstr>
      <vt:lpstr>NITRQSEY</vt:lpstr>
      <vt:lpstr>LQHLPISM</vt:lpstr>
      <vt:lpstr>WVPVRPTM</vt:lpstr>
      <vt:lpstr>TAQYOVSR</vt:lpstr>
      <vt:lpstr>ORJJAOMY</vt:lpstr>
      <vt:lpstr>SRPONDTO</vt:lpstr>
      <vt:lpstr>XJLVMTTN</vt:lpstr>
      <vt:lpstr>RMNTYCVY</vt:lpstr>
      <vt:lpstr>YQZQOESO</vt:lpstr>
      <vt:lpstr>VVRJEMRJ</vt:lpstr>
      <vt:lpstr>IRTKRNOJ</vt:lpstr>
      <vt:lpstr>OOTNVTJV</vt:lpstr>
      <vt:lpstr>SVNOPQCH</vt:lpstr>
      <vt:lpstr>画堂春锦9#10#11#12#住宅</vt:lpstr>
      <vt:lpstr>画堂春锦苑1#2#3#5#7#楼住宅销售明细表</vt:lpstr>
      <vt:lpstr>画堂春锦苑8#楼明细表</vt:lpstr>
      <vt:lpstr>画堂春锦苑住宅4#6#</vt:lpstr>
      <vt:lpstr>画堂春锦苑商业16#19#</vt:lpstr>
      <vt:lpstr>画堂春锦一期10#17#楼楼面积差核减</vt:lpstr>
      <vt:lpstr>画堂春锦苑一期未开票收入明细</vt:lpstr>
      <vt:lpstr>销售费率计算表</vt:lpstr>
      <vt:lpstr>Sheet1</vt:lpstr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不忘初心，方得始终</cp:lastModifiedBy>
  <dcterms:created xsi:type="dcterms:W3CDTF">2007-05-17T10:14:00Z</dcterms:created>
  <cp:lastPrinted>2020-03-15T05:01:00Z</cp:lastPrinted>
  <dcterms:modified xsi:type="dcterms:W3CDTF">2026-07-16T05:14:40Z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59D0E13FF33D4E99BED7A83739C2B1AD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