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06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考勤!$A$5:$AY$5</definedName>
    <definedName name="_xlnm.Print_Area" localSheetId="2">考勤!$A$1:$AZ$10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<sst xmlns="http://schemas.openxmlformats.org/spreadsheetml/2006/main" count="232" uniqueCount="105">
  <si>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</si>
  <si>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</si>
  <si>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</si>
  <si>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</si>
  <si>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</si>
  <si>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</si>
  <si>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</si>
  <si>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</si>
  <si>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</si>
  <si>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</si>
  <si>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</si>
  <si>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</si>
  <si>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</si>
  <si>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</si>
  <si>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</si>
  <si>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</si>
  <si>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</si>
  <si>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</si>
  <si>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</si>
  <si>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</si>
  <si>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</si>
  <si>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</si>
  <si>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</si>
  <si>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</si>
  <si>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</si>
  <si>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</si>
  <si>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</si>
  <si>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</si>
  <si>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</si>
  <si>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新疆通力房地产开发有限公司库尔勒分公司</t>
  </si>
  <si>
    <t>新疆通力房地产开发有限公司库尔勒分公司2026年6月工资表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</si>
  <si>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</si>
  <si>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</si>
  <si>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</si>
  <si>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</si>
  <si>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</si>
  <si>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</si>
  <si>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</si>
  <si>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</si>
  <si>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</si>
  <si>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</si>
  <si>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</si>
  <si>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</si>
  <si>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</si>
  <si>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</si>
  <si>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</si>
  <si>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</si>
  <si>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余晓川</t>
  </si>
  <si>
    <t>法人代表</t>
  </si>
  <si>
    <t>陈江玲</t>
  </si>
  <si>
    <t>置业顾问</t>
  </si>
  <si>
    <t>PA</t>
  </si>
  <si>
    <t>石金</t>
  </si>
  <si>
    <t>营销经理</t>
  </si>
  <si>
    <t>任良彦</t>
  </si>
  <si>
    <t>营销副经理</t>
  </si>
  <si>
    <t>PB</t>
  </si>
  <si>
    <t>胡正辉</t>
  </si>
  <si>
    <t>合计</t>
  </si>
  <si>
    <r>
      <rPr>
        <b/>
        <sz val="72"/>
        <color theme="1"/>
        <rFont val="宋体"/>
        <charset val="134"/>
        <scheme val="minor"/>
      </rPr>
      <t>注：</t>
    </r>
    <r>
      <rPr>
        <b/>
        <sz val="48"/>
        <color theme="1"/>
        <rFont val="宋体"/>
        <charset val="134"/>
        <scheme val="minor"/>
      </rPr>
      <t xml:space="preserve">
自2026年2月1日起，由陈江玲、胡正辉直播。佣金为2026年5月佣金。</t>
    </r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</si>
  <si>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</si>
  <si>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</si>
  <si>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</si>
  <si>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</si>
  <si>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</si>
  <si>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</si>
  <si>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</si>
  <si>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</si>
  <si>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</si>
  <si>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</si>
  <si>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</si>
  <si>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</si>
  <si>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</si>
  <si>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</si>
  <si>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</si>
  <si>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</si>
  <si>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</si>
  <si>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</si>
  <si>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</si>
  <si>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</si>
  <si>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</si>
  <si>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</si>
  <si>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</si>
  <si>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</si>
  <si>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</si>
  <si>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</si>
  <si>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</si>
  <si>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</si>
  <si>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注：</t>
  </si>
  <si>
    <t>月度应发</t>
  </si>
  <si>
    <t>差额</t>
  </si>
  <si>
    <t>补贴</t>
  </si>
  <si>
    <t>职务序列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</si>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</sst>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7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7" fillId="2" borderId="3" xfId="50" applyFont="1" applyFill="1" applyBorder="1" applyAlignment="1">
      <alignment horizontal="center" vertical="center" wrapText="1"/>
    </xf>
    <xf numFmtId="0" fontId="7" fillId="2" borderId="4" xfId="50" applyFont="1" applyFill="1" applyBorder="1" applyAlignment="1">
      <alignment horizontal="center" vertical="center" wrapText="1"/>
    </xf>
    <xf numFmtId="0" fontId="7" fillId="2" borderId="5" xfId="50" applyFont="1" applyFill="1" applyBorder="1" applyAlignment="1">
      <alignment horizontal="center" vertical="center" wrapText="1"/>
    </xf>
    <xf numFmtId="0" fontId="7" fillId="2" borderId="6" xfId="50" applyFont="1" applyFill="1" applyBorder="1" applyAlignment="1">
      <alignment horizontal="center" vertical="center" wrapText="1"/>
    </xf>
    <xf numFmtId="0" fontId="5" fillId="2" borderId="7" xfId="50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2" borderId="9" xfId="50" applyFont="1" applyFill="1" applyBorder="1" applyAlignment="1">
      <alignment horizontal="center" vertical="center" wrapText="1"/>
    </xf>
    <xf numFmtId="0" fontId="7" fillId="2" borderId="4" xfId="50" applyFont="1" applyFill="1" applyBorder="1" applyAlignment="1">
      <alignment horizontal="right" vertical="center" wrapText="1"/>
    </xf>
    <xf numFmtId="0" fontId="7" fillId="2" borderId="5" xfId="50" applyFont="1" applyFill="1" applyBorder="1" applyAlignment="1">
      <alignment horizontal="right" vertical="center" wrapText="1"/>
    </xf>
    <xf numFmtId="0" fontId="7" fillId="2" borderId="5" xfId="50" applyFont="1" applyFill="1" applyBorder="1" applyAlignment="1">
      <alignment horizontal="left" vertical="center" wrapText="1"/>
    </xf>
    <xf numFmtId="0" fontId="7" fillId="2" borderId="6" xfId="50" applyFont="1" applyFill="1" applyBorder="1" applyAlignment="1">
      <alignment horizontal="left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7" fillId="2" borderId="1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 shrinkToFit="1"/>
    </xf>
    <xf numFmtId="0" fontId="7" fillId="2" borderId="1" xfId="50" applyFont="1" applyFill="1" applyBorder="1" applyAlignment="1">
      <alignment horizontal="center" vertical="center" wrapText="1"/>
    </xf>
    <xf numFmtId="0" fontId="8" fillId="2" borderId="1" xfId="5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52" applyFont="1" applyFill="1" applyBorder="1" applyAlignment="1">
      <alignment horizontal="center" vertical="center" wrapText="1"/>
    </xf>
    <xf numFmtId="0" fontId="9" fillId="2" borderId="11" xfId="52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52" applyFont="1" applyFill="1" applyBorder="1" applyAlignment="1">
      <alignment horizontal="center" vertical="center"/>
    </xf>
    <xf numFmtId="0" fontId="9" fillId="0" borderId="0" xfId="51" applyFont="1" applyFill="1" applyBorder="1" applyAlignment="1">
      <alignment horizontal="center" vertical="center"/>
    </xf>
    <xf numFmtId="0" fontId="7" fillId="0" borderId="0" xfId="50" applyFont="1" applyFill="1" applyBorder="1" applyAlignment="1">
      <alignment horizontal="left" vertical="center"/>
    </xf>
    <xf numFmtId="0" fontId="9" fillId="0" borderId="0" xfId="52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76" fontId="15" fillId="0" borderId="0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176" fontId="15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Z10"/>
  <sheetViews>
    <sheetView zoomScale="60" zoomScaleNormal="60" workbookViewId="0">
      <selection activeCell="B5" sqref="B5"/>
    </sheetView>
  </sheetViews>
  <sheetFormatPr defaultColWidth="9" defaultRowHeight="13.5"/>
  <cols>
    <col min="1" max="1" width="49.625" style="1" customWidth="1"/>
    <col min="2" max="2" width="9" style="1"/>
    <col min="3" max="4" width="11.5083333333333" style="1" customWidth="1"/>
    <col min="5" max="7" width="9.375" style="1" customWidth="1"/>
    <col min="8" max="9" width="9" style="1"/>
    <col min="10" max="10" width="12.625" style="1" customWidth="1"/>
    <col min="11" max="13" width="9.375" style="1"/>
    <col min="14" max="16" width="13.75" style="1" customWidth="1"/>
    <col min="17" max="17" width="9.375" style="1" customWidth="1"/>
    <col min="18" max="20" width="9" style="1"/>
    <col min="21" max="22" width="13.75" style="1" customWidth="1"/>
    <col min="23" max="24" width="9" style="1"/>
    <col min="25" max="25" width="13" style="1" customWidth="1"/>
    <col min="26" max="16384" width="9" style="1"/>
  </cols>
  <sheetData>
    <row r="2" s="81" customFormat="1" ht="50" customHeight="1" spans="1:26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/>
      <c r="N2" s="6" t="s">
        <v>2</v>
      </c>
      <c r="O2" s="6"/>
      <c r="P2" s="6"/>
      <c r="Q2" s="6"/>
      <c r="R2" s="6" t="s">
        <v>3</v>
      </c>
      <c r="S2" s="6"/>
      <c r="T2" s="6"/>
      <c r="U2" s="6"/>
      <c r="V2" s="6"/>
      <c r="W2" s="6"/>
      <c r="X2" s="6"/>
      <c r="Y2" s="6" t="s">
        <v>4</v>
      </c>
      <c r="Z2" s="6" t="s">
        <v>5</v>
      </c>
    </row>
    <row r="3" s="81" customFormat="1" ht="50" customHeight="1" spans="1:26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18</v>
      </c>
      <c r="Y3" s="6"/>
      <c r="Z3" s="6"/>
    </row>
    <row r="4" s="82" customFormat="1" ht="50" customHeight="1" spans="1:26">
      <c r="A4" s="2" t="s">
        <v>29</v>
      </c>
      <c r="B4" s="2" t="e">
        <f>工资表!#REF!</f>
        <v>#REF!</v>
      </c>
      <c r="C4" s="8">
        <f>工资表!E10</f>
        <v>10000</v>
      </c>
      <c r="D4" s="8"/>
      <c r="E4" s="8">
        <f>工资表!G10</f>
        <v>4800</v>
      </c>
      <c r="F4" s="8">
        <f>工资表!H10</f>
        <v>5200</v>
      </c>
      <c r="G4" s="8"/>
      <c r="H4" s="8"/>
      <c r="I4" s="8"/>
      <c r="J4" s="8"/>
      <c r="K4" s="8">
        <f>工资表!M10</f>
        <v>800</v>
      </c>
      <c r="L4" s="8">
        <f>工资表!N10</f>
        <v>40817.35</v>
      </c>
      <c r="M4" s="8">
        <f>工资表!O10</f>
        <v>41617.35</v>
      </c>
      <c r="N4" s="8"/>
      <c r="O4" s="8"/>
      <c r="P4" s="8"/>
      <c r="Q4" s="8">
        <f>工资表!S10</f>
        <v>51617.35</v>
      </c>
      <c r="R4" s="8">
        <f>工资表!T10</f>
        <v>405.52</v>
      </c>
      <c r="S4" s="8">
        <f>工资表!U10</f>
        <v>25.35</v>
      </c>
      <c r="T4" s="8">
        <f>工资表!V10</f>
        <v>101.38</v>
      </c>
      <c r="U4" s="8">
        <f>工资表!W10</f>
        <v>21.12</v>
      </c>
      <c r="V4" s="8"/>
      <c r="W4" s="8">
        <f>工资表!Y10</f>
        <v>0</v>
      </c>
      <c r="X4" s="8">
        <f>工资表!Z10</f>
        <v>803.37</v>
      </c>
      <c r="Y4" s="8">
        <f>工资表!AA10</f>
        <v>50813.98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  <pageSetUpPr fitToPage="1"/>
  </sheetPr>
  <dimension ref="A1:AB13"/>
  <sheetViews>
    <sheetView showZeros="0" tabSelected="1" zoomScale="20" zoomScaleNormal="20" workbookViewId="0">
      <pane xSplit="3" topLeftCell="D1" activePane="topRight" state="frozen"/>
      <selection/>
      <selection pane="topRight" activeCell="L36" sqref="L36"/>
    </sheetView>
  </sheetViews>
  <sheetFormatPr defaultColWidth="9" defaultRowHeight="20" customHeight="1"/>
  <cols>
    <col min="1" max="1" width="28.75" style="1" customWidth="1"/>
    <col min="2" max="2" width="50.7333333333333" style="1" customWidth="1"/>
    <col min="3" max="3" width="90.7083333333333" style="1" customWidth="1"/>
    <col min="4" max="4" width="22.7583333333333" style="1" customWidth="1"/>
    <col min="5" max="5" width="48.6166666666667" style="1" customWidth="1"/>
    <col min="6" max="6" width="22.7583333333333" style="1" customWidth="1"/>
    <col min="7" max="7" width="48.6166666666667" style="1" customWidth="1"/>
    <col min="8" max="8" width="48.125" style="1" customWidth="1"/>
    <col min="9" max="9" width="36.25" style="1" customWidth="1"/>
    <col min="10" max="10" width="5.625" style="1" hidden="1" customWidth="1"/>
    <col min="11" max="12" width="40.7416666666667" style="1" customWidth="1"/>
    <col min="13" max="15" width="45.7416666666667" style="1" customWidth="1"/>
    <col min="16" max="17" width="40.7416666666667" style="1" customWidth="1"/>
    <col min="18" max="18" width="23.125" style="1" customWidth="1"/>
    <col min="19" max="19" width="55.7333333333333" style="63" customWidth="1"/>
    <col min="20" max="22" width="37" style="1" customWidth="1"/>
    <col min="23" max="24" width="36" style="1" customWidth="1"/>
    <col min="25" max="25" width="38" style="1" customWidth="1"/>
    <col min="26" max="26" width="45.5083333333333" style="1" customWidth="1"/>
    <col min="27" max="27" width="55.7333333333333" style="64" customWidth="1"/>
    <col min="28" max="28" width="85.625" style="1" customWidth="1"/>
    <col min="29" max="16384" width="9" style="1"/>
  </cols>
  <sheetData>
    <row r="1" s="56" customFormat="1" ht="100" customHeight="1" spans="1:28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  <c r="T1" s="65"/>
      <c r="U1" s="65"/>
      <c r="V1" s="65"/>
      <c r="W1" s="65"/>
      <c r="X1" s="65"/>
      <c r="Y1" s="65"/>
      <c r="Z1" s="65"/>
      <c r="AA1" s="65"/>
      <c r="AB1" s="65"/>
    </row>
    <row r="2" s="56" customFormat="1" ht="60" customHeight="1" spans="1:28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6"/>
      <c r="T2" s="65"/>
      <c r="U2" s="65"/>
      <c r="V2" s="65"/>
      <c r="W2" s="65"/>
      <c r="X2" s="65"/>
      <c r="Y2" s="65"/>
      <c r="Z2" s="65"/>
      <c r="AA2" s="65"/>
      <c r="AB2" s="65"/>
    </row>
    <row r="3" s="57" customFormat="1" ht="171" customHeight="1" spans="1:28">
      <c r="A3" s="67" t="s">
        <v>31</v>
      </c>
      <c r="B3" s="67" t="s">
        <v>0</v>
      </c>
      <c r="C3" s="67"/>
      <c r="D3" s="67"/>
      <c r="E3" s="67"/>
      <c r="F3" s="67"/>
      <c r="G3" s="67"/>
      <c r="H3" s="67"/>
      <c r="I3" s="67"/>
      <c r="J3" s="67" t="s">
        <v>1</v>
      </c>
      <c r="K3" s="67"/>
      <c r="L3" s="67"/>
      <c r="M3" s="67"/>
      <c r="N3" s="67"/>
      <c r="O3" s="67"/>
      <c r="P3" s="67" t="s">
        <v>2</v>
      </c>
      <c r="Q3" s="67"/>
      <c r="R3" s="67"/>
      <c r="S3" s="68"/>
      <c r="T3" s="67" t="s">
        <v>3</v>
      </c>
      <c r="U3" s="67"/>
      <c r="V3" s="67"/>
      <c r="W3" s="67"/>
      <c r="X3" s="67"/>
      <c r="Y3" s="67"/>
      <c r="Z3" s="67"/>
      <c r="AA3" s="67" t="s">
        <v>4</v>
      </c>
      <c r="AB3" s="67" t="s">
        <v>5</v>
      </c>
    </row>
    <row r="4" s="57" customFormat="1" ht="171" customHeight="1" spans="1:28">
      <c r="A4" s="67"/>
      <c r="B4" s="67" t="s">
        <v>32</v>
      </c>
      <c r="C4" s="67" t="s">
        <v>33</v>
      </c>
      <c r="D4" s="69" t="s">
        <v>34</v>
      </c>
      <c r="E4" s="69" t="s">
        <v>35</v>
      </c>
      <c r="F4" s="69" t="s">
        <v>36</v>
      </c>
      <c r="G4" s="69" t="s">
        <v>37</v>
      </c>
      <c r="H4" s="69" t="s">
        <v>38</v>
      </c>
      <c r="I4" s="69" t="s">
        <v>39</v>
      </c>
      <c r="J4" s="69" t="s">
        <v>40</v>
      </c>
      <c r="K4" s="69" t="s">
        <v>41</v>
      </c>
      <c r="L4" s="69" t="s">
        <v>42</v>
      </c>
      <c r="M4" s="67" t="s">
        <v>16</v>
      </c>
      <c r="N4" s="67" t="s">
        <v>17</v>
      </c>
      <c r="O4" s="67" t="s">
        <v>18</v>
      </c>
      <c r="P4" s="69" t="s">
        <v>43</v>
      </c>
      <c r="Q4" s="69" t="s">
        <v>44</v>
      </c>
      <c r="R4" s="69" t="s">
        <v>45</v>
      </c>
      <c r="S4" s="68" t="s">
        <v>22</v>
      </c>
      <c r="T4" s="67" t="s">
        <v>23</v>
      </c>
      <c r="U4" s="67" t="s">
        <v>24</v>
      </c>
      <c r="V4" s="67" t="s">
        <v>25</v>
      </c>
      <c r="W4" s="69" t="s">
        <v>46</v>
      </c>
      <c r="X4" s="69" t="s">
        <v>27</v>
      </c>
      <c r="Y4" s="67" t="s">
        <v>28</v>
      </c>
      <c r="Z4" s="67" t="s">
        <v>18</v>
      </c>
      <c r="AA4" s="67"/>
      <c r="AB4" s="67"/>
    </row>
    <row r="5" s="58" customFormat="1" ht="171" customHeight="1" spans="1:28">
      <c r="A5" s="70">
        <v>1</v>
      </c>
      <c r="B5" s="70" t="s">
        <v>47</v>
      </c>
      <c r="C5" s="70" t="s">
        <v>48</v>
      </c>
      <c r="D5" s="70"/>
      <c r="E5" s="71"/>
      <c r="F5" s="70">
        <v>21</v>
      </c>
      <c r="G5" s="71"/>
      <c r="H5" s="71"/>
      <c r="I5" s="71"/>
      <c r="J5" s="71"/>
      <c r="K5" s="71"/>
      <c r="L5" s="71"/>
      <c r="M5" s="71">
        <v>800</v>
      </c>
      <c r="N5" s="71"/>
      <c r="O5" s="72">
        <f>SUM(J5:N5)</f>
        <v>800</v>
      </c>
      <c r="P5" s="71">
        <f>G5/F5</f>
        <v>0</v>
      </c>
      <c r="Q5" s="71">
        <f>H5/F5</f>
        <v>0</v>
      </c>
      <c r="R5" s="73">
        <f>VLOOKUP(B5,考勤!B:AI,34,0)</f>
        <v>21</v>
      </c>
      <c r="S5" s="68">
        <f>ROUND((P5*R5)+(Q5*R5)+O5,2)</f>
        <v>800</v>
      </c>
      <c r="T5" s="71"/>
      <c r="U5" s="71"/>
      <c r="V5" s="71"/>
      <c r="W5" s="71"/>
      <c r="X5" s="71"/>
      <c r="Y5" s="74"/>
      <c r="Z5" s="72">
        <f>SUM(T5:Y5)</f>
        <v>0</v>
      </c>
      <c r="AA5" s="68">
        <f>ROUND(S5-Z5,2)</f>
        <v>800</v>
      </c>
      <c r="AB5" s="70"/>
    </row>
    <row r="6" s="59" customFormat="1" ht="171" customHeight="1" spans="1:28">
      <c r="A6" s="70">
        <v>2</v>
      </c>
      <c r="B6" s="70" t="s">
        <v>49</v>
      </c>
      <c r="C6" s="70" t="s">
        <v>50</v>
      </c>
      <c r="D6" s="70" t="s">
        <v>51</v>
      </c>
      <c r="E6" s="71">
        <f>4000+1000</f>
        <v>5000</v>
      </c>
      <c r="F6" s="70">
        <v>26</v>
      </c>
      <c r="G6" s="71">
        <v>2400</v>
      </c>
      <c r="H6" s="71">
        <f>E6-G6</f>
        <v>2600</v>
      </c>
      <c r="I6" s="71"/>
      <c r="J6" s="71"/>
      <c r="K6" s="71"/>
      <c r="L6" s="71"/>
      <c r="M6" s="71"/>
      <c r="N6" s="71">
        <v>31870.72</v>
      </c>
      <c r="O6" s="72">
        <f>SUM(J6:N6)</f>
        <v>31870.72</v>
      </c>
      <c r="P6" s="71">
        <f>G6/F6</f>
        <v>92.3076923076923</v>
      </c>
      <c r="Q6" s="71">
        <f>H6/F6</f>
        <v>100</v>
      </c>
      <c r="R6" s="73">
        <f>VLOOKUP(B6,考勤!B:AI,34,0)</f>
        <v>26</v>
      </c>
      <c r="S6" s="68">
        <f>ROUND((P6*R6)+(Q6*R6)+O6,2)</f>
        <v>36870.72</v>
      </c>
      <c r="T6" s="71"/>
      <c r="U6" s="71"/>
      <c r="V6" s="71"/>
      <c r="W6" s="71"/>
      <c r="X6" s="71">
        <v>250</v>
      </c>
      <c r="Y6" s="74"/>
      <c r="Z6" s="72">
        <f>SUM(T6:Y6)</f>
        <v>250</v>
      </c>
      <c r="AA6" s="68">
        <f>ROUND(S6-Z6,2)</f>
        <v>36620.72</v>
      </c>
      <c r="AB6" s="75"/>
    </row>
    <row r="7" s="59" customFormat="1" ht="171" customHeight="1" spans="1:28">
      <c r="A7" s="70">
        <v>3</v>
      </c>
      <c r="B7" s="70" t="s">
        <v>52</v>
      </c>
      <c r="C7" s="70" t="s">
        <v>53</v>
      </c>
      <c r="D7" s="70" t="s">
        <v>51</v>
      </c>
      <c r="E7" s="71"/>
      <c r="F7" s="70"/>
      <c r="G7" s="71"/>
      <c r="H7" s="71"/>
      <c r="I7" s="71"/>
      <c r="J7" s="71"/>
      <c r="K7" s="71"/>
      <c r="L7" s="71"/>
      <c r="M7" s="71"/>
      <c r="N7" s="71">
        <v>592.77</v>
      </c>
      <c r="O7" s="72">
        <f>SUM(J7:N7)</f>
        <v>592.77</v>
      </c>
      <c r="P7" s="71"/>
      <c r="Q7" s="71"/>
      <c r="R7" s="73"/>
      <c r="S7" s="68">
        <f>ROUND((P7*R7)+(Q7*R7)+O7,2)</f>
        <v>592.77</v>
      </c>
      <c r="T7" s="71"/>
      <c r="U7" s="71"/>
      <c r="V7" s="71"/>
      <c r="W7" s="71"/>
      <c r="X7" s="71"/>
      <c r="Y7" s="74"/>
      <c r="Z7" s="72"/>
      <c r="AA7" s="68">
        <f>ROUND(S7-Z7,2)</f>
        <v>592.77</v>
      </c>
      <c r="AB7" s="75"/>
    </row>
    <row r="8" s="59" customFormat="1" ht="171" customHeight="1" spans="1:28">
      <c r="A8" s="70">
        <v>4</v>
      </c>
      <c r="B8" s="70" t="s">
        <v>54</v>
      </c>
      <c r="C8" s="70" t="s">
        <v>55</v>
      </c>
      <c r="D8" s="70" t="s">
        <v>56</v>
      </c>
      <c r="E8" s="71"/>
      <c r="F8" s="70"/>
      <c r="G8" s="71"/>
      <c r="H8" s="71"/>
      <c r="I8" s="71"/>
      <c r="J8" s="71"/>
      <c r="K8" s="71"/>
      <c r="L8" s="71"/>
      <c r="M8" s="71"/>
      <c r="N8" s="71">
        <v>5431.26</v>
      </c>
      <c r="O8" s="72">
        <f>SUM(J8:N8)</f>
        <v>5431.26</v>
      </c>
      <c r="P8" s="71"/>
      <c r="Q8" s="71"/>
      <c r="R8" s="73"/>
      <c r="S8" s="68">
        <f>ROUND((P8*R8)+(Q8*R8)+O8,2)</f>
        <v>5431.26</v>
      </c>
      <c r="T8" s="71"/>
      <c r="U8" s="71"/>
      <c r="V8" s="71"/>
      <c r="W8" s="71"/>
      <c r="X8" s="71"/>
      <c r="Y8" s="74"/>
      <c r="Z8" s="72"/>
      <c r="AA8" s="68">
        <f>ROUND(S8-Z8,2)</f>
        <v>5431.26</v>
      </c>
      <c r="AB8" s="75"/>
    </row>
    <row r="9" s="59" customFormat="1" ht="171" customHeight="1" spans="1:28">
      <c r="A9" s="70">
        <v>5</v>
      </c>
      <c r="B9" s="70" t="s">
        <v>57</v>
      </c>
      <c r="C9" s="70" t="s">
        <v>50</v>
      </c>
      <c r="D9" s="70" t="s">
        <v>51</v>
      </c>
      <c r="E9" s="71">
        <f>4000+1000</f>
        <v>5000</v>
      </c>
      <c r="F9" s="70">
        <v>26</v>
      </c>
      <c r="G9" s="71">
        <v>2400</v>
      </c>
      <c r="H9" s="71">
        <f>E9-G9</f>
        <v>2600</v>
      </c>
      <c r="I9" s="71"/>
      <c r="J9" s="71"/>
      <c r="K9" s="71"/>
      <c r="L9" s="71"/>
      <c r="M9" s="71"/>
      <c r="N9" s="71">
        <v>2922.6</v>
      </c>
      <c r="O9" s="72">
        <f>SUM(J9:N9)</f>
        <v>2922.6</v>
      </c>
      <c r="P9" s="71">
        <f>G9/F9</f>
        <v>92.3076923076923</v>
      </c>
      <c r="Q9" s="71">
        <f>H9/F9</f>
        <v>100</v>
      </c>
      <c r="R9" s="73">
        <f>VLOOKUP(B9,考勤!B:AI,34,0)</f>
        <v>26</v>
      </c>
      <c r="S9" s="68">
        <f>ROUND((P9*R9)+(Q9*R9)+O9,2)</f>
        <v>7922.6</v>
      </c>
      <c r="T9" s="71">
        <v>405.52</v>
      </c>
      <c r="U9" s="71">
        <v>25.35</v>
      </c>
      <c r="V9" s="71">
        <f>101.38</f>
        <v>101.38</v>
      </c>
      <c r="W9" s="71">
        <v>21.12</v>
      </c>
      <c r="X9" s="71"/>
      <c r="Y9" s="74"/>
      <c r="Z9" s="72">
        <f>SUM(T9:Y9)</f>
        <v>553.37</v>
      </c>
      <c r="AA9" s="68">
        <f>ROUND(S9-Z9,2)</f>
        <v>7369.23</v>
      </c>
      <c r="AB9" s="75"/>
    </row>
    <row r="10" s="60" customFormat="1" ht="171" customHeight="1" spans="1:28">
      <c r="A10" s="67"/>
      <c r="B10" s="76" t="s">
        <v>58</v>
      </c>
      <c r="C10" s="77"/>
      <c r="D10" s="67"/>
      <c r="E10" s="68">
        <f>SUM(E5:E9)</f>
        <v>10000</v>
      </c>
      <c r="F10" s="68"/>
      <c r="G10" s="68">
        <f t="shared" ref="G10:O10" si="0">SUM(G5:G9)</f>
        <v>4800</v>
      </c>
      <c r="H10" s="68">
        <f t="shared" si="0"/>
        <v>5200</v>
      </c>
      <c r="I10" s="68">
        <f t="shared" si="0"/>
        <v>0</v>
      </c>
      <c r="J10" s="68">
        <f t="shared" si="0"/>
        <v>0</v>
      </c>
      <c r="K10" s="68">
        <f t="shared" si="0"/>
        <v>0</v>
      </c>
      <c r="L10" s="68">
        <f t="shared" si="0"/>
        <v>0</v>
      </c>
      <c r="M10" s="68">
        <f t="shared" si="0"/>
        <v>800</v>
      </c>
      <c r="N10" s="68">
        <f t="shared" si="0"/>
        <v>40817.35</v>
      </c>
      <c r="O10" s="68">
        <f t="shared" si="0"/>
        <v>41617.35</v>
      </c>
      <c r="P10" s="68">
        <f t="shared" ref="O10:AA10" si="1">SUM(P5:P9)</f>
        <v>184.615384615385</v>
      </c>
      <c r="Q10" s="68">
        <f t="shared" si="1"/>
        <v>200</v>
      </c>
      <c r="R10" s="68"/>
      <c r="S10" s="68">
        <f t="shared" si="1"/>
        <v>51617.35</v>
      </c>
      <c r="T10" s="68">
        <f t="shared" si="1"/>
        <v>405.52</v>
      </c>
      <c r="U10" s="68">
        <f t="shared" si="1"/>
        <v>25.35</v>
      </c>
      <c r="V10" s="68">
        <f t="shared" si="1"/>
        <v>101.38</v>
      </c>
      <c r="W10" s="68">
        <f t="shared" si="1"/>
        <v>21.12</v>
      </c>
      <c r="X10" s="68">
        <f t="shared" si="1"/>
        <v>250</v>
      </c>
      <c r="Y10" s="68">
        <f t="shared" si="1"/>
        <v>0</v>
      </c>
      <c r="Z10" s="68">
        <f t="shared" si="1"/>
        <v>803.37</v>
      </c>
      <c r="AA10" s="68">
        <f t="shared" si="1"/>
        <v>50813.98</v>
      </c>
      <c r="AB10" s="67"/>
    </row>
    <row r="11" s="61" customFormat="1" ht="303" customHeight="1" spans="1:28">
      <c r="A11" s="78" t="s">
        <v>59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</row>
    <row r="12" s="62" customFormat="1" ht="200" customHeight="1" spans="1:28">
      <c r="B12" s="62" t="s">
        <v>60</v>
      </c>
      <c r="K12" s="62" t="s">
        <v>61</v>
      </c>
      <c r="S12" s="62" t="s">
        <v>62</v>
      </c>
      <c r="W12" s="80"/>
      <c r="X12" s="80"/>
      <c r="Y12" s="62"/>
      <c r="AA12" s="62" t="s">
        <v>63</v>
      </c>
    </row>
    <row r="13" customHeight="1" spans="1:28">
      <c r="S13" s="1"/>
      <c r="W13" s="63"/>
      <c r="X13" s="63"/>
      <c r="AA13" s="1"/>
    </row>
  </sheetData>
  <mergeCells count="10">
    <mergeCell ref="A1:AB1"/>
    <mergeCell ref="B3:I3"/>
    <mergeCell ref="J3:O3"/>
    <mergeCell ref="P3:S3"/>
    <mergeCell ref="T3:Z3"/>
    <mergeCell ref="B10:C10"/>
    <mergeCell ref="A11:AB11"/>
    <mergeCell ref="A3:A4"/>
    <mergeCell ref="AA3:AA4"/>
    <mergeCell ref="AB3:AB4"/>
  </mergeCells>
  <pageMargins left="0.7" right="0.7" top="0.75" bottom="0.75" header="0.3" footer="0.3"/>
  <pageSetup paperSize="9" scale="11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1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D6" sqref="D6:AG6"/>
    </sheetView>
  </sheetViews>
  <sheetFormatPr defaultColWidth="2.88333333333333" defaultRowHeight="15" customHeight="1"/>
  <cols>
    <col min="1" max="1" width="4.83333333333333" style="10" customWidth="1"/>
    <col min="2" max="2" width="7" style="10" customWidth="1"/>
    <col min="3" max="3" width="15.6666666666667" style="10" customWidth="1"/>
    <col min="4" max="5" width="4.10833333333333" style="12" customWidth="1"/>
    <col min="6" max="10" width="4.10833333333333" style="10" customWidth="1"/>
    <col min="11" max="14" width="4.10833333333333" style="12" customWidth="1"/>
    <col min="15" max="17" width="4.10833333333333" style="10" customWidth="1"/>
    <col min="18" max="19" width="4.10833333333333" style="12" customWidth="1"/>
    <col min="20" max="24" width="4.10833333333333" style="10" customWidth="1"/>
    <col min="25" max="26" width="4.10833333333333" style="12" customWidth="1"/>
    <col min="27" max="31" width="4.10833333333333" style="10" customWidth="1"/>
    <col min="32" max="33" width="4.10833333333333" style="12" customWidth="1"/>
    <col min="34" max="34" width="4.10833333333333" style="10" customWidth="1"/>
    <col min="35" max="35" width="4.25" style="10" customWidth="1"/>
    <col min="36" max="36" width="2.88333333333333" style="10" customWidth="1"/>
    <col min="37" max="39" width="3.21666666666667" style="10"/>
    <col min="40" max="44" width="3" style="10" customWidth="1"/>
    <col min="45" max="47" width="3.125" style="10" customWidth="1"/>
    <col min="48" max="48" width="3.21666666666667" style="10" customWidth="1"/>
    <col min="49" max="51" width="3.125" style="10" customWidth="1"/>
    <col min="52" max="52" width="8.63333333333333" style="10" customWidth="1"/>
    <col min="53" max="255" width="2.88333333333333" style="10"/>
    <col min="256" max="16384" width="2.88333333333333" style="13"/>
  </cols>
  <sheetData>
    <row r="1" ht="34.5" customHeight="1" spans="1:255">
      <c r="A1" s="14">
        <v>2026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v>6</v>
      </c>
      <c r="W1" s="15"/>
      <c r="X1" s="16" t="s">
        <v>64</v>
      </c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</row>
    <row r="2" customHeight="1" spans="1:255">
      <c r="A2" s="17">
        <v>2026</v>
      </c>
      <c r="B2" s="18" t="s">
        <v>65</v>
      </c>
      <c r="C2" s="17" t="str">
        <f>工资汇总表!A4</f>
        <v>新疆通力房地产开发有限公司库尔勒分公司</v>
      </c>
      <c r="D2" s="17"/>
      <c r="E2" s="17"/>
      <c r="F2" s="17"/>
      <c r="G2" s="17"/>
      <c r="H2" s="17"/>
      <c r="I2" s="17"/>
      <c r="J2" s="19"/>
      <c r="K2" s="20"/>
      <c r="L2" s="20"/>
      <c r="M2" s="20"/>
      <c r="N2" s="20"/>
      <c r="O2" s="19"/>
      <c r="P2" s="19"/>
      <c r="Q2" s="19"/>
      <c r="R2" s="20"/>
      <c r="S2" s="20"/>
      <c r="T2" s="19"/>
      <c r="U2" s="19"/>
      <c r="V2" s="19"/>
      <c r="W2" s="19"/>
      <c r="X2" s="19"/>
      <c r="Y2" s="20"/>
      <c r="Z2" s="20"/>
      <c r="AA2" s="19"/>
      <c r="AB2" s="19"/>
      <c r="AC2" s="19"/>
      <c r="AD2" s="19"/>
      <c r="AE2" s="19"/>
      <c r="AF2" s="20"/>
      <c r="AG2" s="20"/>
      <c r="AH2" s="19"/>
      <c r="AI2" s="19"/>
      <c r="AJ2" s="21"/>
      <c r="AK2" s="22">
        <v>46206</v>
      </c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</row>
    <row r="3" s="9" customFormat="1" ht="30" customHeight="1" spans="1:255">
      <c r="A3" s="23" t="s">
        <v>31</v>
      </c>
      <c r="B3" s="23" t="s">
        <v>32</v>
      </c>
      <c r="C3" s="23" t="s">
        <v>66</v>
      </c>
      <c r="D3" s="24" t="s">
        <v>67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6"/>
      <c r="AI3" s="23" t="s">
        <v>21</v>
      </c>
      <c r="AJ3" s="23" t="s">
        <v>68</v>
      </c>
      <c r="AK3" s="27" t="s">
        <v>69</v>
      </c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3" t="s">
        <v>70</v>
      </c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</row>
    <row r="4" s="9" customFormat="1" ht="20.1" customHeight="1" spans="1:255">
      <c r="A4" s="30"/>
      <c r="B4" s="30"/>
      <c r="C4" s="30"/>
      <c r="D4" s="31">
        <f>V1</f>
        <v>6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3" t="s">
        <v>71</v>
      </c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4"/>
      <c r="AI4" s="30"/>
      <c r="AJ4" s="30"/>
      <c r="AK4" s="35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0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</row>
    <row r="5" s="9" customFormat="1" ht="78" customHeight="1" spans="1:255">
      <c r="A5" s="37"/>
      <c r="B5" s="37"/>
      <c r="C5" s="37"/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8">
        <v>8</v>
      </c>
      <c r="L5" s="38">
        <v>9</v>
      </c>
      <c r="M5" s="38">
        <v>10</v>
      </c>
      <c r="N5" s="38">
        <v>11</v>
      </c>
      <c r="O5" s="38">
        <v>12</v>
      </c>
      <c r="P5" s="38">
        <v>13</v>
      </c>
      <c r="Q5" s="38">
        <v>14</v>
      </c>
      <c r="R5" s="38">
        <v>15</v>
      </c>
      <c r="S5" s="38">
        <v>16</v>
      </c>
      <c r="T5" s="38">
        <v>17</v>
      </c>
      <c r="U5" s="38">
        <v>18</v>
      </c>
      <c r="V5" s="38">
        <v>19</v>
      </c>
      <c r="W5" s="38">
        <v>20</v>
      </c>
      <c r="X5" s="38">
        <v>21</v>
      </c>
      <c r="Y5" s="38">
        <v>22</v>
      </c>
      <c r="Z5" s="38">
        <v>23</v>
      </c>
      <c r="AA5" s="38">
        <v>24</v>
      </c>
      <c r="AB5" s="38">
        <v>25</v>
      </c>
      <c r="AC5" s="38">
        <v>26</v>
      </c>
      <c r="AD5" s="38">
        <v>27</v>
      </c>
      <c r="AE5" s="38">
        <v>28</v>
      </c>
      <c r="AF5" s="38">
        <v>29</v>
      </c>
      <c r="AG5" s="38">
        <v>30</v>
      </c>
      <c r="AH5" s="38">
        <v>31</v>
      </c>
      <c r="AI5" s="37"/>
      <c r="AJ5" s="37"/>
      <c r="AK5" s="83" t="s">
        <v>72</v>
      </c>
      <c r="AL5" s="39" t="s">
        <v>73</v>
      </c>
      <c r="AM5" s="39" t="s">
        <v>74</v>
      </c>
      <c r="AN5" s="39" t="s">
        <v>75</v>
      </c>
      <c r="AO5" s="39" t="s">
        <v>76</v>
      </c>
      <c r="AP5" s="39" t="s">
        <v>77</v>
      </c>
      <c r="AQ5" s="39" t="s">
        <v>78</v>
      </c>
      <c r="AR5" s="39" t="s">
        <v>79</v>
      </c>
      <c r="AS5" s="40" t="s">
        <v>80</v>
      </c>
      <c r="AT5" s="40" t="s">
        <v>81</v>
      </c>
      <c r="AU5" s="40" t="s">
        <v>82</v>
      </c>
      <c r="AV5" s="40" t="s">
        <v>83</v>
      </c>
      <c r="AW5" s="40" t="s">
        <v>84</v>
      </c>
      <c r="AX5" s="40" t="s">
        <v>85</v>
      </c>
      <c r="AY5" s="40" t="s">
        <v>86</v>
      </c>
      <c r="AZ5" s="37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</row>
    <row r="6" s="10" customFormat="1" ht="32" customHeight="1" spans="1:255">
      <c r="A6" s="41">
        <v>1</v>
      </c>
      <c r="B6" s="42" t="str">
        <f>工资表!B5</f>
        <v>余晓川</v>
      </c>
      <c r="C6" s="43" t="str">
        <f>工资表!C5</f>
        <v>法人代表</v>
      </c>
      <c r="D6" s="44" t="s">
        <v>87</v>
      </c>
      <c r="E6" s="44" t="s">
        <v>87</v>
      </c>
      <c r="F6" s="44" t="s">
        <v>87</v>
      </c>
      <c r="G6" s="44" t="s">
        <v>87</v>
      </c>
      <c r="H6" s="44" t="s">
        <v>87</v>
      </c>
      <c r="I6" s="44" t="s">
        <v>74</v>
      </c>
      <c r="J6" s="44" t="s">
        <v>74</v>
      </c>
      <c r="K6" s="44" t="s">
        <v>87</v>
      </c>
      <c r="L6" s="44" t="s">
        <v>87</v>
      </c>
      <c r="M6" s="44" t="s">
        <v>87</v>
      </c>
      <c r="N6" s="44" t="s">
        <v>87</v>
      </c>
      <c r="O6" s="44" t="s">
        <v>87</v>
      </c>
      <c r="P6" s="44" t="s">
        <v>74</v>
      </c>
      <c r="Q6" s="44" t="s">
        <v>74</v>
      </c>
      <c r="R6" s="44" t="s">
        <v>87</v>
      </c>
      <c r="S6" s="44" t="s">
        <v>87</v>
      </c>
      <c r="T6" s="44" t="s">
        <v>87</v>
      </c>
      <c r="U6" s="44" t="s">
        <v>87</v>
      </c>
      <c r="V6" s="44" t="s">
        <v>74</v>
      </c>
      <c r="W6" s="44" t="s">
        <v>74</v>
      </c>
      <c r="X6" s="44" t="s">
        <v>74</v>
      </c>
      <c r="Y6" s="44" t="s">
        <v>87</v>
      </c>
      <c r="Z6" s="44" t="s">
        <v>87</v>
      </c>
      <c r="AA6" s="44" t="s">
        <v>87</v>
      </c>
      <c r="AB6" s="44" t="s">
        <v>87</v>
      </c>
      <c r="AC6" s="44" t="s">
        <v>87</v>
      </c>
      <c r="AD6" s="44" t="s">
        <v>74</v>
      </c>
      <c r="AE6" s="44" t="s">
        <v>74</v>
      </c>
      <c r="AF6" s="44" t="s">
        <v>87</v>
      </c>
      <c r="AG6" s="44" t="s">
        <v>87</v>
      </c>
      <c r="AH6" s="44"/>
      <c r="AI6" s="45">
        <f>AK6+AL6+AR6</f>
        <v>21</v>
      </c>
      <c r="AJ6" s="45">
        <f>AM6</f>
        <v>9</v>
      </c>
      <c r="AK6" s="46">
        <f>COUNTIF($D6:$AH6,"√")</f>
        <v>21</v>
      </c>
      <c r="AL6" s="46">
        <f>COUNTIF($D6:$AH6,"出差")</f>
        <v>0</v>
      </c>
      <c r="AM6" s="46">
        <f>COUNTIF($D6:$AH6,"公休")</f>
        <v>9</v>
      </c>
      <c r="AN6" s="46">
        <f>COUNTIF($D6:$AH6,"病假")</f>
        <v>0</v>
      </c>
      <c r="AO6" s="46">
        <f>COUNTIF($D6:$AH6,"事假")</f>
        <v>0</v>
      </c>
      <c r="AP6" s="46">
        <f>COUNTIF($D6:$AH6,"旷工")</f>
        <v>0</v>
      </c>
      <c r="AQ6" s="46">
        <f>COUNTIF($D6:$AH6,"工伤")</f>
        <v>0</v>
      </c>
      <c r="AR6" s="46">
        <f>COUNTIF($D6:$AH6,"培训")</f>
        <v>0</v>
      </c>
      <c r="AS6" s="46">
        <f>COUNTIF($D6:$AH6,"冬休")</f>
        <v>0</v>
      </c>
      <c r="AT6" s="46">
        <f>COUNTIF($D6:$AH6,"休假")</f>
        <v>0</v>
      </c>
      <c r="AU6" s="46">
        <f>COUNTIF($D6:$AH6,"探亲")</f>
        <v>0</v>
      </c>
      <c r="AV6" s="46">
        <f>COUNTIF($D6:$AH6,"产假")</f>
        <v>0</v>
      </c>
      <c r="AW6" s="46">
        <f>COUNTIF($D6:$AH6,"陪护假")</f>
        <v>0</v>
      </c>
      <c r="AX6" s="46">
        <f>COUNTIF($D6:$AH6,"婚丧假")</f>
        <v>0</v>
      </c>
      <c r="AY6" s="46">
        <f>COUNTIF($D6:$AH6,"待岗")</f>
        <v>0</v>
      </c>
      <c r="AZ6" s="47"/>
    </row>
    <row r="7" s="10" customFormat="1" ht="32" customHeight="1" spans="1:255">
      <c r="A7" s="41">
        <v>3</v>
      </c>
      <c r="B7" s="42" t="str">
        <f>工资表!B6</f>
        <v>陈江玲</v>
      </c>
      <c r="C7" s="43" t="str">
        <f>工资表!C6</f>
        <v>置业顾问</v>
      </c>
      <c r="D7" s="44" t="s">
        <v>87</v>
      </c>
      <c r="E7" s="44" t="s">
        <v>87</v>
      </c>
      <c r="F7" s="44" t="s">
        <v>87</v>
      </c>
      <c r="G7" s="44" t="s">
        <v>87</v>
      </c>
      <c r="H7" s="44" t="s">
        <v>87</v>
      </c>
      <c r="I7" s="44" t="s">
        <v>87</v>
      </c>
      <c r="J7" s="44" t="s">
        <v>87</v>
      </c>
      <c r="K7" s="44" t="s">
        <v>74</v>
      </c>
      <c r="L7" s="44" t="s">
        <v>87</v>
      </c>
      <c r="M7" s="44" t="s">
        <v>87</v>
      </c>
      <c r="N7" s="44" t="s">
        <v>87</v>
      </c>
      <c r="O7" s="44" t="s">
        <v>87</v>
      </c>
      <c r="P7" s="44" t="s">
        <v>87</v>
      </c>
      <c r="Q7" s="44" t="s">
        <v>87</v>
      </c>
      <c r="R7" s="44" t="s">
        <v>87</v>
      </c>
      <c r="S7" s="44" t="s">
        <v>87</v>
      </c>
      <c r="T7" s="44" t="s">
        <v>87</v>
      </c>
      <c r="U7" s="44" t="s">
        <v>74</v>
      </c>
      <c r="V7" s="44" t="s">
        <v>87</v>
      </c>
      <c r="W7" s="44" t="s">
        <v>87</v>
      </c>
      <c r="X7" s="44" t="s">
        <v>87</v>
      </c>
      <c r="Y7" s="44" t="s">
        <v>87</v>
      </c>
      <c r="Z7" s="44" t="s">
        <v>87</v>
      </c>
      <c r="AA7" s="44" t="s">
        <v>87</v>
      </c>
      <c r="AB7" s="44" t="s">
        <v>74</v>
      </c>
      <c r="AC7" s="44" t="s">
        <v>87</v>
      </c>
      <c r="AD7" s="44" t="s">
        <v>87</v>
      </c>
      <c r="AE7" s="44" t="s">
        <v>87</v>
      </c>
      <c r="AF7" s="44" t="s">
        <v>87</v>
      </c>
      <c r="AG7" s="44" t="s">
        <v>74</v>
      </c>
      <c r="AH7" s="44"/>
      <c r="AI7" s="45">
        <f>AK7+AL7+AR7</f>
        <v>26</v>
      </c>
      <c r="AJ7" s="45">
        <f>AM7</f>
        <v>4</v>
      </c>
      <c r="AK7" s="46">
        <f>COUNTIF($D7:$AH7,"√")</f>
        <v>26</v>
      </c>
      <c r="AL7" s="46">
        <f>COUNTIF($D7:$AH7,"出差")</f>
        <v>0</v>
      </c>
      <c r="AM7" s="46">
        <f>COUNTIF($D7:$AH7,"公休")</f>
        <v>4</v>
      </c>
      <c r="AN7" s="46">
        <f>COUNTIF($D7:$AH7,"病假")</f>
        <v>0</v>
      </c>
      <c r="AO7" s="46">
        <f>COUNTIF($D7:$AH7,"事假")</f>
        <v>0</v>
      </c>
      <c r="AP7" s="46">
        <f>COUNTIF($D7:$AH7,"旷工")</f>
        <v>0</v>
      </c>
      <c r="AQ7" s="46">
        <f>COUNTIF($D7:$AH7,"工伤")</f>
        <v>0</v>
      </c>
      <c r="AR7" s="46">
        <f>COUNTIF($D7:$AH7,"培训")</f>
        <v>0</v>
      </c>
      <c r="AS7" s="46">
        <f>COUNTIF($D7:$AH7,"冬休")</f>
        <v>0</v>
      </c>
      <c r="AT7" s="46">
        <f>COUNTIF($D7:$AH7,"休假")</f>
        <v>0</v>
      </c>
      <c r="AU7" s="46">
        <f>COUNTIF($D7:$AH7,"探亲")</f>
        <v>0</v>
      </c>
      <c r="AV7" s="46">
        <f>COUNTIF($D7:$AH7,"产假")</f>
        <v>0</v>
      </c>
      <c r="AW7" s="46">
        <f>COUNTIF($D7:$AH7,"陪护假")</f>
        <v>0</v>
      </c>
      <c r="AX7" s="46">
        <f>COUNTIF($D7:$AH7,"婚丧假")</f>
        <v>0</v>
      </c>
      <c r="AY7" s="46">
        <f>COUNTIF($D7:$AH7,"待岗")</f>
        <v>0</v>
      </c>
      <c r="AZ7" s="47"/>
    </row>
    <row r="8" s="10" customFormat="1" ht="32" customHeight="1" spans="1:255">
      <c r="A8" s="41">
        <v>4</v>
      </c>
      <c r="B8" s="42" t="str">
        <f>工资表!B9</f>
        <v>胡正辉</v>
      </c>
      <c r="C8" s="43" t="str">
        <f>工资表!C9</f>
        <v>置业顾问</v>
      </c>
      <c r="D8" s="44" t="s">
        <v>87</v>
      </c>
      <c r="E8" s="44" t="s">
        <v>87</v>
      </c>
      <c r="F8" s="44" t="s">
        <v>87</v>
      </c>
      <c r="G8" s="44" t="s">
        <v>74</v>
      </c>
      <c r="H8" s="44" t="s">
        <v>87</v>
      </c>
      <c r="I8" s="44" t="s">
        <v>87</v>
      </c>
      <c r="J8" s="44" t="s">
        <v>87</v>
      </c>
      <c r="K8" s="44" t="s">
        <v>87</v>
      </c>
      <c r="L8" s="44" t="s">
        <v>87</v>
      </c>
      <c r="M8" s="44" t="s">
        <v>87</v>
      </c>
      <c r="N8" s="44" t="s">
        <v>74</v>
      </c>
      <c r="O8" s="44" t="s">
        <v>87</v>
      </c>
      <c r="P8" s="44" t="s">
        <v>87</v>
      </c>
      <c r="Q8" s="44" t="s">
        <v>87</v>
      </c>
      <c r="R8" s="44" t="s">
        <v>87</v>
      </c>
      <c r="S8" s="44" t="s">
        <v>87</v>
      </c>
      <c r="T8" s="44" t="s">
        <v>87</v>
      </c>
      <c r="U8" s="44" t="s">
        <v>74</v>
      </c>
      <c r="V8" s="44" t="s">
        <v>87</v>
      </c>
      <c r="W8" s="44" t="s">
        <v>87</v>
      </c>
      <c r="X8" s="44" t="s">
        <v>87</v>
      </c>
      <c r="Y8" s="44" t="s">
        <v>87</v>
      </c>
      <c r="Z8" s="44" t="s">
        <v>87</v>
      </c>
      <c r="AA8" s="44" t="s">
        <v>87</v>
      </c>
      <c r="AB8" s="44" t="s">
        <v>87</v>
      </c>
      <c r="AC8" s="44" t="s">
        <v>74</v>
      </c>
      <c r="AD8" s="44" t="s">
        <v>87</v>
      </c>
      <c r="AE8" s="44" t="s">
        <v>87</v>
      </c>
      <c r="AF8" s="44" t="s">
        <v>87</v>
      </c>
      <c r="AG8" s="44" t="s">
        <v>87</v>
      </c>
      <c r="AH8" s="44"/>
      <c r="AI8" s="48">
        <f>AK8+AL8+AR8</f>
        <v>26</v>
      </c>
      <c r="AJ8" s="48">
        <f>AM8</f>
        <v>4</v>
      </c>
      <c r="AK8" s="46">
        <f>COUNTIF($D8:$AH8,"√")</f>
        <v>26</v>
      </c>
      <c r="AL8" s="46">
        <f>COUNTIF($D8:$AH8,"出差")</f>
        <v>0</v>
      </c>
      <c r="AM8" s="46">
        <f>COUNTIF($D8:$AH8,"公休")</f>
        <v>4</v>
      </c>
      <c r="AN8" s="46">
        <f>COUNTIF($D8:$AH8,"病假")</f>
        <v>0</v>
      </c>
      <c r="AO8" s="46">
        <f>COUNTIF($D8:$AH8,"事假")</f>
        <v>0</v>
      </c>
      <c r="AP8" s="46">
        <f>COUNTIF($D8:$AH8,"旷工")</f>
        <v>0</v>
      </c>
      <c r="AQ8" s="46">
        <f>COUNTIF($D8:$AH8,"工伤")</f>
        <v>0</v>
      </c>
      <c r="AR8" s="46">
        <f>COUNTIF($D8:$AH8,"培训")</f>
        <v>0</v>
      </c>
      <c r="AS8" s="46">
        <f>COUNTIF($D8:$AH8,"冬休")</f>
        <v>0</v>
      </c>
      <c r="AT8" s="46">
        <f>COUNTIF($D8:$AH8,"休假")</f>
        <v>0</v>
      </c>
      <c r="AU8" s="46">
        <f>COUNTIF($D8:$AH8,"探亲")</f>
        <v>0</v>
      </c>
      <c r="AV8" s="46">
        <f>COUNTIF($D8:$AH8,"产假")</f>
        <v>0</v>
      </c>
      <c r="AW8" s="46">
        <f>COUNTIF($D8:$AH8,"陪护假")</f>
        <v>0</v>
      </c>
      <c r="AX8" s="46">
        <f>COUNTIF($D8:$AH8,"婚丧假")</f>
        <v>0</v>
      </c>
      <c r="AY8" s="46">
        <f>COUNTIF($D8:$AH8,"待岗")</f>
        <v>0</v>
      </c>
      <c r="AZ8" s="47"/>
    </row>
    <row r="9" s="11" customFormat="1" ht="20" customHeight="1" spans="1:255">
      <c r="A9" s="10"/>
      <c r="B9" s="49" t="s">
        <v>88</v>
      </c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2"/>
      <c r="AJ9" s="53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4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</row>
    <row r="10" ht="24" customHeight="1" spans="1:255">
      <c r="D10" s="10"/>
      <c r="E10" s="10" t="s">
        <v>60</v>
      </c>
      <c r="K10" s="10"/>
      <c r="L10" s="10"/>
      <c r="M10" s="10"/>
      <c r="N10" s="10"/>
      <c r="R10" s="10"/>
      <c r="S10" s="10"/>
      <c r="U10" s="55"/>
      <c r="V10" s="55" t="s">
        <v>62</v>
      </c>
      <c r="Y10" s="10"/>
      <c r="Z10" s="10"/>
      <c r="AF10" s="10"/>
      <c r="AG10" s="10"/>
      <c r="AI10" s="10" t="s">
        <v>63</v>
      </c>
    </row>
    <row r="11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showZeros="0" workbookViewId="0">
      <selection activeCell="E16" sqref="E16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5" customWidth="1"/>
    <col min="5" max="5" width="18.5083333333333" style="5" customWidth="1"/>
    <col min="6" max="6" width="12.625" style="5"/>
    <col min="7" max="7" width="10.875" style="1" customWidth="1"/>
    <col min="8" max="16384" width="9" style="1"/>
  </cols>
  <sheetData>
    <row r="1" ht="15" customHeight="1"/>
    <row r="2" ht="15" customHeight="1" spans="1:7">
      <c r="A2" s="6" t="s">
        <v>31</v>
      </c>
      <c r="B2" s="6" t="s">
        <v>32</v>
      </c>
      <c r="C2" s="6" t="s">
        <v>21</v>
      </c>
      <c r="D2" s="7" t="s">
        <v>8</v>
      </c>
      <c r="E2" s="7" t="s">
        <v>89</v>
      </c>
      <c r="F2" s="7" t="s">
        <v>90</v>
      </c>
      <c r="G2" s="6" t="s">
        <v>5</v>
      </c>
    </row>
    <row r="3" ht="15" customHeight="1" spans="1:7">
      <c r="A3" s="2">
        <v>1</v>
      </c>
      <c r="B3" s="2" t="e">
        <f>工资表!#REF!</f>
        <v>#REF!</v>
      </c>
      <c r="C3" s="2" t="e">
        <f>工资表!#REF!</f>
        <v>#REF!</v>
      </c>
      <c r="D3" s="8" t="e">
        <f>(VLOOKUP(B3,工资表!#REF!,6,0)+VLOOKUP(B3,工资表!#REF!,7,0))/工资表!#REF!*VLOOKUP(B3,考勤!#REF!,34,0)</f>
        <v>#REF!</v>
      </c>
      <c r="E3" s="8" t="e">
        <f>VLOOKUP(B3,工资表!#REF!,18,0)</f>
        <v>#REF!</v>
      </c>
      <c r="F3" s="8" t="e">
        <f>D3-E3</f>
        <v>#REF!</v>
      </c>
      <c r="G3" s="2"/>
    </row>
    <row r="4" ht="15" customHeight="1" spans="1:7">
      <c r="A4" s="2">
        <v>2</v>
      </c>
      <c r="B4" s="2" t="str">
        <f>工资表!B5</f>
        <v>余晓川</v>
      </c>
      <c r="C4" s="2">
        <f>工资表!R5</f>
        <v>21</v>
      </c>
      <c r="D4" s="8">
        <f>(VLOOKUP(B4,工资表!B5:G5,6,0)+VLOOKUP(B4,工资表!B5:H5,7,0))/工资表!F5*VLOOKUP(B4,考勤!B6:AI6,34,0)</f>
        <v>0</v>
      </c>
      <c r="E4" s="8">
        <f>VLOOKUP(B4,工资表!B5:S5,18,0)</f>
        <v>800</v>
      </c>
      <c r="F4" s="8">
        <f t="shared" ref="F4:F16" si="0">D4-E4</f>
        <v>-800</v>
      </c>
      <c r="G4" s="2" t="s">
        <v>91</v>
      </c>
    </row>
    <row r="5" ht="15" customHeight="1" spans="1:7">
      <c r="A5" s="2">
        <v>3</v>
      </c>
      <c r="B5" s="2" t="e">
        <f>工资表!#REF!</f>
        <v>#REF!</v>
      </c>
      <c r="C5" s="2" t="e">
        <f>工资表!#REF!</f>
        <v>#REF!</v>
      </c>
      <c r="D5" s="8" t="e">
        <f>(VLOOKUP(B5,工资表!#REF!,6,0)+VLOOKUP(B5,工资表!#REF!,7,0))/工资表!#REF!*VLOOKUP(B5,考勤!B8:AI8,34,0)</f>
        <v>#REF!</v>
      </c>
      <c r="E5" s="8" t="e">
        <f>VLOOKUP(B5,工资表!#REF!,18,0)</f>
        <v>#REF!</v>
      </c>
      <c r="F5" s="8" t="e">
        <f t="shared" si="0"/>
        <v>#REF!</v>
      </c>
      <c r="G5" s="2" t="s">
        <v>17</v>
      </c>
    </row>
    <row r="6" ht="15" customHeight="1" spans="1:7">
      <c r="A6" s="2">
        <v>4</v>
      </c>
      <c r="B6" s="2" t="str">
        <f>工资表!B6</f>
        <v>陈江玲</v>
      </c>
      <c r="C6" s="2">
        <f>工资表!R6</f>
        <v>26</v>
      </c>
      <c r="D6" s="8" t="e">
        <f>(VLOOKUP(B6,工资表!B6:G6,6,0)+VLOOKUP(B6,工资表!B6:H6,7,0))/工资表!F6*VLOOKUP(B6,考勤!#REF!,34,0)</f>
        <v>#REF!</v>
      </c>
      <c r="E6" s="8">
        <f>VLOOKUP(B6,工资表!B6:S6,18,0)</f>
        <v>36870.72</v>
      </c>
      <c r="F6" s="8" t="e">
        <f t="shared" si="0"/>
        <v>#REF!</v>
      </c>
      <c r="G6" s="2"/>
    </row>
    <row r="7" ht="19" customHeight="1" spans="1:7">
      <c r="A7" s="2">
        <v>5</v>
      </c>
      <c r="B7" s="2" t="e">
        <f>工资表!#REF!</f>
        <v>#REF!</v>
      </c>
      <c r="C7" s="2" t="e">
        <f>工资表!#REF!</f>
        <v>#REF!</v>
      </c>
      <c r="D7" s="8" t="e">
        <f>(VLOOKUP(B7,工资表!#REF!,6,0)+VLOOKUP(B7,工资表!#REF!,7,0))/工资表!#REF!*VLOOKUP(B7,考勤!#REF!,34,0)</f>
        <v>#REF!</v>
      </c>
      <c r="E7" s="8" t="e">
        <f>VLOOKUP(B7,工资表!#REF!,18,0)</f>
        <v>#REF!</v>
      </c>
      <c r="F7" s="8" t="e">
        <f t="shared" si="0"/>
        <v>#REF!</v>
      </c>
      <c r="G7" s="2" t="s">
        <v>17</v>
      </c>
    </row>
    <row r="8" customHeight="1" spans="1:7">
      <c r="A8" s="2">
        <v>6</v>
      </c>
      <c r="B8" s="2" t="e">
        <f>工资表!#REF!</f>
        <v>#REF!</v>
      </c>
      <c r="C8" s="2" t="e">
        <f>工资表!#REF!</f>
        <v>#REF!</v>
      </c>
      <c r="D8" s="8" t="e">
        <f>(VLOOKUP(B8,工资表!#REF!,6,0)+VLOOKUP(B8,工资表!#REF!,7,0))/工资表!#REF!*VLOOKUP(B8,考勤!#REF!,34,0)</f>
        <v>#REF!</v>
      </c>
      <c r="E8" s="8" t="e">
        <f>VLOOKUP(B8,工资表!#REF!,18,0)</f>
        <v>#REF!</v>
      </c>
      <c r="F8" s="8" t="e">
        <f t="shared" si="0"/>
        <v>#REF!</v>
      </c>
      <c r="G8" s="2" t="s">
        <v>17</v>
      </c>
    </row>
    <row r="9" customHeight="1" spans="1:7">
      <c r="A9" s="2">
        <v>7</v>
      </c>
      <c r="B9" s="2" t="e">
        <f>工资表!#REF!</f>
        <v>#REF!</v>
      </c>
      <c r="C9" s="2" t="e">
        <f>工资表!#REF!</f>
        <v>#REF!</v>
      </c>
      <c r="D9" s="8" t="e">
        <f>(VLOOKUP(B9,工资表!#REF!,6,0)+VLOOKUP(B9,工资表!#REF!,7,0))/工资表!#REF!*VLOOKUP(B9,考勤!#REF!,34,0)</f>
        <v>#REF!</v>
      </c>
      <c r="E9" s="8" t="e">
        <f>VLOOKUP(B9,工资表!#REF!,18,0)</f>
        <v>#REF!</v>
      </c>
      <c r="F9" s="8" t="e">
        <f t="shared" si="0"/>
        <v>#REF!</v>
      </c>
      <c r="G9" s="2" t="s">
        <v>17</v>
      </c>
    </row>
    <row r="10" customHeight="1" spans="1:7">
      <c r="A10" s="2">
        <v>8</v>
      </c>
      <c r="B10" s="2" t="e">
        <f>工资表!#REF!</f>
        <v>#REF!</v>
      </c>
      <c r="C10" s="2" t="e">
        <f>工资表!#REF!</f>
        <v>#REF!</v>
      </c>
      <c r="D10" s="8" t="e">
        <f>(VLOOKUP(B10,工资表!#REF!,6,0)+VLOOKUP(B10,工资表!#REF!,7,0))/工资表!#REF!*VLOOKUP(B10,考勤!#REF!,34,0)</f>
        <v>#REF!</v>
      </c>
      <c r="E10" s="8" t="e">
        <f>VLOOKUP(B10,工资表!#REF!,18,0)</f>
        <v>#REF!</v>
      </c>
      <c r="F10" s="8" t="e">
        <f t="shared" si="0"/>
        <v>#REF!</v>
      </c>
      <c r="G10" s="2" t="s">
        <v>17</v>
      </c>
    </row>
    <row r="11" customHeight="1" spans="1:7">
      <c r="A11" s="2">
        <v>9</v>
      </c>
      <c r="B11" s="2" t="str">
        <f>工资表!B9</f>
        <v>胡正辉</v>
      </c>
      <c r="C11" s="2">
        <f>工资表!R9</f>
        <v>26</v>
      </c>
      <c r="D11" s="8" t="e">
        <f>(VLOOKUP(B11,工资表!B9:G9,6,0)+VLOOKUP(B11,工资表!B9:H9,7,0))/工资表!F9*VLOOKUP(B11,考勤!#REF!,34,0)</f>
        <v>#REF!</v>
      </c>
      <c r="E11" s="8">
        <f>VLOOKUP(B11,工资表!B9:S9,18,0)</f>
        <v>7922.6</v>
      </c>
      <c r="F11" s="8" t="e">
        <f t="shared" si="0"/>
        <v>#REF!</v>
      </c>
      <c r="G11" s="2"/>
    </row>
    <row r="12" customHeight="1" spans="1:7">
      <c r="A12" s="2">
        <v>10</v>
      </c>
      <c r="B12" s="2" t="e">
        <f>工资表!#REF!</f>
        <v>#REF!</v>
      </c>
      <c r="C12" s="2" t="e">
        <f>工资表!#REF!</f>
        <v>#REF!</v>
      </c>
      <c r="D12" s="8" t="e">
        <f>(VLOOKUP(B12,工资表!#REF!,6,0)+VLOOKUP(B12,工资表!#REF!,7,0))/工资表!#REF!*VLOOKUP(B12,考勤!#REF!,34,0)</f>
        <v>#REF!</v>
      </c>
      <c r="E12" s="8" t="e">
        <f>VLOOKUP(B12,工资表!#REF!,18,0)</f>
        <v>#REF!</v>
      </c>
      <c r="F12" s="8" t="e">
        <f t="shared" si="0"/>
        <v>#REF!</v>
      </c>
      <c r="G12" s="2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A11" sqref="$A11:$XFD11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92</v>
      </c>
      <c r="C2" s="2" t="s">
        <v>93</v>
      </c>
      <c r="D2" s="2" t="s">
        <v>94</v>
      </c>
      <c r="E2" s="2" t="s">
        <v>95</v>
      </c>
    </row>
    <row r="3" customHeight="1" spans="2:5">
      <c r="B3" s="2" t="s">
        <v>96</v>
      </c>
      <c r="C3" s="3">
        <v>1</v>
      </c>
      <c r="D3" s="2">
        <v>0</v>
      </c>
      <c r="E3" s="2">
        <v>0</v>
      </c>
    </row>
    <row r="4" customHeight="1" spans="2:5">
      <c r="B4" s="2" t="s">
        <v>97</v>
      </c>
      <c r="C4" s="4">
        <v>0.375</v>
      </c>
      <c r="D4" s="4">
        <v>0.375</v>
      </c>
      <c r="E4" s="3">
        <v>0.25</v>
      </c>
    </row>
    <row r="5" customHeight="1" spans="2:5">
      <c r="B5" s="2" t="s">
        <v>98</v>
      </c>
      <c r="C5" s="4">
        <v>0.375</v>
      </c>
      <c r="D5" s="4">
        <v>0.375</v>
      </c>
      <c r="E5" s="3">
        <v>0.25</v>
      </c>
    </row>
    <row r="6" customHeight="1" spans="2:5">
      <c r="B6" s="2" t="s">
        <v>99</v>
      </c>
      <c r="C6" s="4">
        <v>0.375</v>
      </c>
      <c r="D6" s="4">
        <v>0.375</v>
      </c>
      <c r="E6" s="3">
        <v>0.25</v>
      </c>
    </row>
    <row r="7" customHeight="1" spans="2:5">
      <c r="B7" s="2" t="s">
        <v>100</v>
      </c>
      <c r="C7" s="4">
        <v>0.375</v>
      </c>
      <c r="D7" s="4">
        <v>0.375</v>
      </c>
      <c r="E7" s="3">
        <v>0.25</v>
      </c>
    </row>
    <row r="8" customHeight="1" spans="2:5">
      <c r="B8" s="2" t="s">
        <v>101</v>
      </c>
      <c r="C8" s="3">
        <v>0.48</v>
      </c>
      <c r="D8" s="3">
        <v>0.32</v>
      </c>
      <c r="E8" s="3">
        <v>0.2</v>
      </c>
    </row>
    <row r="9" customHeight="1" spans="2:5">
      <c r="B9" s="2" t="s">
        <v>102</v>
      </c>
      <c r="C9" s="3">
        <v>0.48</v>
      </c>
      <c r="D9" s="3">
        <v>0.32</v>
      </c>
      <c r="E9" s="3">
        <v>0.2</v>
      </c>
    </row>
    <row r="10" customHeight="1" spans="2:5">
      <c r="B10" s="2" t="s">
        <v>103</v>
      </c>
      <c r="C10" s="3">
        <v>0.48</v>
      </c>
      <c r="D10" s="3">
        <v>0.32</v>
      </c>
      <c r="E10" s="3">
        <v>0.2</v>
      </c>
    </row>
    <row r="11" customHeight="1" spans="2:5">
      <c r="B11" s="2" t="s">
        <v>104</v>
      </c>
      <c r="C11" s="3">
        <v>0.7</v>
      </c>
      <c r="D11" s="3">
        <v>0.3</v>
      </c>
      <c r="E11" s="3">
        <v>0</v>
      </c>
    </row>
    <row r="12" customHeight="1" spans="2:5">
      <c r="B12" s="2" t="s">
        <v>56</v>
      </c>
      <c r="C12" s="3">
        <v>0.8</v>
      </c>
      <c r="D12" s="3">
        <v>0.2</v>
      </c>
      <c r="E12" s="3">
        <v>0</v>
      </c>
    </row>
    <row r="13" customHeight="1" spans="2:5">
      <c r="B13" s="2" t="s">
        <v>51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香水百合</cp:lastModifiedBy>
  <dcterms:created xsi:type="dcterms:W3CDTF">2023-05-12T11:15:00Z</dcterms:created>
  <dcterms:modified xsi:type="dcterms:W3CDTF">2026-07-06T11:41:11Z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32EA88910C2E4344B0B6DC4BD8B01C62_13</vt:lpwstr>
  </property>
  <property fmtid="{D5CDD505-2E9C-101B-9397-08002B2CF9AE}" pid="5" name="CalculationRule">
    <vt:i4>0</vt:i4>
  </property>
</Properties>
</file>