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考勤!$A$5:$AY$10</definedName>
    <definedName name="_xlnm.Print_Area" localSheetId="2">考勤!$A$1:$AZ$21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<sst xmlns="http://schemas.openxmlformats.org/spreadsheetml/2006/main" count="543" uniqueCount="116">
  <si>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</si>
  <si>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</si>
  <si>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</si>
  <si>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</si>
  <si>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</si>
  <si>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</si>
  <si>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</si>
  <si>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</si>
  <si>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</si>
  <si>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</si>
  <si>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</si>
  <si>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</si>
  <si>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</si>
  <si>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</si>
  <si>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</si>
  <si>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</si>
  <si>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</si>
  <si>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</si>
  <si>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</si>
  <si>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</si>
  <si>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</si>
  <si>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</si>
  <si>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</si>
  <si>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</si>
  <si>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</si>
  <si>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</si>
  <si>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</si>
  <si>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</si>
  <si>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</si>
  <si>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</si>
  <si>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新疆通力房地产开发有限公司库尔勒二分公司2026年6月工资表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</si>
  <si>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</si>
  <si>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</si>
  <si>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</si>
  <si>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</si>
  <si>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</si>
  <si>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</si>
  <si>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</si>
  <si>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</si>
  <si>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未打卡一次</t>
  </si>
  <si>
    <t>杨文杰</t>
  </si>
  <si>
    <t>工程管理部副经理</t>
  </si>
  <si>
    <t>M2</t>
  </si>
  <si>
    <t>迟到一次</t>
  </si>
  <si>
    <t>徐惠蓉</t>
  </si>
  <si>
    <t>投资开发部副经理</t>
  </si>
  <si>
    <t>沈陈瑾慧</t>
  </si>
  <si>
    <t>会计</t>
  </si>
  <si>
    <t>PB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</si>
  <si>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</si>
  <si>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</si>
  <si>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</si>
  <si>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</si>
  <si>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</si>
  <si>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</si>
  <si>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</si>
  <si>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</si>
  <si>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</si>
  <si>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</si>
  <si>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</si>
  <si>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</si>
  <si>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</si>
  <si>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</si>
  <si>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王跃敏</t>
  </si>
  <si>
    <t>保洁</t>
  </si>
  <si>
    <t>PA</t>
  </si>
  <si>
    <t>闫金秀</t>
  </si>
  <si>
    <t>置业顾问</t>
  </si>
  <si>
    <t>王玉慧</t>
  </si>
  <si>
    <t>营销经理</t>
  </si>
  <si>
    <t>合计</t>
  </si>
  <si>
    <t>注：</t>
  </si>
  <si>
    <t>本月中层管理人员预留全额工资15%；徐惠蓉、管丽萍、高建梅其他项为法人补助；白媛媛其他项为产权证办理27户*30元/户费用；刘科、周佳奇、温进、杨文杰其他项为证件费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</si>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</sst>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43" fontId="14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 shrinkToFit="1"/>
    </xf>
    <xf numFmtId="0" fontId="18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C4" sqref="C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工资表!A17</f>
        <v>14</v>
      </c>
      <c r="C4" s="87">
        <f>工资表!E18</f>
        <v>136200</v>
      </c>
      <c r="D4" s="87"/>
      <c r="E4" s="87">
        <f>工资表!G18</f>
        <v>89240</v>
      </c>
      <c r="F4" s="87">
        <f>工资表!H18</f>
        <v>36760</v>
      </c>
      <c r="G4" s="87">
        <f>工资表!I18</f>
        <v>10200</v>
      </c>
      <c r="H4" s="87">
        <f>工资表!J18</f>
        <v>0</v>
      </c>
      <c r="I4" s="87">
        <f>工资表!K18</f>
        <v>-2062</v>
      </c>
      <c r="J4" s="87"/>
      <c r="K4" s="87">
        <f>工资表!M18</f>
        <v>33140</v>
      </c>
      <c r="L4" s="87">
        <f>工资表!N18</f>
        <v>9620.34</v>
      </c>
      <c r="M4" s="87">
        <f>工资表!O18</f>
        <v>40698.34</v>
      </c>
      <c r="N4" s="87">
        <f>工资表!P18</f>
        <v>0</v>
      </c>
      <c r="O4" s="87">
        <f>工资表!Q18</f>
        <v>0</v>
      </c>
      <c r="P4" s="87"/>
      <c r="Q4" s="87">
        <f>工资表!S18</f>
        <v>166698.34</v>
      </c>
      <c r="R4" s="87">
        <f>工资表!T18</f>
        <v>4055.2</v>
      </c>
      <c r="S4" s="87">
        <f>工资表!U18</f>
        <v>253.5</v>
      </c>
      <c r="T4" s="87">
        <f>工资表!V18</f>
        <v>1013.8</v>
      </c>
      <c r="U4" s="87">
        <f>工资表!W18</f>
        <v>193.19</v>
      </c>
      <c r="V4" s="87">
        <f>工资表!X18</f>
        <v>2700</v>
      </c>
      <c r="W4" s="87">
        <f>工资表!Y18</f>
        <v>3614.39</v>
      </c>
      <c r="X4" s="87">
        <f>工资表!Z18</f>
        <v>11830.08</v>
      </c>
      <c r="Y4" s="87">
        <f>工资表!AA18</f>
        <v>154868.26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1"/>
  <sheetViews>
    <sheetView showZeros="0" tabSelected="1" zoomScale="50" zoomScaleNormal="50" workbookViewId="0">
      <pane xSplit="3" topLeftCell="J1" activePane="topRight" state="frozen"/>
      <selection/>
      <selection pane="topRight" activeCell="AB18" sqref="AB18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9.5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20.5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24.25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2" t="s">
        <v>37</v>
      </c>
      <c r="D4" s="71" t="s">
        <v>38</v>
      </c>
      <c r="E4" s="73">
        <v>30000</v>
      </c>
      <c r="F4" s="73">
        <v>21</v>
      </c>
      <c r="G4" s="73">
        <f>E4*VLOOKUP(D4,职务序列取数!B:E,2,0)</f>
        <v>15300</v>
      </c>
      <c r="H4" s="73">
        <f>E4*VLOOKUP(D4,职务序列取数!B:E,3,0)</f>
        <v>10200</v>
      </c>
      <c r="I4" s="73">
        <f>E4*VLOOKUP(D4,职务序列取数!B:E,4,0)</f>
        <v>4500</v>
      </c>
      <c r="J4" s="74"/>
      <c r="K4" s="73">
        <v>-2062</v>
      </c>
      <c r="L4" s="74"/>
      <c r="M4" s="74">
        <v>-20</v>
      </c>
      <c r="N4" s="74"/>
      <c r="O4" s="75">
        <f t="shared" ref="O4:O17" si="0">SUM(J4:N4)</f>
        <v>-2082</v>
      </c>
      <c r="P4" s="74">
        <f>G4/F4</f>
        <v>728.571428571429</v>
      </c>
      <c r="Q4" s="74">
        <f>H4/F4</f>
        <v>485.714285714286</v>
      </c>
      <c r="R4" s="76">
        <f>VLOOKUP(B4,考勤!B:AI,34,0)</f>
        <v>21</v>
      </c>
      <c r="S4" s="70">
        <f t="shared" ref="S4:S17" si="1">(P4*R4)+(Q4*R4)+O4</f>
        <v>23418</v>
      </c>
      <c r="T4" s="77">
        <f>405.52</f>
        <v>405.52</v>
      </c>
      <c r="U4" s="77">
        <v>25.35</v>
      </c>
      <c r="V4" s="77">
        <f>101.38</f>
        <v>101.38</v>
      </c>
      <c r="W4" s="77">
        <v>21.12</v>
      </c>
      <c r="X4" s="77">
        <v>350</v>
      </c>
      <c r="Y4" s="78"/>
      <c r="Z4" s="75">
        <f>SUM(T4:Y4)</f>
        <v>903.37</v>
      </c>
      <c r="AA4" s="70">
        <f t="shared" ref="AA4:AA17" si="2">S4-Z4</f>
        <v>22514.63</v>
      </c>
      <c r="AB4" s="71" t="s">
        <v>39</v>
      </c>
    </row>
    <row r="5" s="54" customFormat="1" ht="50" customHeight="1" spans="1:28">
      <c r="A5" s="71">
        <v>2</v>
      </c>
      <c r="B5" s="71" t="s">
        <v>40</v>
      </c>
      <c r="C5" s="72" t="s">
        <v>41</v>
      </c>
      <c r="D5" s="71" t="s">
        <v>42</v>
      </c>
      <c r="E5" s="73">
        <v>20000</v>
      </c>
      <c r="F5" s="73">
        <v>21</v>
      </c>
      <c r="G5" s="73">
        <f>E5*VLOOKUP(D5,职务序列取数!B:E,2,0)</f>
        <v>10200</v>
      </c>
      <c r="H5" s="73">
        <f>E5*VLOOKUP(D5,职务序列取数!B:E,3,0)</f>
        <v>6800</v>
      </c>
      <c r="I5" s="73">
        <f>E5*VLOOKUP(D5,职务序列取数!B:E,4,0)</f>
        <v>3000</v>
      </c>
      <c r="J5" s="74"/>
      <c r="K5" s="73"/>
      <c r="L5" s="74"/>
      <c r="M5" s="74">
        <f>5000-20</f>
        <v>4980</v>
      </c>
      <c r="N5" s="74"/>
      <c r="O5" s="75">
        <f t="shared" si="0"/>
        <v>4980</v>
      </c>
      <c r="P5" s="74">
        <f>G5/F5</f>
        <v>485.714285714286</v>
      </c>
      <c r="Q5" s="74">
        <f>H5/F5</f>
        <v>323.809523809524</v>
      </c>
      <c r="R5" s="76">
        <f>VLOOKUP(B5,考勤!B:AI,34,0)</f>
        <v>21</v>
      </c>
      <c r="S5" s="70">
        <f t="shared" si="1"/>
        <v>21980</v>
      </c>
      <c r="T5" s="77">
        <f>405.52</f>
        <v>405.52</v>
      </c>
      <c r="U5" s="77">
        <v>25.35</v>
      </c>
      <c r="V5" s="77">
        <v>101.38</v>
      </c>
      <c r="W5" s="77">
        <v>21.12</v>
      </c>
      <c r="X5" s="77">
        <f>350</f>
        <v>350</v>
      </c>
      <c r="Y5" s="78">
        <v>1026.24</v>
      </c>
      <c r="Z5" s="75">
        <f>SUM(T5:Y5)</f>
        <v>1929.61</v>
      </c>
      <c r="AA5" s="70">
        <f t="shared" si="2"/>
        <v>20050.39</v>
      </c>
      <c r="AB5" s="71" t="s">
        <v>43</v>
      </c>
    </row>
    <row r="6" s="54" customFormat="1" ht="50" customHeight="1" spans="1:28">
      <c r="A6" s="71">
        <v>3</v>
      </c>
      <c r="B6" s="71" t="s">
        <v>44</v>
      </c>
      <c r="C6" s="72" t="s">
        <v>45</v>
      </c>
      <c r="D6" s="71" t="s">
        <v>42</v>
      </c>
      <c r="E6" s="73">
        <v>18000</v>
      </c>
      <c r="F6" s="73">
        <v>21</v>
      </c>
      <c r="G6" s="73">
        <f>E6*VLOOKUP(D6,职务序列取数!B:E,2,0)</f>
        <v>9180</v>
      </c>
      <c r="H6" s="73">
        <f>E6*VLOOKUP(D6,职务序列取数!B:E,3,0)</f>
        <v>6120</v>
      </c>
      <c r="I6" s="73">
        <f>E6*VLOOKUP(D6,职务序列取数!B:E,4,0)</f>
        <v>2700</v>
      </c>
      <c r="J6" s="74"/>
      <c r="K6" s="73"/>
      <c r="L6" s="74"/>
      <c r="M6" s="74">
        <f>300-20</f>
        <v>280</v>
      </c>
      <c r="N6" s="74"/>
      <c r="O6" s="75">
        <f t="shared" si="0"/>
        <v>280</v>
      </c>
      <c r="P6" s="74">
        <f t="shared" ref="P6:P21" si="3">G6/F6</f>
        <v>437.142857142857</v>
      </c>
      <c r="Q6" s="74">
        <f t="shared" ref="Q6:Q21" si="4">H6/F6</f>
        <v>291.428571428571</v>
      </c>
      <c r="R6" s="76">
        <f>VLOOKUP(B6,考勤!B:AI,34,0)</f>
        <v>21</v>
      </c>
      <c r="S6" s="70">
        <f t="shared" si="1"/>
        <v>15580</v>
      </c>
      <c r="T6" s="77"/>
      <c r="U6" s="77"/>
      <c r="V6" s="77"/>
      <c r="W6" s="77"/>
      <c r="X6" s="77"/>
      <c r="Y6" s="78">
        <v>566.91</v>
      </c>
      <c r="Z6" s="75">
        <f t="shared" ref="Z6:Z23" si="5">SUM(T6:Y6)</f>
        <v>566.91</v>
      </c>
      <c r="AA6" s="70">
        <f t="shared" si="2"/>
        <v>15013.09</v>
      </c>
      <c r="AB6" s="71" t="s">
        <v>39</v>
      </c>
    </row>
    <row r="7" s="54" customFormat="1" ht="50" customHeight="1" spans="1:28">
      <c r="A7" s="71">
        <v>4</v>
      </c>
      <c r="B7" s="71" t="s">
        <v>46</v>
      </c>
      <c r="C7" s="71" t="s">
        <v>47</v>
      </c>
      <c r="D7" s="71" t="s">
        <v>48</v>
      </c>
      <c r="E7" s="73">
        <v>7000</v>
      </c>
      <c r="F7" s="73">
        <v>21</v>
      </c>
      <c r="G7" s="73">
        <f>E7*VLOOKUP(D7,职务序列取数!B:E,2,0)</f>
        <v>5600</v>
      </c>
      <c r="H7" s="73">
        <f>E7*VLOOKUP(D7,职务序列取数!B:E,3,0)</f>
        <v>1400</v>
      </c>
      <c r="I7" s="73">
        <f>E7*VLOOKUP(D7,职务序列取数!B:E,4,0)</f>
        <v>0</v>
      </c>
      <c r="J7" s="74"/>
      <c r="K7" s="73"/>
      <c r="L7" s="74"/>
      <c r="M7" s="74"/>
      <c r="N7" s="74"/>
      <c r="O7" s="75">
        <f t="shared" si="0"/>
        <v>0</v>
      </c>
      <c r="P7" s="74">
        <f t="shared" si="3"/>
        <v>266.666666666667</v>
      </c>
      <c r="Q7" s="74">
        <f t="shared" si="4"/>
        <v>66.6666666666667</v>
      </c>
      <c r="R7" s="76">
        <f>VLOOKUP(B7,考勤!B:AI,34,0)</f>
        <v>21</v>
      </c>
      <c r="S7" s="70">
        <f t="shared" si="1"/>
        <v>7000.00000000001</v>
      </c>
      <c r="T7" s="77">
        <f>405.52</f>
        <v>405.52</v>
      </c>
      <c r="U7" s="77">
        <f>25.35</f>
        <v>25.35</v>
      </c>
      <c r="V7" s="77">
        <f>101.38</f>
        <v>101.38</v>
      </c>
      <c r="W7" s="77">
        <v>10</v>
      </c>
      <c r="X7" s="77">
        <f>250</f>
        <v>250</v>
      </c>
      <c r="Y7" s="78"/>
      <c r="Z7" s="75">
        <f t="shared" si="5"/>
        <v>792.25</v>
      </c>
      <c r="AA7" s="70">
        <f t="shared" si="2"/>
        <v>6207.75000000001</v>
      </c>
      <c r="AB7" s="71"/>
    </row>
    <row r="8" s="54" customFormat="1" ht="50" customHeight="1" spans="1:28">
      <c r="A8" s="71">
        <v>5</v>
      </c>
      <c r="B8" s="71" t="s">
        <v>49</v>
      </c>
      <c r="C8" s="71" t="s">
        <v>50</v>
      </c>
      <c r="D8" s="71" t="s">
        <v>48</v>
      </c>
      <c r="E8" s="73">
        <v>6000</v>
      </c>
      <c r="F8" s="73">
        <v>21</v>
      </c>
      <c r="G8" s="73">
        <f>E8*VLOOKUP(D8,职务序列取数!B:E,2,0)</f>
        <v>4800</v>
      </c>
      <c r="H8" s="73">
        <f>E8*VLOOKUP(D8,职务序列取数!B:E,3,0)</f>
        <v>1200</v>
      </c>
      <c r="I8" s="73">
        <f>E8*VLOOKUP(D8,职务序列取数!B:E,4,0)</f>
        <v>0</v>
      </c>
      <c r="J8" s="74"/>
      <c r="K8" s="73"/>
      <c r="L8" s="74"/>
      <c r="M8" s="74">
        <v>700</v>
      </c>
      <c r="N8" s="74"/>
      <c r="O8" s="75">
        <f t="shared" si="0"/>
        <v>700</v>
      </c>
      <c r="P8" s="74">
        <f t="shared" si="3"/>
        <v>228.571428571429</v>
      </c>
      <c r="Q8" s="74">
        <f t="shared" si="4"/>
        <v>57.1428571428571</v>
      </c>
      <c r="R8" s="76">
        <f>VLOOKUP(B8,考勤!B:AI,34,0)</f>
        <v>21</v>
      </c>
      <c r="S8" s="70">
        <f t="shared" si="1"/>
        <v>6700.00000000001</v>
      </c>
      <c r="T8" s="77">
        <f t="shared" ref="T7:T18" si="6">405.52</f>
        <v>405.52</v>
      </c>
      <c r="U8" s="77">
        <v>25.35</v>
      </c>
      <c r="V8" s="77">
        <v>101.38</v>
      </c>
      <c r="W8" s="77">
        <v>10</v>
      </c>
      <c r="X8" s="77">
        <v>250</v>
      </c>
      <c r="Y8" s="78"/>
      <c r="Z8" s="75">
        <f t="shared" si="5"/>
        <v>792.25</v>
      </c>
      <c r="AA8" s="70">
        <f t="shared" si="2"/>
        <v>5907.75000000001</v>
      </c>
      <c r="AB8" s="71"/>
    </row>
    <row r="9" s="54" customFormat="1" ht="50" customHeight="1" spans="1:28">
      <c r="A9" s="71">
        <v>6</v>
      </c>
      <c r="B9" s="71" t="s">
        <v>51</v>
      </c>
      <c r="C9" s="71" t="s">
        <v>52</v>
      </c>
      <c r="D9" s="71" t="s">
        <v>48</v>
      </c>
      <c r="E9" s="73">
        <v>7500</v>
      </c>
      <c r="F9" s="73">
        <v>21</v>
      </c>
      <c r="G9" s="73">
        <f>E9*VLOOKUP(D9,职务序列取数!B:E,2,0)</f>
        <v>6000</v>
      </c>
      <c r="H9" s="73">
        <f>E9*VLOOKUP(D9,职务序列取数!B:E,3,0)</f>
        <v>1500</v>
      </c>
      <c r="I9" s="73">
        <f>E9*VLOOKUP(D9,职务序列取数!B:E,4,0)</f>
        <v>0</v>
      </c>
      <c r="J9" s="74"/>
      <c r="K9" s="73"/>
      <c r="L9" s="74"/>
      <c r="M9" s="74">
        <f>2000-20</f>
        <v>1980</v>
      </c>
      <c r="N9" s="74"/>
      <c r="O9" s="75">
        <f t="shared" si="0"/>
        <v>1980</v>
      </c>
      <c r="P9" s="74">
        <f t="shared" si="3"/>
        <v>285.714285714286</v>
      </c>
      <c r="Q9" s="74">
        <f t="shared" si="4"/>
        <v>71.4285714285714</v>
      </c>
      <c r="R9" s="76">
        <f>VLOOKUP(B9,考勤!B:AI,34,0)</f>
        <v>21</v>
      </c>
      <c r="S9" s="70">
        <f t="shared" si="1"/>
        <v>9480.00000000001</v>
      </c>
      <c r="T9" s="77">
        <f t="shared" si="6"/>
        <v>405.52</v>
      </c>
      <c r="U9" s="77">
        <v>25.35</v>
      </c>
      <c r="V9" s="77">
        <v>101.38</v>
      </c>
      <c r="W9" s="77">
        <v>21.12</v>
      </c>
      <c r="X9" s="77">
        <v>250</v>
      </c>
      <c r="Y9" s="78"/>
      <c r="Z9" s="75">
        <f t="shared" si="5"/>
        <v>803.37</v>
      </c>
      <c r="AA9" s="70">
        <f t="shared" si="2"/>
        <v>8676.63</v>
      </c>
      <c r="AB9" s="79" t="s">
        <v>39</v>
      </c>
    </row>
    <row r="10" s="54" customFormat="1" ht="50" customHeight="1" spans="1:28">
      <c r="A10" s="71">
        <v>7</v>
      </c>
      <c r="B10" s="71" t="s">
        <v>53</v>
      </c>
      <c r="C10" s="71" t="s">
        <v>54</v>
      </c>
      <c r="D10" s="71" t="s">
        <v>48</v>
      </c>
      <c r="E10" s="73">
        <v>6500</v>
      </c>
      <c r="F10" s="73">
        <v>21</v>
      </c>
      <c r="G10" s="73">
        <f>E10*VLOOKUP(D10,职务序列取数!B:E,2,0)</f>
        <v>5200</v>
      </c>
      <c r="H10" s="73">
        <f>E10*VLOOKUP(D10,职务序列取数!B:E,3,0)</f>
        <v>1300</v>
      </c>
      <c r="I10" s="73">
        <f>E10*VLOOKUP(D10,职务序列取数!B:E,4,0)</f>
        <v>0</v>
      </c>
      <c r="J10" s="74"/>
      <c r="K10" s="73"/>
      <c r="L10" s="74"/>
      <c r="M10" s="74">
        <v>200</v>
      </c>
      <c r="N10" s="74"/>
      <c r="O10" s="75">
        <f t="shared" si="0"/>
        <v>200</v>
      </c>
      <c r="P10" s="74">
        <f t="shared" si="3"/>
        <v>247.619047619048</v>
      </c>
      <c r="Q10" s="74">
        <f t="shared" si="4"/>
        <v>61.9047619047619</v>
      </c>
      <c r="R10" s="76">
        <f>VLOOKUP(B10,考勤!B:AI,34,0)</f>
        <v>21</v>
      </c>
      <c r="S10" s="70">
        <f t="shared" si="1"/>
        <v>6700.00000000001</v>
      </c>
      <c r="T10" s="77">
        <f t="shared" si="6"/>
        <v>405.52</v>
      </c>
      <c r="U10" s="77">
        <v>25.35</v>
      </c>
      <c r="V10" s="77">
        <v>101.38</v>
      </c>
      <c r="W10" s="77">
        <v>21.12</v>
      </c>
      <c r="X10" s="77">
        <v>250</v>
      </c>
      <c r="Y10" s="78"/>
      <c r="Z10" s="75">
        <f t="shared" si="5"/>
        <v>803.37</v>
      </c>
      <c r="AA10" s="70">
        <f t="shared" si="2"/>
        <v>5896.63000000001</v>
      </c>
      <c r="AB10" s="71"/>
    </row>
    <row r="11" s="54" customFormat="1" ht="50" customHeight="1" spans="1:28">
      <c r="A11" s="71">
        <v>8</v>
      </c>
      <c r="B11" s="71" t="s">
        <v>55</v>
      </c>
      <c r="C11" s="71" t="s">
        <v>56</v>
      </c>
      <c r="D11" s="71" t="s">
        <v>48</v>
      </c>
      <c r="E11" s="73">
        <v>7800</v>
      </c>
      <c r="F11" s="73">
        <v>21</v>
      </c>
      <c r="G11" s="73">
        <f>E11*VLOOKUP(D11,职务序列取数!B:E,2,0)</f>
        <v>6240</v>
      </c>
      <c r="H11" s="73">
        <f>E11*VLOOKUP(D11,职务序列取数!B:E,3,0)</f>
        <v>1560</v>
      </c>
      <c r="I11" s="73">
        <v>0</v>
      </c>
      <c r="J11" s="74"/>
      <c r="K11" s="73"/>
      <c r="L11" s="74"/>
      <c r="M11" s="74">
        <f>5000-20</f>
        <v>4980</v>
      </c>
      <c r="N11" s="74"/>
      <c r="O11" s="75">
        <f t="shared" si="0"/>
        <v>4980</v>
      </c>
      <c r="P11" s="74">
        <f t="shared" si="3"/>
        <v>297.142857142857</v>
      </c>
      <c r="Q11" s="74">
        <f t="shared" si="4"/>
        <v>74.2857142857143</v>
      </c>
      <c r="R11" s="76">
        <f>VLOOKUP(B11,考勤!B:AI,34,0)</f>
        <v>21</v>
      </c>
      <c r="S11" s="70">
        <f t="shared" si="1"/>
        <v>12780</v>
      </c>
      <c r="T11" s="77">
        <f t="shared" si="6"/>
        <v>405.52</v>
      </c>
      <c r="U11" s="77">
        <v>25.35</v>
      </c>
      <c r="V11" s="77">
        <v>101.38</v>
      </c>
      <c r="W11" s="77">
        <v>21.12</v>
      </c>
      <c r="X11" s="77">
        <v>250</v>
      </c>
      <c r="Y11" s="78"/>
      <c r="Z11" s="75">
        <f t="shared" si="5"/>
        <v>803.37</v>
      </c>
      <c r="AA11" s="70">
        <f t="shared" si="2"/>
        <v>11976.63</v>
      </c>
      <c r="AB11" s="79" t="s">
        <v>39</v>
      </c>
    </row>
    <row r="12" s="54" customFormat="1" ht="50" customHeight="1" spans="1:28">
      <c r="A12" s="71">
        <v>9</v>
      </c>
      <c r="B12" s="71" t="s">
        <v>57</v>
      </c>
      <c r="C12" s="71" t="s">
        <v>58</v>
      </c>
      <c r="D12" s="71" t="s">
        <v>48</v>
      </c>
      <c r="E12" s="73">
        <v>4500</v>
      </c>
      <c r="F12" s="73">
        <v>21</v>
      </c>
      <c r="G12" s="73">
        <f>E12*VLOOKUP(D12,职务序列取数!B:E,2,0)</f>
        <v>3600</v>
      </c>
      <c r="H12" s="73">
        <f>E12*VLOOKUP(D12,职务序列取数!B:E,3,0)</f>
        <v>900</v>
      </c>
      <c r="I12" s="73">
        <f>E12*VLOOKUP(D12,职务序列取数!B:E,4,0)</f>
        <v>0</v>
      </c>
      <c r="J12" s="74"/>
      <c r="K12" s="73"/>
      <c r="L12" s="74"/>
      <c r="M12" s="74">
        <f>27*30</f>
        <v>810</v>
      </c>
      <c r="N12" s="74"/>
      <c r="O12" s="75">
        <f t="shared" si="0"/>
        <v>810</v>
      </c>
      <c r="P12" s="74">
        <f t="shared" si="3"/>
        <v>171.428571428571</v>
      </c>
      <c r="Q12" s="74">
        <f t="shared" si="4"/>
        <v>42.8571428571429</v>
      </c>
      <c r="R12" s="76">
        <f>VLOOKUP(B12,考勤!B:AI,34,0)</f>
        <v>21</v>
      </c>
      <c r="S12" s="70">
        <f t="shared" si="1"/>
        <v>5309.99999999999</v>
      </c>
      <c r="T12" s="77">
        <f t="shared" si="6"/>
        <v>405.52</v>
      </c>
      <c r="U12" s="77">
        <v>25.35</v>
      </c>
      <c r="V12" s="77">
        <v>101.38</v>
      </c>
      <c r="W12" s="77">
        <v>21.12</v>
      </c>
      <c r="X12" s="77">
        <v>250</v>
      </c>
      <c r="Y12" s="78"/>
      <c r="Z12" s="75">
        <f t="shared" si="5"/>
        <v>803.37</v>
      </c>
      <c r="AA12" s="70">
        <f t="shared" si="2"/>
        <v>4506.62999999999</v>
      </c>
      <c r="AB12" s="71"/>
    </row>
    <row r="13" s="54" customFormat="1" ht="50" customHeight="1" spans="1:28">
      <c r="A13" s="71">
        <v>10</v>
      </c>
      <c r="B13" s="71" t="s">
        <v>59</v>
      </c>
      <c r="C13" s="71" t="s">
        <v>60</v>
      </c>
      <c r="D13" s="71" t="s">
        <v>48</v>
      </c>
      <c r="E13" s="73">
        <v>13500</v>
      </c>
      <c r="F13" s="73">
        <v>21</v>
      </c>
      <c r="G13" s="73">
        <f>E13*VLOOKUP(D13,职务序列取数!B:E,2,0)</f>
        <v>10800</v>
      </c>
      <c r="H13" s="73">
        <f>E13*VLOOKUP(D13,职务序列取数!B:E,3,0)</f>
        <v>2700</v>
      </c>
      <c r="I13" s="73">
        <f>E13*VLOOKUP(D13,职务序列取数!B:E,4,0)</f>
        <v>0</v>
      </c>
      <c r="J13" s="74"/>
      <c r="K13" s="73"/>
      <c r="L13" s="74"/>
      <c r="M13" s="74">
        <f>19250-20</f>
        <v>19230</v>
      </c>
      <c r="N13" s="74"/>
      <c r="O13" s="75">
        <f t="shared" si="0"/>
        <v>19230</v>
      </c>
      <c r="P13" s="74">
        <f t="shared" si="3"/>
        <v>514.285714285714</v>
      </c>
      <c r="Q13" s="74">
        <f t="shared" si="4"/>
        <v>128.571428571429</v>
      </c>
      <c r="R13" s="76">
        <f>VLOOKUP(B13,考勤!B:AI,34,0)</f>
        <v>21</v>
      </c>
      <c r="S13" s="70">
        <f t="shared" si="1"/>
        <v>32730</v>
      </c>
      <c r="T13" s="77">
        <f t="shared" si="6"/>
        <v>405.52</v>
      </c>
      <c r="U13" s="77">
        <v>25.35</v>
      </c>
      <c r="V13" s="77">
        <v>101.38</v>
      </c>
      <c r="W13" s="77">
        <v>21.12</v>
      </c>
      <c r="X13" s="77">
        <v>250</v>
      </c>
      <c r="Y13" s="78">
        <v>1978.86</v>
      </c>
      <c r="Z13" s="75">
        <f t="shared" si="5"/>
        <v>2782.23</v>
      </c>
      <c r="AA13" s="70">
        <f t="shared" si="2"/>
        <v>29947.77</v>
      </c>
      <c r="AB13" s="71" t="s">
        <v>39</v>
      </c>
    </row>
    <row r="14" s="1" customFormat="1" ht="50" customHeight="1" spans="1:28">
      <c r="A14" s="71">
        <v>11</v>
      </c>
      <c r="B14" s="71" t="s">
        <v>61</v>
      </c>
      <c r="C14" s="71" t="s">
        <v>62</v>
      </c>
      <c r="D14" s="71" t="s">
        <v>48</v>
      </c>
      <c r="E14" s="73">
        <v>12000</v>
      </c>
      <c r="F14" s="73">
        <v>21</v>
      </c>
      <c r="G14" s="73">
        <f>E14*VLOOKUP(D14,职务序列取数!B:E,2,0)</f>
        <v>9600</v>
      </c>
      <c r="H14" s="73">
        <f>E14*VLOOKUP(D14,职务序列取数!B:E,3,0)</f>
        <v>2400</v>
      </c>
      <c r="I14" s="73"/>
      <c r="J14" s="74"/>
      <c r="K14" s="73"/>
      <c r="L14" s="74"/>
      <c r="M14" s="74"/>
      <c r="N14" s="74"/>
      <c r="O14" s="75">
        <f t="shared" si="0"/>
        <v>0</v>
      </c>
      <c r="P14" s="74">
        <f t="shared" si="3"/>
        <v>457.142857142857</v>
      </c>
      <c r="Q14" s="74">
        <f t="shared" si="4"/>
        <v>114.285714285714</v>
      </c>
      <c r="R14" s="76">
        <f>VLOOKUP(B14,考勤!B:AI,34,0)</f>
        <v>21</v>
      </c>
      <c r="S14" s="70">
        <f t="shared" si="1"/>
        <v>12000</v>
      </c>
      <c r="T14" s="77">
        <f t="shared" si="6"/>
        <v>405.52</v>
      </c>
      <c r="U14" s="77">
        <v>25.35</v>
      </c>
      <c r="V14" s="77">
        <v>101.38</v>
      </c>
      <c r="W14" s="77">
        <v>25.35</v>
      </c>
      <c r="X14" s="77">
        <v>250</v>
      </c>
      <c r="Y14" s="78"/>
      <c r="Z14" s="75">
        <f t="shared" si="5"/>
        <v>807.6</v>
      </c>
      <c r="AA14" s="70">
        <f t="shared" si="2"/>
        <v>11192.4</v>
      </c>
      <c r="AB14" s="71"/>
    </row>
    <row r="15" s="1" customFormat="1" ht="50" customHeight="1" spans="1:28">
      <c r="A15" s="71">
        <v>12</v>
      </c>
      <c r="B15" s="71" t="s">
        <v>63</v>
      </c>
      <c r="C15" s="71" t="s">
        <v>64</v>
      </c>
      <c r="D15" s="71" t="s">
        <v>65</v>
      </c>
      <c r="E15" s="73">
        <v>3400</v>
      </c>
      <c r="F15" s="73">
        <v>26</v>
      </c>
      <c r="G15" s="73">
        <v>2720</v>
      </c>
      <c r="H15" s="73">
        <f>E15-G15</f>
        <v>680</v>
      </c>
      <c r="I15" s="73"/>
      <c r="J15" s="74"/>
      <c r="K15" s="73"/>
      <c r="L15" s="74"/>
      <c r="M15" s="74"/>
      <c r="N15" s="74"/>
      <c r="O15" s="75">
        <f t="shared" si="0"/>
        <v>0</v>
      </c>
      <c r="P15" s="74">
        <f t="shared" si="3"/>
        <v>104.615384615385</v>
      </c>
      <c r="Q15" s="74">
        <f t="shared" si="4"/>
        <v>26.1538461538462</v>
      </c>
      <c r="R15" s="76">
        <f>VLOOKUP(B15,考勤!B:AI,34,0)</f>
        <v>26</v>
      </c>
      <c r="S15" s="70">
        <f t="shared" si="1"/>
        <v>3400.00000000001</v>
      </c>
      <c r="T15" s="77"/>
      <c r="U15" s="77"/>
      <c r="V15" s="77"/>
      <c r="W15" s="77"/>
      <c r="X15" s="77"/>
      <c r="Y15" s="78"/>
      <c r="Z15" s="75">
        <f t="shared" si="5"/>
        <v>0</v>
      </c>
      <c r="AA15" s="70">
        <f t="shared" si="2"/>
        <v>3400.00000000001</v>
      </c>
      <c r="AB15" s="80"/>
    </row>
    <row r="16" s="1" customFormat="1" ht="60" customHeight="1" spans="1:28">
      <c r="A16" s="71">
        <v>13</v>
      </c>
      <c r="B16" s="71" t="s">
        <v>66</v>
      </c>
      <c r="C16" s="71" t="s">
        <v>67</v>
      </c>
      <c r="D16" s="71" t="s">
        <v>65</v>
      </c>
      <c r="E16" s="73"/>
      <c r="F16" s="73"/>
      <c r="G16" s="73"/>
      <c r="H16" s="73"/>
      <c r="I16" s="73">
        <f>E16*VLOOKUP(D16,职务序列取数!B:E,4,0)</f>
        <v>0</v>
      </c>
      <c r="J16" s="74"/>
      <c r="K16" s="73"/>
      <c r="L16" s="74"/>
      <c r="M16" s="74"/>
      <c r="N16" s="74">
        <v>3207.84</v>
      </c>
      <c r="O16" s="75">
        <f t="shared" si="0"/>
        <v>3207.84</v>
      </c>
      <c r="P16" s="74"/>
      <c r="Q16" s="74"/>
      <c r="R16" s="76">
        <f>VLOOKUP(B16,考勤!B:AI,34,0)</f>
        <v>0</v>
      </c>
      <c r="S16" s="70">
        <f t="shared" si="1"/>
        <v>3207.84</v>
      </c>
      <c r="T16" s="77"/>
      <c r="U16" s="77"/>
      <c r="V16" s="77"/>
      <c r="W16" s="77"/>
      <c r="X16" s="77"/>
      <c r="Y16" s="78"/>
      <c r="Z16" s="75">
        <f t="shared" si="5"/>
        <v>0</v>
      </c>
      <c r="AA16" s="70">
        <f t="shared" si="2"/>
        <v>3207.84</v>
      </c>
      <c r="AB16" s="80"/>
    </row>
    <row r="17" s="1" customFormat="1" ht="60" customHeight="1" spans="1:34">
      <c r="A17" s="71">
        <v>14</v>
      </c>
      <c r="B17" s="71" t="s">
        <v>68</v>
      </c>
      <c r="C17" s="71" t="s">
        <v>69</v>
      </c>
      <c r="D17" s="71" t="s">
        <v>48</v>
      </c>
      <c r="E17" s="73"/>
      <c r="F17" s="73"/>
      <c r="G17" s="73"/>
      <c r="H17" s="73"/>
      <c r="I17" s="73"/>
      <c r="J17" s="74"/>
      <c r="K17" s="73"/>
      <c r="L17" s="74"/>
      <c r="M17" s="74"/>
      <c r="N17" s="74">
        <v>6412.5</v>
      </c>
      <c r="O17" s="75">
        <f t="shared" si="0"/>
        <v>6412.5</v>
      </c>
      <c r="P17" s="74"/>
      <c r="Q17" s="74"/>
      <c r="R17" s="76"/>
      <c r="S17" s="70">
        <f t="shared" si="1"/>
        <v>6412.5</v>
      </c>
      <c r="T17" s="77"/>
      <c r="U17" s="77"/>
      <c r="V17" s="77"/>
      <c r="W17" s="77"/>
      <c r="X17" s="77"/>
      <c r="Y17" s="78">
        <v>42.38</v>
      </c>
      <c r="Z17" s="75">
        <f t="shared" si="5"/>
        <v>42.38</v>
      </c>
      <c r="AA17" s="70">
        <f t="shared" si="2"/>
        <v>6370.12</v>
      </c>
      <c r="AB17" s="80"/>
    </row>
    <row r="18" ht="55" customHeight="1" spans="1:34">
      <c r="A18" s="71"/>
      <c r="B18" s="63" t="s">
        <v>70</v>
      </c>
      <c r="C18" s="66"/>
      <c r="D18" s="70"/>
      <c r="E18" s="62">
        <f>SUM(E4:E17)</f>
        <v>136200</v>
      </c>
      <c r="F18" s="62"/>
      <c r="G18" s="70">
        <f>SUM(G4:G17)</f>
        <v>89240</v>
      </c>
      <c r="H18" s="70">
        <f t="shared" ref="H18:O18" si="7">SUM(H4:H17)</f>
        <v>36760</v>
      </c>
      <c r="I18" s="70">
        <f t="shared" si="7"/>
        <v>10200</v>
      </c>
      <c r="J18" s="70">
        <f t="shared" si="7"/>
        <v>0</v>
      </c>
      <c r="K18" s="70">
        <f t="shared" si="7"/>
        <v>-2062</v>
      </c>
      <c r="L18" s="70">
        <f t="shared" si="7"/>
        <v>0</v>
      </c>
      <c r="M18" s="70">
        <f t="shared" si="7"/>
        <v>33140</v>
      </c>
      <c r="N18" s="70">
        <f t="shared" si="7"/>
        <v>9620.34</v>
      </c>
      <c r="O18" s="70">
        <f t="shared" si="7"/>
        <v>40698.34</v>
      </c>
      <c r="P18" s="70"/>
      <c r="Q18" s="70"/>
      <c r="R18" s="70"/>
      <c r="S18" s="70">
        <f>SUM(S4:S17)</f>
        <v>166698.34</v>
      </c>
      <c r="T18" s="70">
        <f t="shared" ref="T18:AA18" si="8">SUM(T4:T17)</f>
        <v>4055.2</v>
      </c>
      <c r="U18" s="70">
        <f t="shared" si="8"/>
        <v>253.5</v>
      </c>
      <c r="V18" s="70">
        <f t="shared" si="8"/>
        <v>1013.8</v>
      </c>
      <c r="W18" s="70">
        <f t="shared" si="8"/>
        <v>193.19</v>
      </c>
      <c r="X18" s="70">
        <f t="shared" si="8"/>
        <v>2700</v>
      </c>
      <c r="Y18" s="70">
        <f t="shared" si="8"/>
        <v>3614.39</v>
      </c>
      <c r="Z18" s="70">
        <f t="shared" si="8"/>
        <v>11830.08</v>
      </c>
      <c r="AA18" s="70">
        <f t="shared" si="8"/>
        <v>154868.26</v>
      </c>
      <c r="AB18" s="81"/>
    </row>
    <row r="19" ht="90" customHeight="1" spans="1:34">
      <c r="A19" s="82" t="s">
        <v>71</v>
      </c>
      <c r="B19" s="83" t="s">
        <v>72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4"/>
      <c r="AD19" s="84"/>
      <c r="AE19" s="84"/>
      <c r="AF19" s="84"/>
      <c r="AG19" s="84"/>
      <c r="AH19" s="84"/>
    </row>
    <row r="21" s="56" customFormat="1" ht="150" customHeight="1" spans="1:34">
      <c r="B21" s="56" t="s">
        <v>73</v>
      </c>
      <c r="K21" s="56" t="s">
        <v>74</v>
      </c>
      <c r="R21" s="56" t="s">
        <v>75</v>
      </c>
      <c r="Y21" s="85"/>
      <c r="Z21" s="56" t="s">
        <v>76</v>
      </c>
    </row>
  </sheetData>
  <mergeCells count="10">
    <mergeCell ref="A1:AB1"/>
    <mergeCell ref="B2:I2"/>
    <mergeCell ref="J2:O2"/>
    <mergeCell ref="P2:S2"/>
    <mergeCell ref="T2:Z2"/>
    <mergeCell ref="B18:C18"/>
    <mergeCell ref="B19:AB19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2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N18" sqref="N18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251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6</v>
      </c>
      <c r="W1" s="11"/>
      <c r="X1" s="12" t="s">
        <v>77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251">
      <c r="A2" s="13"/>
      <c r="B2" s="14" t="s">
        <v>78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46175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251">
      <c r="A3" s="19" t="s">
        <v>31</v>
      </c>
      <c r="B3" s="19" t="s">
        <v>32</v>
      </c>
      <c r="C3" s="19" t="s">
        <v>79</v>
      </c>
      <c r="D3" s="20" t="s">
        <v>80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81</v>
      </c>
      <c r="AK3" s="23" t="s">
        <v>82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83</v>
      </c>
    </row>
    <row r="4" ht="20.1" customHeight="1" spans="1:251">
      <c r="A4" s="25"/>
      <c r="B4" s="25"/>
      <c r="C4" s="25"/>
      <c r="D4" s="26">
        <f>V1</f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84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251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85</v>
      </c>
      <c r="AL5" s="34" t="s">
        <v>86</v>
      </c>
      <c r="AM5" s="34" t="s">
        <v>87</v>
      </c>
      <c r="AN5" s="34" t="s">
        <v>88</v>
      </c>
      <c r="AO5" s="34" t="s">
        <v>89</v>
      </c>
      <c r="AP5" s="34" t="s">
        <v>90</v>
      </c>
      <c r="AQ5" s="34" t="s">
        <v>91</v>
      </c>
      <c r="AR5" s="34" t="s">
        <v>92</v>
      </c>
      <c r="AS5" s="35" t="s">
        <v>93</v>
      </c>
      <c r="AT5" s="35" t="s">
        <v>94</v>
      </c>
      <c r="AU5" s="35" t="s">
        <v>95</v>
      </c>
      <c r="AV5" s="35" t="s">
        <v>96</v>
      </c>
      <c r="AW5" s="35" t="s">
        <v>97</v>
      </c>
      <c r="AX5" s="35" t="s">
        <v>98</v>
      </c>
      <c r="AY5" s="35" t="s">
        <v>99</v>
      </c>
      <c r="AZ5" s="32"/>
    </row>
    <row r="6" s="6" customFormat="1" ht="25" customHeight="1" spans="1:251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100</v>
      </c>
      <c r="E6" s="39" t="s">
        <v>100</v>
      </c>
      <c r="F6" s="39" t="s">
        <v>100</v>
      </c>
      <c r="G6" s="39" t="s">
        <v>100</v>
      </c>
      <c r="H6" s="39" t="s">
        <v>100</v>
      </c>
      <c r="I6" s="39" t="s">
        <v>87</v>
      </c>
      <c r="J6" s="39" t="s">
        <v>87</v>
      </c>
      <c r="K6" s="39" t="s">
        <v>100</v>
      </c>
      <c r="L6" s="39" t="s">
        <v>100</v>
      </c>
      <c r="M6" s="39" t="s">
        <v>100</v>
      </c>
      <c r="N6" s="39" t="s">
        <v>100</v>
      </c>
      <c r="O6" s="39" t="s">
        <v>100</v>
      </c>
      <c r="P6" s="39" t="s">
        <v>87</v>
      </c>
      <c r="Q6" s="39" t="s">
        <v>87</v>
      </c>
      <c r="R6" s="39" t="s">
        <v>100</v>
      </c>
      <c r="S6" s="39" t="s">
        <v>100</v>
      </c>
      <c r="T6" s="39" t="s">
        <v>100</v>
      </c>
      <c r="U6" s="39" t="s">
        <v>100</v>
      </c>
      <c r="V6" s="39" t="s">
        <v>87</v>
      </c>
      <c r="W6" s="39" t="s">
        <v>87</v>
      </c>
      <c r="X6" s="39" t="s">
        <v>87</v>
      </c>
      <c r="Y6" s="39" t="s">
        <v>100</v>
      </c>
      <c r="Z6" s="39" t="s">
        <v>100</v>
      </c>
      <c r="AA6" s="39" t="s">
        <v>100</v>
      </c>
      <c r="AB6" s="39" t="s">
        <v>100</v>
      </c>
      <c r="AC6" s="39" t="s">
        <v>100</v>
      </c>
      <c r="AD6" s="39" t="s">
        <v>87</v>
      </c>
      <c r="AE6" s="39" t="s">
        <v>87</v>
      </c>
      <c r="AF6" s="39" t="s">
        <v>100</v>
      </c>
      <c r="AG6" s="39" t="s">
        <v>100</v>
      </c>
      <c r="AH6" s="39"/>
      <c r="AI6" s="36">
        <f t="shared" ref="AI6:AI17" si="0">AK6+AL6+AR6</f>
        <v>21</v>
      </c>
      <c r="AJ6" s="36">
        <f t="shared" ref="AJ6:AJ17" si="1">AM6</f>
        <v>9</v>
      </c>
      <c r="AK6" s="40">
        <f t="shared" ref="AK6:AK17" si="2">COUNTIF($D6:$AH6,"√")</f>
        <v>21</v>
      </c>
      <c r="AL6" s="40">
        <f t="shared" ref="AL6:AL17" si="3">COUNTIF($D6:$AH6,"出差")</f>
        <v>0</v>
      </c>
      <c r="AM6" s="40">
        <f t="shared" ref="AM6:AM17" si="4">COUNTIF($D6:$AH6,"公休")</f>
        <v>9</v>
      </c>
      <c r="AN6" s="40">
        <f t="shared" ref="AN6:AN15" si="5">COUNTIF($D6:$AH6,"病假")</f>
        <v>0</v>
      </c>
      <c r="AO6" s="40">
        <f t="shared" ref="AO6:AO15" si="6">COUNTIF($D6:$AH6,"事假")</f>
        <v>0</v>
      </c>
      <c r="AP6" s="40">
        <f t="shared" ref="AP6:AP15" si="7">COUNTIF($D6:$AH6,"旷工")</f>
        <v>0</v>
      </c>
      <c r="AQ6" s="40">
        <f t="shared" ref="AQ6:AQ15" si="8">COUNTIF($D6:$AH6,"工伤")</f>
        <v>0</v>
      </c>
      <c r="AR6" s="40">
        <f t="shared" ref="AR6:AR15" si="9">COUNTIF($D6:$AH6,"培训")</f>
        <v>0</v>
      </c>
      <c r="AS6" s="40">
        <f t="shared" ref="AS6:AS15" si="10">COUNTIF($D6:$AH6,"冬休")</f>
        <v>0</v>
      </c>
      <c r="AT6" s="40">
        <f t="shared" ref="AT6:AT15" si="11">COUNTIF($D6:$AH6,"休假")</f>
        <v>0</v>
      </c>
      <c r="AU6" s="40">
        <f t="shared" ref="AU6:AU15" si="12">COUNTIF($D6:$AH6,"探亲")</f>
        <v>0</v>
      </c>
      <c r="AV6" s="40">
        <f t="shared" ref="AV6:AV15" si="13">COUNTIF($D6:$AH6,"产假")</f>
        <v>0</v>
      </c>
      <c r="AW6" s="40">
        <f t="shared" ref="AW6:AW15" si="14">COUNTIF($D6:$AH6,"陪护假")</f>
        <v>0</v>
      </c>
      <c r="AX6" s="40">
        <f>COUNTIF($D6:$AH6,"婚丧假")</f>
        <v>0</v>
      </c>
      <c r="AY6" s="40">
        <f t="shared" ref="AY6:AY15" si="15">COUNTIF($D6:$AH6,"待岗")</f>
        <v>0</v>
      </c>
      <c r="AZ6" s="41"/>
    </row>
    <row r="7" s="6" customFormat="1" ht="25" customHeight="1" spans="1:251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100</v>
      </c>
      <c r="E7" s="39" t="s">
        <v>100</v>
      </c>
      <c r="F7" s="39" t="s">
        <v>100</v>
      </c>
      <c r="G7" s="39" t="s">
        <v>100</v>
      </c>
      <c r="H7" s="39" t="s">
        <v>100</v>
      </c>
      <c r="I7" s="39" t="s">
        <v>87</v>
      </c>
      <c r="J7" s="39" t="s">
        <v>87</v>
      </c>
      <c r="K7" s="39" t="s">
        <v>100</v>
      </c>
      <c r="L7" s="39" t="s">
        <v>100</v>
      </c>
      <c r="M7" s="39" t="s">
        <v>100</v>
      </c>
      <c r="N7" s="39" t="s">
        <v>100</v>
      </c>
      <c r="O7" s="39" t="s">
        <v>100</v>
      </c>
      <c r="P7" s="39" t="s">
        <v>87</v>
      </c>
      <c r="Q7" s="39" t="s">
        <v>87</v>
      </c>
      <c r="R7" s="39" t="s">
        <v>100</v>
      </c>
      <c r="S7" s="39" t="s">
        <v>86</v>
      </c>
      <c r="T7" s="39" t="s">
        <v>86</v>
      </c>
      <c r="U7" s="39" t="s">
        <v>86</v>
      </c>
      <c r="V7" s="39" t="s">
        <v>87</v>
      </c>
      <c r="W7" s="39" t="s">
        <v>87</v>
      </c>
      <c r="X7" s="39" t="s">
        <v>87</v>
      </c>
      <c r="Y7" s="39" t="s">
        <v>100</v>
      </c>
      <c r="Z7" s="39" t="s">
        <v>100</v>
      </c>
      <c r="AA7" s="39" t="s">
        <v>100</v>
      </c>
      <c r="AB7" s="39" t="s">
        <v>100</v>
      </c>
      <c r="AC7" s="39" t="s">
        <v>100</v>
      </c>
      <c r="AD7" s="39" t="s">
        <v>87</v>
      </c>
      <c r="AE7" s="39" t="s">
        <v>87</v>
      </c>
      <c r="AF7" s="39" t="s">
        <v>100</v>
      </c>
      <c r="AG7" s="39" t="s">
        <v>100</v>
      </c>
      <c r="AH7" s="39"/>
      <c r="AI7" s="36">
        <f t="shared" si="0"/>
        <v>21</v>
      </c>
      <c r="AJ7" s="36">
        <f t="shared" si="1"/>
        <v>9</v>
      </c>
      <c r="AK7" s="40">
        <f t="shared" si="2"/>
        <v>18</v>
      </c>
      <c r="AL7" s="40">
        <f t="shared" si="3"/>
        <v>3</v>
      </c>
      <c r="AM7" s="40">
        <f t="shared" si="4"/>
        <v>9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>COUNTIF($D7:$AH7,"婚丧假")</f>
        <v>0</v>
      </c>
      <c r="AY7" s="40">
        <f t="shared" si="15"/>
        <v>0</v>
      </c>
      <c r="AZ7" s="41"/>
    </row>
    <row r="8" s="6" customFormat="1" ht="25" customHeight="1" spans="1:251">
      <c r="A8" s="36">
        <v>3</v>
      </c>
      <c r="B8" s="37" t="str">
        <f>工资表!B6</f>
        <v>徐惠蓉</v>
      </c>
      <c r="C8" s="38" t="str">
        <f>工资表!C6</f>
        <v>投资开发部副经理</v>
      </c>
      <c r="D8" s="39" t="s">
        <v>100</v>
      </c>
      <c r="E8" s="39" t="s">
        <v>100</v>
      </c>
      <c r="F8" s="39" t="s">
        <v>100</v>
      </c>
      <c r="G8" s="39" t="s">
        <v>100</v>
      </c>
      <c r="H8" s="39" t="s">
        <v>100</v>
      </c>
      <c r="I8" s="39" t="s">
        <v>87</v>
      </c>
      <c r="J8" s="39" t="s">
        <v>87</v>
      </c>
      <c r="K8" s="39" t="s">
        <v>100</v>
      </c>
      <c r="L8" s="39" t="s">
        <v>100</v>
      </c>
      <c r="M8" s="39" t="s">
        <v>100</v>
      </c>
      <c r="N8" s="39" t="s">
        <v>100</v>
      </c>
      <c r="O8" s="39" t="s">
        <v>100</v>
      </c>
      <c r="P8" s="39" t="s">
        <v>87</v>
      </c>
      <c r="Q8" s="39" t="s">
        <v>87</v>
      </c>
      <c r="R8" s="39" t="s">
        <v>100</v>
      </c>
      <c r="S8" s="39" t="s">
        <v>100</v>
      </c>
      <c r="T8" s="39" t="s">
        <v>100</v>
      </c>
      <c r="U8" s="39" t="s">
        <v>100</v>
      </c>
      <c r="V8" s="39" t="s">
        <v>87</v>
      </c>
      <c r="W8" s="39" t="s">
        <v>87</v>
      </c>
      <c r="X8" s="39" t="s">
        <v>87</v>
      </c>
      <c r="Y8" s="39" t="s">
        <v>100</v>
      </c>
      <c r="Z8" s="39" t="s">
        <v>100</v>
      </c>
      <c r="AA8" s="39" t="s">
        <v>100</v>
      </c>
      <c r="AB8" s="39" t="s">
        <v>100</v>
      </c>
      <c r="AC8" s="39" t="s">
        <v>100</v>
      </c>
      <c r="AD8" s="39" t="s">
        <v>87</v>
      </c>
      <c r="AE8" s="39" t="s">
        <v>87</v>
      </c>
      <c r="AF8" s="39" t="s">
        <v>100</v>
      </c>
      <c r="AG8" s="39" t="s">
        <v>100</v>
      </c>
      <c r="AH8" s="39"/>
      <c r="AI8" s="36">
        <f t="shared" si="0"/>
        <v>21</v>
      </c>
      <c r="AJ8" s="36">
        <f t="shared" si="1"/>
        <v>9</v>
      </c>
      <c r="AK8" s="40">
        <f t="shared" si="2"/>
        <v>21</v>
      </c>
      <c r="AL8" s="40">
        <f t="shared" si="3"/>
        <v>0</v>
      </c>
      <c r="AM8" s="40">
        <f t="shared" si="4"/>
        <v>9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>COUNTIF($D8:$AH8,"婚丧假")</f>
        <v>0</v>
      </c>
      <c r="AY8" s="40">
        <f t="shared" si="15"/>
        <v>0</v>
      </c>
      <c r="AZ8" s="41"/>
    </row>
    <row r="9" s="6" customFormat="1" ht="25" customHeight="1" spans="1:251">
      <c r="A9" s="36">
        <v>4</v>
      </c>
      <c r="B9" s="37" t="str">
        <f>工资表!B7</f>
        <v>沈陈瑾慧</v>
      </c>
      <c r="C9" s="38" t="str">
        <f>工资表!C7</f>
        <v>会计</v>
      </c>
      <c r="D9" s="39" t="s">
        <v>100</v>
      </c>
      <c r="E9" s="39" t="s">
        <v>100</v>
      </c>
      <c r="F9" s="39" t="s">
        <v>100</v>
      </c>
      <c r="G9" s="39" t="s">
        <v>100</v>
      </c>
      <c r="H9" s="39" t="s">
        <v>100</v>
      </c>
      <c r="I9" s="39" t="s">
        <v>87</v>
      </c>
      <c r="J9" s="39" t="s">
        <v>87</v>
      </c>
      <c r="K9" s="39" t="s">
        <v>100</v>
      </c>
      <c r="L9" s="39" t="s">
        <v>100</v>
      </c>
      <c r="M9" s="39" t="s">
        <v>100</v>
      </c>
      <c r="N9" s="39" t="s">
        <v>100</v>
      </c>
      <c r="O9" s="39" t="s">
        <v>100</v>
      </c>
      <c r="P9" s="39" t="s">
        <v>87</v>
      </c>
      <c r="Q9" s="39" t="s">
        <v>87</v>
      </c>
      <c r="R9" s="39" t="s">
        <v>100</v>
      </c>
      <c r="S9" s="39" t="s">
        <v>100</v>
      </c>
      <c r="T9" s="39" t="s">
        <v>100</v>
      </c>
      <c r="U9" s="39" t="s">
        <v>100</v>
      </c>
      <c r="V9" s="39" t="s">
        <v>87</v>
      </c>
      <c r="W9" s="39" t="s">
        <v>87</v>
      </c>
      <c r="X9" s="39" t="s">
        <v>87</v>
      </c>
      <c r="Y9" s="39" t="s">
        <v>100</v>
      </c>
      <c r="Z9" s="39" t="s">
        <v>100</v>
      </c>
      <c r="AA9" s="39" t="s">
        <v>100</v>
      </c>
      <c r="AB9" s="39" t="s">
        <v>100</v>
      </c>
      <c r="AC9" s="39" t="s">
        <v>100</v>
      </c>
      <c r="AD9" s="39" t="s">
        <v>87</v>
      </c>
      <c r="AE9" s="39" t="s">
        <v>87</v>
      </c>
      <c r="AF9" s="39" t="s">
        <v>100</v>
      </c>
      <c r="AG9" s="39" t="s">
        <v>100</v>
      </c>
      <c r="AH9" s="39"/>
      <c r="AI9" s="36">
        <f t="shared" si="0"/>
        <v>21</v>
      </c>
      <c r="AJ9" s="36">
        <f t="shared" si="1"/>
        <v>9</v>
      </c>
      <c r="AK9" s="40">
        <f t="shared" si="2"/>
        <v>21</v>
      </c>
      <c r="AL9" s="40">
        <f t="shared" si="3"/>
        <v>0</v>
      </c>
      <c r="AM9" s="40">
        <f t="shared" si="4"/>
        <v>9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/>
      <c r="AY9" s="40">
        <f t="shared" si="15"/>
        <v>0</v>
      </c>
      <c r="AZ9" s="41"/>
    </row>
    <row r="10" s="6" customFormat="1" ht="25" customHeight="1" spans="1:251">
      <c r="A10" s="36">
        <v>5</v>
      </c>
      <c r="B10" s="37" t="str">
        <f>工资表!B8</f>
        <v>管丽萍</v>
      </c>
      <c r="C10" s="38" t="str">
        <f>工资表!C8</f>
        <v>人事运营</v>
      </c>
      <c r="D10" s="39" t="s">
        <v>100</v>
      </c>
      <c r="E10" s="39" t="s">
        <v>100</v>
      </c>
      <c r="F10" s="39" t="s">
        <v>100</v>
      </c>
      <c r="G10" s="39" t="s">
        <v>100</v>
      </c>
      <c r="H10" s="39" t="s">
        <v>100</v>
      </c>
      <c r="I10" s="39" t="s">
        <v>87</v>
      </c>
      <c r="J10" s="39" t="s">
        <v>87</v>
      </c>
      <c r="K10" s="39" t="s">
        <v>100</v>
      </c>
      <c r="L10" s="39" t="s">
        <v>100</v>
      </c>
      <c r="M10" s="39" t="s">
        <v>100</v>
      </c>
      <c r="N10" s="39" t="s">
        <v>100</v>
      </c>
      <c r="O10" s="39" t="s">
        <v>100</v>
      </c>
      <c r="P10" s="39" t="s">
        <v>87</v>
      </c>
      <c r="Q10" s="39" t="s">
        <v>87</v>
      </c>
      <c r="R10" s="39" t="s">
        <v>100</v>
      </c>
      <c r="S10" s="39" t="s">
        <v>100</v>
      </c>
      <c r="T10" s="39" t="s">
        <v>100</v>
      </c>
      <c r="U10" s="39" t="s">
        <v>100</v>
      </c>
      <c r="V10" s="39" t="s">
        <v>87</v>
      </c>
      <c r="W10" s="39" t="s">
        <v>87</v>
      </c>
      <c r="X10" s="39" t="s">
        <v>87</v>
      </c>
      <c r="Y10" s="39" t="s">
        <v>100</v>
      </c>
      <c r="Z10" s="39" t="s">
        <v>100</v>
      </c>
      <c r="AA10" s="39" t="s">
        <v>100</v>
      </c>
      <c r="AB10" s="39" t="s">
        <v>100</v>
      </c>
      <c r="AC10" s="39" t="s">
        <v>100</v>
      </c>
      <c r="AD10" s="39" t="s">
        <v>87</v>
      </c>
      <c r="AE10" s="39" t="s">
        <v>87</v>
      </c>
      <c r="AF10" s="39" t="s">
        <v>100</v>
      </c>
      <c r="AG10" s="39" t="s">
        <v>100</v>
      </c>
      <c r="AH10" s="39"/>
      <c r="AI10" s="36">
        <f t="shared" si="0"/>
        <v>21</v>
      </c>
      <c r="AJ10" s="36">
        <f t="shared" si="1"/>
        <v>9</v>
      </c>
      <c r="AK10" s="40">
        <f t="shared" si="2"/>
        <v>21</v>
      </c>
      <c r="AL10" s="40">
        <f t="shared" si="3"/>
        <v>0</v>
      </c>
      <c r="AM10" s="40">
        <f t="shared" si="4"/>
        <v>9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>
        <f t="shared" ref="AX10:AX15" si="16">COUNTIF($D10:$AH10,"婚丧假")</f>
        <v>0</v>
      </c>
      <c r="AY10" s="40">
        <f t="shared" si="15"/>
        <v>0</v>
      </c>
      <c r="AZ10" s="41"/>
    </row>
    <row r="11" s="6" customFormat="1" ht="25" customHeight="1" spans="1:251">
      <c r="A11" s="36">
        <v>6</v>
      </c>
      <c r="B11" s="37" t="str">
        <f>工资表!B9</f>
        <v>刘科</v>
      </c>
      <c r="C11" s="38" t="str">
        <f>工资表!C9</f>
        <v>招采工程师</v>
      </c>
      <c r="D11" s="39" t="s">
        <v>100</v>
      </c>
      <c r="E11" s="39" t="s">
        <v>100</v>
      </c>
      <c r="F11" s="39" t="s">
        <v>100</v>
      </c>
      <c r="G11" s="39" t="s">
        <v>100</v>
      </c>
      <c r="H11" s="39" t="s">
        <v>100</v>
      </c>
      <c r="I11" s="39" t="s">
        <v>87</v>
      </c>
      <c r="J11" s="39" t="s">
        <v>87</v>
      </c>
      <c r="K11" s="39" t="s">
        <v>100</v>
      </c>
      <c r="L11" s="39" t="s">
        <v>100</v>
      </c>
      <c r="M11" s="39" t="s">
        <v>100</v>
      </c>
      <c r="N11" s="39" t="s">
        <v>100</v>
      </c>
      <c r="O11" s="39" t="s">
        <v>100</v>
      </c>
      <c r="P11" s="39" t="s">
        <v>87</v>
      </c>
      <c r="Q11" s="39" t="s">
        <v>87</v>
      </c>
      <c r="R11" s="39" t="s">
        <v>100</v>
      </c>
      <c r="S11" s="39" t="s">
        <v>100</v>
      </c>
      <c r="T11" s="39" t="s">
        <v>100</v>
      </c>
      <c r="U11" s="39" t="s">
        <v>100</v>
      </c>
      <c r="V11" s="39" t="s">
        <v>87</v>
      </c>
      <c r="W11" s="39" t="s">
        <v>87</v>
      </c>
      <c r="X11" s="39" t="s">
        <v>87</v>
      </c>
      <c r="Y11" s="39" t="s">
        <v>100</v>
      </c>
      <c r="Z11" s="39" t="s">
        <v>100</v>
      </c>
      <c r="AA11" s="39" t="s">
        <v>100</v>
      </c>
      <c r="AB11" s="39" t="s">
        <v>100</v>
      </c>
      <c r="AC11" s="39" t="s">
        <v>100</v>
      </c>
      <c r="AD11" s="39" t="s">
        <v>87</v>
      </c>
      <c r="AE11" s="39" t="s">
        <v>87</v>
      </c>
      <c r="AF11" s="39" t="s">
        <v>100</v>
      </c>
      <c r="AG11" s="39" t="s">
        <v>100</v>
      </c>
      <c r="AH11" s="39"/>
      <c r="AI11" s="36">
        <f t="shared" si="0"/>
        <v>21</v>
      </c>
      <c r="AJ11" s="36">
        <f t="shared" si="1"/>
        <v>9</v>
      </c>
      <c r="AK11" s="40">
        <f t="shared" si="2"/>
        <v>21</v>
      </c>
      <c r="AL11" s="40">
        <f t="shared" si="3"/>
        <v>0</v>
      </c>
      <c r="AM11" s="40">
        <f t="shared" si="4"/>
        <v>9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6"/>
        <v>0</v>
      </c>
      <c r="AY11" s="40">
        <f t="shared" si="15"/>
        <v>0</v>
      </c>
      <c r="AZ11" s="41"/>
    </row>
    <row r="12" s="6" customFormat="1" ht="25" customHeight="1" spans="1:251">
      <c r="A12" s="36">
        <v>7</v>
      </c>
      <c r="B12" s="37" t="str">
        <f>工资表!B10</f>
        <v>高建梅</v>
      </c>
      <c r="C12" s="38" t="str">
        <f>工资表!C10</f>
        <v>出纳</v>
      </c>
      <c r="D12" s="39" t="s">
        <v>100</v>
      </c>
      <c r="E12" s="39" t="s">
        <v>100</v>
      </c>
      <c r="F12" s="39" t="s">
        <v>100</v>
      </c>
      <c r="G12" s="39" t="s">
        <v>100</v>
      </c>
      <c r="H12" s="39" t="s">
        <v>100</v>
      </c>
      <c r="I12" s="39" t="s">
        <v>87</v>
      </c>
      <c r="J12" s="39" t="s">
        <v>87</v>
      </c>
      <c r="K12" s="39" t="s">
        <v>100</v>
      </c>
      <c r="L12" s="39" t="s">
        <v>100</v>
      </c>
      <c r="M12" s="39" t="s">
        <v>100</v>
      </c>
      <c r="N12" s="39" t="s">
        <v>100</v>
      </c>
      <c r="O12" s="39" t="s">
        <v>100</v>
      </c>
      <c r="P12" s="39" t="s">
        <v>87</v>
      </c>
      <c r="Q12" s="39" t="s">
        <v>87</v>
      </c>
      <c r="R12" s="39" t="s">
        <v>100</v>
      </c>
      <c r="S12" s="39" t="s">
        <v>100</v>
      </c>
      <c r="T12" s="39" t="s">
        <v>100</v>
      </c>
      <c r="U12" s="39" t="s">
        <v>100</v>
      </c>
      <c r="V12" s="39" t="s">
        <v>87</v>
      </c>
      <c r="W12" s="39" t="s">
        <v>87</v>
      </c>
      <c r="X12" s="39" t="s">
        <v>87</v>
      </c>
      <c r="Y12" s="39" t="s">
        <v>100</v>
      </c>
      <c r="Z12" s="39" t="s">
        <v>100</v>
      </c>
      <c r="AA12" s="39" t="s">
        <v>100</v>
      </c>
      <c r="AB12" s="39" t="s">
        <v>100</v>
      </c>
      <c r="AC12" s="39" t="s">
        <v>100</v>
      </c>
      <c r="AD12" s="39" t="s">
        <v>87</v>
      </c>
      <c r="AE12" s="39" t="s">
        <v>87</v>
      </c>
      <c r="AF12" s="39" t="s">
        <v>100</v>
      </c>
      <c r="AG12" s="39" t="s">
        <v>100</v>
      </c>
      <c r="AH12" s="39"/>
      <c r="AI12" s="36">
        <f t="shared" si="0"/>
        <v>21</v>
      </c>
      <c r="AJ12" s="36">
        <f t="shared" si="1"/>
        <v>9</v>
      </c>
      <c r="AK12" s="40">
        <f t="shared" si="2"/>
        <v>21</v>
      </c>
      <c r="AL12" s="40">
        <f t="shared" si="3"/>
        <v>0</v>
      </c>
      <c r="AM12" s="40">
        <f t="shared" si="4"/>
        <v>9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6"/>
        <v>0</v>
      </c>
      <c r="AY12" s="40">
        <f t="shared" si="15"/>
        <v>0</v>
      </c>
      <c r="AZ12" s="41"/>
    </row>
    <row r="13" s="6" customFormat="1" ht="25" customHeight="1" spans="1:251">
      <c r="A13" s="36">
        <v>8</v>
      </c>
      <c r="B13" s="37" t="str">
        <f>工资表!B11</f>
        <v>周佳奇</v>
      </c>
      <c r="C13" s="38" t="str">
        <f>工资表!C11</f>
        <v>造价工程师</v>
      </c>
      <c r="D13" s="39" t="s">
        <v>100</v>
      </c>
      <c r="E13" s="39" t="s">
        <v>100</v>
      </c>
      <c r="F13" s="39" t="s">
        <v>100</v>
      </c>
      <c r="G13" s="39" t="s">
        <v>100</v>
      </c>
      <c r="H13" s="39" t="s">
        <v>100</v>
      </c>
      <c r="I13" s="39" t="s">
        <v>87</v>
      </c>
      <c r="J13" s="39" t="s">
        <v>87</v>
      </c>
      <c r="K13" s="39" t="s">
        <v>100</v>
      </c>
      <c r="L13" s="39" t="s">
        <v>100</v>
      </c>
      <c r="M13" s="39" t="s">
        <v>100</v>
      </c>
      <c r="N13" s="39" t="s">
        <v>100</v>
      </c>
      <c r="O13" s="39" t="s">
        <v>100</v>
      </c>
      <c r="P13" s="39" t="s">
        <v>87</v>
      </c>
      <c r="Q13" s="39" t="s">
        <v>87</v>
      </c>
      <c r="R13" s="39" t="s">
        <v>100</v>
      </c>
      <c r="S13" s="39" t="s">
        <v>100</v>
      </c>
      <c r="T13" s="39" t="s">
        <v>100</v>
      </c>
      <c r="U13" s="39" t="s">
        <v>100</v>
      </c>
      <c r="V13" s="39" t="s">
        <v>87</v>
      </c>
      <c r="W13" s="39" t="s">
        <v>87</v>
      </c>
      <c r="X13" s="39" t="s">
        <v>87</v>
      </c>
      <c r="Y13" s="39" t="s">
        <v>100</v>
      </c>
      <c r="Z13" s="39" t="s">
        <v>100</v>
      </c>
      <c r="AA13" s="39" t="s">
        <v>100</v>
      </c>
      <c r="AB13" s="39" t="s">
        <v>100</v>
      </c>
      <c r="AC13" s="39" t="s">
        <v>100</v>
      </c>
      <c r="AD13" s="39" t="s">
        <v>87</v>
      </c>
      <c r="AE13" s="39" t="s">
        <v>87</v>
      </c>
      <c r="AF13" s="39" t="s">
        <v>100</v>
      </c>
      <c r="AG13" s="39" t="s">
        <v>100</v>
      </c>
      <c r="AH13" s="39"/>
      <c r="AI13" s="36">
        <f t="shared" si="0"/>
        <v>21</v>
      </c>
      <c r="AJ13" s="36">
        <f t="shared" si="1"/>
        <v>9</v>
      </c>
      <c r="AK13" s="40">
        <f t="shared" si="2"/>
        <v>21</v>
      </c>
      <c r="AL13" s="40">
        <f t="shared" si="3"/>
        <v>0</v>
      </c>
      <c r="AM13" s="40">
        <f t="shared" si="4"/>
        <v>9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6"/>
        <v>0</v>
      </c>
      <c r="AY13" s="40">
        <f t="shared" si="15"/>
        <v>0</v>
      </c>
      <c r="AZ13" s="41"/>
    </row>
    <row r="14" s="6" customFormat="1" ht="25" customHeight="1" spans="1:251">
      <c r="A14" s="36">
        <v>9</v>
      </c>
      <c r="B14" s="37" t="str">
        <f>工资表!B12</f>
        <v>白媛媛</v>
      </c>
      <c r="C14" s="38" t="str">
        <f>工资表!C12</f>
        <v>开发报建工程师</v>
      </c>
      <c r="D14" s="39" t="s">
        <v>100</v>
      </c>
      <c r="E14" s="39" t="s">
        <v>100</v>
      </c>
      <c r="F14" s="39" t="s">
        <v>100</v>
      </c>
      <c r="G14" s="39" t="s">
        <v>100</v>
      </c>
      <c r="H14" s="39" t="s">
        <v>100</v>
      </c>
      <c r="I14" s="39" t="s">
        <v>87</v>
      </c>
      <c r="J14" s="39" t="s">
        <v>87</v>
      </c>
      <c r="K14" s="39" t="s">
        <v>100</v>
      </c>
      <c r="L14" s="39" t="s">
        <v>100</v>
      </c>
      <c r="M14" s="39" t="s">
        <v>100</v>
      </c>
      <c r="N14" s="39" t="s">
        <v>100</v>
      </c>
      <c r="O14" s="39" t="s">
        <v>100</v>
      </c>
      <c r="P14" s="39" t="s">
        <v>87</v>
      </c>
      <c r="Q14" s="39" t="s">
        <v>87</v>
      </c>
      <c r="R14" s="39" t="s">
        <v>100</v>
      </c>
      <c r="S14" s="39" t="s">
        <v>100</v>
      </c>
      <c r="T14" s="39" t="s">
        <v>100</v>
      </c>
      <c r="U14" s="39" t="s">
        <v>100</v>
      </c>
      <c r="V14" s="39" t="s">
        <v>87</v>
      </c>
      <c r="W14" s="39" t="s">
        <v>87</v>
      </c>
      <c r="X14" s="39" t="s">
        <v>87</v>
      </c>
      <c r="Y14" s="39" t="s">
        <v>100</v>
      </c>
      <c r="Z14" s="39" t="s">
        <v>100</v>
      </c>
      <c r="AA14" s="39" t="s">
        <v>100</v>
      </c>
      <c r="AB14" s="39" t="s">
        <v>100</v>
      </c>
      <c r="AC14" s="39" t="s">
        <v>100</v>
      </c>
      <c r="AD14" s="39" t="s">
        <v>87</v>
      </c>
      <c r="AE14" s="39" t="s">
        <v>87</v>
      </c>
      <c r="AF14" s="39" t="s">
        <v>100</v>
      </c>
      <c r="AG14" s="39" t="s">
        <v>100</v>
      </c>
      <c r="AH14" s="39"/>
      <c r="AI14" s="36">
        <f t="shared" si="0"/>
        <v>21</v>
      </c>
      <c r="AJ14" s="36">
        <f t="shared" si="1"/>
        <v>9</v>
      </c>
      <c r="AK14" s="40">
        <f t="shared" si="2"/>
        <v>21</v>
      </c>
      <c r="AL14" s="40">
        <f t="shared" si="3"/>
        <v>0</v>
      </c>
      <c r="AM14" s="40">
        <f t="shared" si="4"/>
        <v>9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6"/>
        <v>0</v>
      </c>
      <c r="AY14" s="40">
        <f t="shared" si="15"/>
        <v>0</v>
      </c>
      <c r="AZ14" s="41"/>
    </row>
    <row r="15" s="6" customFormat="1" ht="25" customHeight="1" spans="1:251">
      <c r="A15" s="36">
        <v>10</v>
      </c>
      <c r="B15" s="37" t="str">
        <f>工资表!B13</f>
        <v>温进进</v>
      </c>
      <c r="C15" s="38" t="str">
        <f>工资表!C13</f>
        <v>土建工程师</v>
      </c>
      <c r="D15" s="39" t="s">
        <v>100</v>
      </c>
      <c r="E15" s="39" t="s">
        <v>100</v>
      </c>
      <c r="F15" s="39" t="s">
        <v>100</v>
      </c>
      <c r="G15" s="39" t="s">
        <v>100</v>
      </c>
      <c r="H15" s="39" t="s">
        <v>100</v>
      </c>
      <c r="I15" s="39" t="s">
        <v>87</v>
      </c>
      <c r="J15" s="39" t="s">
        <v>87</v>
      </c>
      <c r="K15" s="39" t="s">
        <v>100</v>
      </c>
      <c r="L15" s="39" t="s">
        <v>100</v>
      </c>
      <c r="M15" s="39" t="s">
        <v>100</v>
      </c>
      <c r="N15" s="39" t="s">
        <v>100</v>
      </c>
      <c r="O15" s="39" t="s">
        <v>100</v>
      </c>
      <c r="P15" s="39" t="s">
        <v>87</v>
      </c>
      <c r="Q15" s="39" t="s">
        <v>87</v>
      </c>
      <c r="R15" s="39" t="s">
        <v>100</v>
      </c>
      <c r="S15" s="39" t="s">
        <v>100</v>
      </c>
      <c r="T15" s="39" t="s">
        <v>100</v>
      </c>
      <c r="U15" s="39" t="s">
        <v>100</v>
      </c>
      <c r="V15" s="39" t="s">
        <v>87</v>
      </c>
      <c r="W15" s="39" t="s">
        <v>87</v>
      </c>
      <c r="X15" s="39" t="s">
        <v>87</v>
      </c>
      <c r="Y15" s="39" t="s">
        <v>100</v>
      </c>
      <c r="Z15" s="39" t="s">
        <v>100</v>
      </c>
      <c r="AA15" s="39" t="s">
        <v>100</v>
      </c>
      <c r="AB15" s="39" t="s">
        <v>100</v>
      </c>
      <c r="AC15" s="39" t="s">
        <v>100</v>
      </c>
      <c r="AD15" s="39" t="s">
        <v>87</v>
      </c>
      <c r="AE15" s="39" t="s">
        <v>87</v>
      </c>
      <c r="AF15" s="39" t="s">
        <v>100</v>
      </c>
      <c r="AG15" s="39" t="s">
        <v>100</v>
      </c>
      <c r="AH15" s="39"/>
      <c r="AI15" s="36">
        <f t="shared" si="0"/>
        <v>21</v>
      </c>
      <c r="AJ15" s="36">
        <f t="shared" si="1"/>
        <v>9</v>
      </c>
      <c r="AK15" s="40">
        <f t="shared" si="2"/>
        <v>21</v>
      </c>
      <c r="AL15" s="40">
        <f t="shared" si="3"/>
        <v>0</v>
      </c>
      <c r="AM15" s="40">
        <f t="shared" si="4"/>
        <v>9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6"/>
        <v>0</v>
      </c>
      <c r="AY15" s="40">
        <f t="shared" si="15"/>
        <v>0</v>
      </c>
      <c r="AZ15" s="41"/>
    </row>
    <row r="16" s="7" customFormat="1" ht="25" customHeight="1" spans="1:251">
      <c r="A16" s="36">
        <v>11</v>
      </c>
      <c r="B16" s="37" t="str">
        <f>工资表!B14</f>
        <v>尹江</v>
      </c>
      <c r="C16" s="38" t="str">
        <f>工资表!C14</f>
        <v>水暖工程师</v>
      </c>
      <c r="D16" s="39" t="s">
        <v>100</v>
      </c>
      <c r="E16" s="39" t="s">
        <v>100</v>
      </c>
      <c r="F16" s="39" t="s">
        <v>100</v>
      </c>
      <c r="G16" s="39" t="s">
        <v>100</v>
      </c>
      <c r="H16" s="39" t="s">
        <v>100</v>
      </c>
      <c r="I16" s="39" t="s">
        <v>87</v>
      </c>
      <c r="J16" s="39" t="s">
        <v>87</v>
      </c>
      <c r="K16" s="39" t="s">
        <v>100</v>
      </c>
      <c r="L16" s="39" t="s">
        <v>100</v>
      </c>
      <c r="M16" s="39" t="s">
        <v>100</v>
      </c>
      <c r="N16" s="39" t="s">
        <v>100</v>
      </c>
      <c r="O16" s="39" t="s">
        <v>100</v>
      </c>
      <c r="P16" s="39" t="s">
        <v>87</v>
      </c>
      <c r="Q16" s="39" t="s">
        <v>87</v>
      </c>
      <c r="R16" s="39" t="s">
        <v>100</v>
      </c>
      <c r="S16" s="39" t="s">
        <v>86</v>
      </c>
      <c r="T16" s="39" t="s">
        <v>86</v>
      </c>
      <c r="U16" s="39" t="s">
        <v>86</v>
      </c>
      <c r="V16" s="39" t="s">
        <v>87</v>
      </c>
      <c r="W16" s="39" t="s">
        <v>87</v>
      </c>
      <c r="X16" s="39" t="s">
        <v>87</v>
      </c>
      <c r="Y16" s="39" t="s">
        <v>100</v>
      </c>
      <c r="Z16" s="39" t="s">
        <v>100</v>
      </c>
      <c r="AA16" s="39" t="s">
        <v>100</v>
      </c>
      <c r="AB16" s="39" t="s">
        <v>100</v>
      </c>
      <c r="AC16" s="39" t="s">
        <v>100</v>
      </c>
      <c r="AD16" s="39" t="s">
        <v>87</v>
      </c>
      <c r="AE16" s="39" t="s">
        <v>87</v>
      </c>
      <c r="AF16" s="39" t="s">
        <v>100</v>
      </c>
      <c r="AG16" s="39" t="s">
        <v>100</v>
      </c>
      <c r="AH16" s="39"/>
      <c r="AI16" s="36">
        <f t="shared" si="0"/>
        <v>21</v>
      </c>
      <c r="AJ16" s="36">
        <f t="shared" si="1"/>
        <v>9</v>
      </c>
      <c r="AK16" s="40">
        <f t="shared" si="2"/>
        <v>18</v>
      </c>
      <c r="AL16" s="40">
        <f t="shared" si="3"/>
        <v>3</v>
      </c>
      <c r="AM16" s="40">
        <f t="shared" si="4"/>
        <v>9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="7" customFormat="1" ht="25" customHeight="1" spans="1:251">
      <c r="A17" s="36">
        <v>12</v>
      </c>
      <c r="B17" s="37" t="str">
        <f>工资表!B15</f>
        <v>王跃敏</v>
      </c>
      <c r="C17" s="38" t="str">
        <f>工资表!C15</f>
        <v>保洁</v>
      </c>
      <c r="D17" s="39" t="s">
        <v>100</v>
      </c>
      <c r="E17" s="39" t="s">
        <v>100</v>
      </c>
      <c r="F17" s="39" t="s">
        <v>100</v>
      </c>
      <c r="G17" s="39" t="s">
        <v>100</v>
      </c>
      <c r="H17" s="39" t="s">
        <v>87</v>
      </c>
      <c r="I17" s="39" t="s">
        <v>100</v>
      </c>
      <c r="J17" s="39" t="s">
        <v>100</v>
      </c>
      <c r="K17" s="39" t="s">
        <v>100</v>
      </c>
      <c r="L17" s="39" t="s">
        <v>100</v>
      </c>
      <c r="M17" s="39" t="s">
        <v>100</v>
      </c>
      <c r="N17" s="39" t="s">
        <v>100</v>
      </c>
      <c r="O17" s="39" t="s">
        <v>87</v>
      </c>
      <c r="P17" s="39" t="s">
        <v>100</v>
      </c>
      <c r="Q17" s="39" t="s">
        <v>100</v>
      </c>
      <c r="R17" s="39" t="s">
        <v>100</v>
      </c>
      <c r="S17" s="39" t="s">
        <v>100</v>
      </c>
      <c r="T17" s="39" t="s">
        <v>100</v>
      </c>
      <c r="U17" s="39" t="s">
        <v>100</v>
      </c>
      <c r="V17" s="39" t="s">
        <v>100</v>
      </c>
      <c r="W17" s="39" t="s">
        <v>100</v>
      </c>
      <c r="X17" s="39" t="s">
        <v>100</v>
      </c>
      <c r="Y17" s="39" t="s">
        <v>100</v>
      </c>
      <c r="Z17" s="39" t="s">
        <v>100</v>
      </c>
      <c r="AA17" s="39" t="s">
        <v>87</v>
      </c>
      <c r="AB17" s="39" t="s">
        <v>100</v>
      </c>
      <c r="AC17" s="39" t="s">
        <v>100</v>
      </c>
      <c r="AD17" s="39" t="s">
        <v>100</v>
      </c>
      <c r="AE17" s="39" t="s">
        <v>100</v>
      </c>
      <c r="AF17" s="39" t="s">
        <v>100</v>
      </c>
      <c r="AG17" s="39" t="s">
        <v>87</v>
      </c>
      <c r="AH17" s="39"/>
      <c r="AI17" s="36">
        <f t="shared" si="0"/>
        <v>26</v>
      </c>
      <c r="AJ17" s="36">
        <f t="shared" si="1"/>
        <v>4</v>
      </c>
      <c r="AK17" s="40">
        <f t="shared" si="2"/>
        <v>26</v>
      </c>
      <c r="AL17" s="40">
        <f t="shared" si="3"/>
        <v>0</v>
      </c>
      <c r="AM17" s="40">
        <f t="shared" si="4"/>
        <v>4</v>
      </c>
      <c r="AN17" s="40">
        <f>COUNTIF($D17:$AH17,"病假")</f>
        <v>0</v>
      </c>
      <c r="AO17" s="40">
        <f>COUNTIF($D17:$AH17,"事假")</f>
        <v>0</v>
      </c>
      <c r="AP17" s="40">
        <f>COUNTIF($D17:$AH17,"旷工")</f>
        <v>0</v>
      </c>
      <c r="AQ17" s="40">
        <f>COUNTIF($D17:$AH17,"工伤")</f>
        <v>0</v>
      </c>
      <c r="AR17" s="40">
        <f>COUNTIF($D17:$AH17,"培训")</f>
        <v>0</v>
      </c>
      <c r="AS17" s="40">
        <f>COUNTIF($D17:$AH17,"冬休")</f>
        <v>0</v>
      </c>
      <c r="AT17" s="40">
        <f>COUNTIF($D17:$AH17,"休假")</f>
        <v>0</v>
      </c>
      <c r="AU17" s="40">
        <f>COUNTIF($D17:$AH17,"探亲")</f>
        <v>0</v>
      </c>
      <c r="AV17" s="40">
        <f>COUNTIF($D17:$AH17,"产假")</f>
        <v>0</v>
      </c>
      <c r="AW17" s="40">
        <f>COUNTIF($D17:$AH17,"陪护假")</f>
        <v>0</v>
      </c>
      <c r="AX17" s="40">
        <f>COUNTIF($D17:$AH17,"婚丧假")</f>
        <v>0</v>
      </c>
      <c r="AY17" s="40">
        <f>COUNTIF($D17:$AH17,"待岗")</f>
        <v>0</v>
      </c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闫金秀</v>
      </c>
      <c r="C18" s="38" t="str">
        <f>工资表!C16</f>
        <v>置业顾问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6">
        <f t="shared" ref="AI18:AI24" si="17">AK18+AL18+AR18</f>
        <v>0</v>
      </c>
      <c r="AJ18" s="36">
        <f t="shared" ref="AJ18:AJ24" si="18">AM18</f>
        <v>0</v>
      </c>
      <c r="AK18" s="40">
        <f t="shared" ref="AK18:AK24" si="19">COUNTIF($D18:$AH18,"√")</f>
        <v>0</v>
      </c>
      <c r="AL18" s="40">
        <f t="shared" ref="AL18:AL24" si="20">COUNTIF($D18:$AH18,"出差")</f>
        <v>0</v>
      </c>
      <c r="AM18" s="40">
        <f t="shared" ref="AM18:AM24" si="21">COUNTIF($D18:$AH18,"公休")</f>
        <v>0</v>
      </c>
      <c r="AN18" s="40">
        <f t="shared" ref="AN18:AN24" si="22">COUNTIF($D18:$AH18,"病假")</f>
        <v>0</v>
      </c>
      <c r="AO18" s="40">
        <f t="shared" ref="AO18:AO24" si="23">COUNTIF($D18:$AH18,"事假")</f>
        <v>0</v>
      </c>
      <c r="AP18" s="40">
        <f t="shared" ref="AP18:AP24" si="24">COUNTIF($D18:$AH18,"旷工")</f>
        <v>0</v>
      </c>
      <c r="AQ18" s="40">
        <f t="shared" ref="AQ18:AQ24" si="25">COUNTIF($D18:$AH18,"工伤")</f>
        <v>0</v>
      </c>
      <c r="AR18" s="40">
        <f t="shared" ref="AR18:AR24" si="26">COUNTIF($D18:$AH18,"培训")</f>
        <v>0</v>
      </c>
      <c r="AS18" s="40">
        <f t="shared" ref="AS18:AS24" si="27">COUNTIF($D18:$AH18,"冬休")</f>
        <v>0</v>
      </c>
      <c r="AT18" s="40">
        <f t="shared" ref="AT18:AT24" si="28">COUNTIF($D18:$AH18,"休假")</f>
        <v>0</v>
      </c>
      <c r="AU18" s="40">
        <f t="shared" ref="AU18:AU24" si="29">COUNTIF($D18:$AH18,"探亲")</f>
        <v>0</v>
      </c>
      <c r="AV18" s="40">
        <f t="shared" ref="AV18:AV24" si="30">COUNTIF($D18:$AH18,"产假")</f>
        <v>0</v>
      </c>
      <c r="AW18" s="40">
        <f t="shared" ref="AW18:AW24" si="31">COUNTIF($D18:$AH18,"陪护假")</f>
        <v>0</v>
      </c>
      <c r="AX18" s="40">
        <f t="shared" ref="AX18:AX24" si="32">COUNTIF($D18:$AH18,"婚丧假")</f>
        <v>0</v>
      </c>
      <c r="AY18" s="40">
        <f t="shared" ref="AY18:AY24" si="33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32" customHeight="1" spans="1:251">
      <c r="A19" s="42"/>
      <c r="B19" s="43"/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2"/>
      <c r="AJ19" s="42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7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0" customHeight="1" spans="1:251">
      <c r="A20" s="6"/>
      <c r="B20" s="48" t="s">
        <v>71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46"/>
      <c r="AJ20" s="51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52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</row>
    <row r="21" ht="24" customHeight="1" spans="1:251">
      <c r="D21" s="6"/>
      <c r="E21" s="6" t="s">
        <v>73</v>
      </c>
      <c r="K21" s="6"/>
      <c r="L21" s="6"/>
      <c r="M21" s="6"/>
      <c r="N21" s="6"/>
      <c r="R21" s="6"/>
      <c r="S21" s="6"/>
      <c r="U21" s="53"/>
      <c r="V21" s="53" t="s">
        <v>75</v>
      </c>
      <c r="Y21" s="6"/>
      <c r="Z21" s="6"/>
      <c r="AF21" s="6"/>
      <c r="AG21" s="6"/>
      <c r="AI21" s="6" t="s">
        <v>76</v>
      </c>
    </row>
    <row r="22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101</v>
      </c>
      <c r="F2" s="1" t="s">
        <v>102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(VLOOKUP(B3,工资表!B4:G13,6,0)+VLOOKUP(B3,工资表!B4:H13,7,0))/工资表!F4*VLOOKUP(B3,考勤!B6:AI15,34,0)</f>
        <v>25500</v>
      </c>
      <c r="E3" s="5">
        <f>VLOOKUP(B3,工资表!B4:S13,18,0)</f>
        <v>23418</v>
      </c>
      <c r="F3" s="5">
        <f t="shared" ref="F3:F22" si="0">D3-E3</f>
        <v>2081.99999999999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(VLOOKUP(B4,工资表!B5:G14,6,0)+VLOOKUP(B4,工资表!B5:H14,7,0))/工资表!F5*VLOOKUP(B4,考勤!B7:AI16,34,0)</f>
        <v>17000</v>
      </c>
      <c r="E4" s="5">
        <f>VLOOKUP(B4,工资表!B5:S14,18,0)</f>
        <v>21980</v>
      </c>
      <c r="F4" s="5">
        <f t="shared" si="0"/>
        <v>-4980.00000000001</v>
      </c>
      <c r="G4" s="1" t="s">
        <v>103</v>
      </c>
    </row>
    <row r="5" customHeight="1" spans="1:7">
      <c r="A5" s="1">
        <v>3</v>
      </c>
      <c r="B5" s="1" t="e">
        <f>工资表!#REF!</f>
        <v>#REF!</v>
      </c>
      <c r="C5" s="1" t="e">
        <f>工资表!#REF!</f>
        <v>#REF!</v>
      </c>
      <c r="D5" s="5" t="e">
        <f>(VLOOKUP(B5,工资表!B6:G14,6,0)+VLOOKUP(B5,工资表!B6:H14,7,0))/工资表!#REF!*VLOOKUP(B5,考勤!B8:AI16,34,0)</f>
        <v>#REF!</v>
      </c>
      <c r="E5" s="5" t="e">
        <f>VLOOKUP(B5,工资表!B6:S14,18,0)</f>
        <v>#REF!</v>
      </c>
      <c r="F5" s="5" t="e">
        <f t="shared" si="0"/>
        <v>#REF!</v>
      </c>
    </row>
    <row r="6" customHeight="1" spans="1:7">
      <c r="A6" s="1">
        <v>4</v>
      </c>
      <c r="B6" s="1" t="str">
        <f>工资表!B6</f>
        <v>徐惠蓉</v>
      </c>
      <c r="C6" s="1">
        <f>工资表!R6</f>
        <v>21</v>
      </c>
      <c r="D6" s="5">
        <f>(VLOOKUP(B6,工资表!B6:G14,6,0)+VLOOKUP(B6,工资表!B6:H14,7,0))/工资表!F6*VLOOKUP(B6,考勤!B8:AI16,34,0)</f>
        <v>15300</v>
      </c>
      <c r="E6" s="5">
        <f>VLOOKUP(B6,工资表!B6:S14,18,0)</f>
        <v>15580</v>
      </c>
      <c r="F6" s="5">
        <f t="shared" si="0"/>
        <v>-279.999999999987</v>
      </c>
      <c r="G6" s="1" t="s">
        <v>104</v>
      </c>
    </row>
    <row r="7" customHeight="1" spans="1:7">
      <c r="A7" s="1">
        <v>5</v>
      </c>
      <c r="B7" s="1" t="str">
        <f>工资表!B7</f>
        <v>沈陈瑾慧</v>
      </c>
      <c r="C7" s="1">
        <f>工资表!R7</f>
        <v>21</v>
      </c>
      <c r="D7" s="5">
        <f>(VLOOKUP(B7,工资表!B7:G14,6,0)+VLOOKUP(B7,工资表!B7:H14,7,0))/工资表!F7*VLOOKUP(B7,考勤!B9:AI16,34,0)</f>
        <v>7000</v>
      </c>
      <c r="E7" s="5">
        <f>VLOOKUP(B7,工资表!B7:S14,18,0)</f>
        <v>7000.00000000001</v>
      </c>
      <c r="F7" s="5">
        <f t="shared" si="0"/>
        <v>-8.18545231595635e-12</v>
      </c>
      <c r="G7" s="1" t="s">
        <v>103</v>
      </c>
    </row>
    <row r="8" customHeight="1" spans="1:7">
      <c r="A8" s="1">
        <v>6</v>
      </c>
      <c r="B8" s="1" t="str">
        <f>工资表!B8</f>
        <v>管丽萍</v>
      </c>
      <c r="C8" s="1">
        <f>工资表!R8</f>
        <v>21</v>
      </c>
      <c r="D8" s="5">
        <f>(VLOOKUP(B8,工资表!B8:G14,6,0)+VLOOKUP(B8,工资表!B8:H14,7,0))/工资表!F8*VLOOKUP(B8,考勤!B10:AI16,34,0)</f>
        <v>6000</v>
      </c>
      <c r="E8" s="5">
        <f>VLOOKUP(B8,工资表!B8:S14,18,0)</f>
        <v>6700.00000000001</v>
      </c>
      <c r="F8" s="5">
        <f t="shared" si="0"/>
        <v>-700.000000000008</v>
      </c>
      <c r="G8" s="1" t="s">
        <v>104</v>
      </c>
    </row>
    <row r="9" customHeight="1" spans="1:7">
      <c r="A9" s="1">
        <v>7</v>
      </c>
      <c r="B9" s="1" t="str">
        <f>工资表!B9</f>
        <v>刘科</v>
      </c>
      <c r="C9" s="1">
        <f>工资表!R9</f>
        <v>21</v>
      </c>
      <c r="D9" s="5">
        <f>(VLOOKUP(B9,工资表!B9:G14,6,0)+VLOOKUP(B9,工资表!B9:H14,7,0))/工资表!F9*VLOOKUP(B9,考勤!B11:AI16,34,0)</f>
        <v>7500</v>
      </c>
      <c r="E9" s="5">
        <f>VLOOKUP(B9,工资表!B9:S14,18,0)</f>
        <v>9480.00000000001</v>
      </c>
      <c r="F9" s="5">
        <f t="shared" si="0"/>
        <v>-1980.00000000001</v>
      </c>
    </row>
    <row r="10" customHeight="1" spans="1:7">
      <c r="A10" s="1">
        <v>8</v>
      </c>
      <c r="B10" s="1" t="str">
        <f>工资表!B10</f>
        <v>高建梅</v>
      </c>
      <c r="C10" s="1">
        <f>工资表!R10</f>
        <v>21</v>
      </c>
      <c r="D10" s="5">
        <f>(VLOOKUP(B10,工资表!B10:G16,6,0)+VLOOKUP(B10,工资表!B10:H16,7,0))/工资表!F10*VLOOKUP(B10,考勤!B12:AI17,34,0)</f>
        <v>6500</v>
      </c>
      <c r="E10" s="5">
        <f>VLOOKUP(B10,工资表!B10:S16,18,0)</f>
        <v>6700.00000000001</v>
      </c>
      <c r="F10" s="5">
        <f t="shared" si="0"/>
        <v>-200.000000000008</v>
      </c>
      <c r="G10" s="1" t="s">
        <v>104</v>
      </c>
    </row>
    <row r="11" customHeight="1" spans="1:7">
      <c r="A11" s="1">
        <v>9</v>
      </c>
      <c r="B11" s="1" t="str">
        <f>工资表!B11</f>
        <v>周佳奇</v>
      </c>
      <c r="C11" s="1">
        <f>工资表!R11</f>
        <v>21</v>
      </c>
      <c r="D11" s="5">
        <f>(VLOOKUP(B11,工资表!B11:G16,6,0)+VLOOKUP(B11,工资表!B11:H16,7,0))/工资表!F11*VLOOKUP(B11,考勤!B13:AI17,34,0)</f>
        <v>7800</v>
      </c>
      <c r="E11" s="5">
        <f>VLOOKUP(B11,工资表!B11:S16,18,0)</f>
        <v>12780</v>
      </c>
      <c r="F11" s="5">
        <f t="shared" si="0"/>
        <v>-4980</v>
      </c>
    </row>
    <row r="12" customHeight="1" spans="1:7">
      <c r="A12" s="1">
        <v>10</v>
      </c>
      <c r="B12" s="1" t="str">
        <f>工资表!B12</f>
        <v>白媛媛</v>
      </c>
      <c r="C12" s="1">
        <f>工资表!R12</f>
        <v>21</v>
      </c>
      <c r="D12" s="5">
        <f>(VLOOKUP(B12,工资表!B12:G16,6,0)+VLOOKUP(B12,工资表!B12:H16,7,0))/工资表!F12*VLOOKUP(B12,考勤!B14:AI17,34,0)</f>
        <v>4500</v>
      </c>
      <c r="E12" s="5">
        <f>VLOOKUP(B12,工资表!B12:S16,18,0)</f>
        <v>5309.99999999999</v>
      </c>
      <c r="F12" s="5">
        <f t="shared" si="0"/>
        <v>-809.999999999992</v>
      </c>
      <c r="G12" s="1" t="s">
        <v>105</v>
      </c>
    </row>
    <row r="13" customHeight="1" spans="1:7">
      <c r="A13" s="1">
        <v>11</v>
      </c>
      <c r="B13" s="1" t="str">
        <f>工资表!B13</f>
        <v>温进进</v>
      </c>
      <c r="C13" s="1">
        <f>工资表!R13</f>
        <v>21</v>
      </c>
      <c r="D13" s="5">
        <f>(VLOOKUP(B13,工资表!B13:G16,6,0)+VLOOKUP(B13,工资表!B13:H16,7,0))/工资表!F13*VLOOKUP(B13,考勤!B15:AI17,34,0)</f>
        <v>13500</v>
      </c>
      <c r="E13" s="5">
        <f>VLOOKUP(B13,工资表!B13:S16,18,0)</f>
        <v>32730</v>
      </c>
      <c r="F13" s="5">
        <f t="shared" si="0"/>
        <v>-19230</v>
      </c>
    </row>
    <row r="14" customHeight="1" spans="1:7">
      <c r="A14" s="1">
        <v>12</v>
      </c>
      <c r="B14" s="1" t="str">
        <f>工资表!B14</f>
        <v>尹江</v>
      </c>
      <c r="C14" s="1">
        <f>工资表!R14</f>
        <v>21</v>
      </c>
      <c r="D14" s="5">
        <f>(VLOOKUP(B14,工资表!B14:G16,6,0)+VLOOKUP(B14,工资表!B14:H16,7,0))/工资表!F14*VLOOKUP(B14,考勤!B16:AI17,34,0)</f>
        <v>12000</v>
      </c>
      <c r="E14" s="5">
        <f>VLOOKUP(B14,工资表!B14:S16,18,0)</f>
        <v>12000</v>
      </c>
      <c r="F14" s="5">
        <f t="shared" si="0"/>
        <v>0</v>
      </c>
    </row>
    <row r="15" customHeight="1" spans="1:7">
      <c r="A15" s="1">
        <v>13</v>
      </c>
      <c r="B15" s="1" t="e">
        <f>工资表!#REF!</f>
        <v>#REF!</v>
      </c>
      <c r="C15" s="1" t="e">
        <f>工资表!#REF!</f>
        <v>#REF!</v>
      </c>
      <c r="D15" s="5" t="e">
        <f>(VLOOKUP(B15,工资表!B16:G16,6,0)+VLOOKUP(B15,工资表!B16:H16,7,0))/工资表!#REF!*VLOOKUP(B15,考勤!B17:AI17,34,0)</f>
        <v>#REF!</v>
      </c>
      <c r="E15" s="5" t="e">
        <f>VLOOKUP(B15,工资表!B16:S16,18,0)</f>
        <v>#REF!</v>
      </c>
      <c r="F15" s="5" t="e">
        <f t="shared" si="0"/>
        <v>#REF!</v>
      </c>
    </row>
    <row r="16" customHeight="1" spans="1:7">
      <c r="A16" s="1">
        <v>14</v>
      </c>
      <c r="B16" s="1" t="e">
        <f>工资表!#REF!</f>
        <v>#REF!</v>
      </c>
      <c r="C16" s="1" t="e">
        <f>工资表!#REF!</f>
        <v>#REF!</v>
      </c>
      <c r="D16" s="5" t="e">
        <f>(VLOOKUP(B16,工资表!B16:G16,6,0)+VLOOKUP(B16,工资表!B16:H16,7,0))/工资表!#REF!*VLOOKUP(B16,考勤!B17:AI17,34,0)</f>
        <v>#REF!</v>
      </c>
      <c r="E16" s="5" t="e">
        <f>VLOOKUP(B16,工资表!B16:S16,18,0)</f>
        <v>#REF!</v>
      </c>
      <c r="F16" s="5" t="e">
        <f t="shared" si="0"/>
        <v>#REF!</v>
      </c>
    </row>
    <row r="17" customHeight="1" spans="1:7">
      <c r="A17" s="1">
        <v>15</v>
      </c>
      <c r="B17" s="1" t="e">
        <f>工资表!#REF!</f>
        <v>#REF!</v>
      </c>
      <c r="C17" s="1" t="e">
        <f>工资表!#REF!</f>
        <v>#REF!</v>
      </c>
      <c r="D17" s="5" t="e">
        <f>(VLOOKUP(B17,工资表!B16:G16,6,0)+VLOOKUP(B17,工资表!B16:H16,7,0))/工资表!#REF!*VLOOKUP(B17,考勤!B17:AI17,34,0)</f>
        <v>#REF!</v>
      </c>
      <c r="E17" s="5" t="e">
        <f>VLOOKUP(B17,工资表!B16:S16,18,0)</f>
        <v>#REF!</v>
      </c>
      <c r="F17" s="5" t="e">
        <f t="shared" si="0"/>
        <v>#REF!</v>
      </c>
      <c r="G17" s="1" t="s">
        <v>17</v>
      </c>
    </row>
    <row r="18" customHeight="1" spans="1:7">
      <c r="A18" s="1">
        <v>16</v>
      </c>
      <c r="B18" s="1" t="e">
        <f>工资表!#REF!</f>
        <v>#REF!</v>
      </c>
      <c r="C18" s="1" t="e">
        <f>工资表!#REF!</f>
        <v>#REF!</v>
      </c>
      <c r="D18" s="5" t="e">
        <f>(VLOOKUP(B18,工资表!B16:G16,6,0)+VLOOKUP(B18,工资表!B16:H16,7,0))/工资表!#REF!*VLOOKUP(B18,考勤!B17:AI17,34,0)</f>
        <v>#REF!</v>
      </c>
      <c r="E18" s="5" t="e">
        <f>VLOOKUP(B18,工资表!B16:S16,18,0)</f>
        <v>#REF!</v>
      </c>
      <c r="F18" s="5" t="e">
        <f t="shared" si="0"/>
        <v>#REF!</v>
      </c>
      <c r="G18" s="1" t="s">
        <v>17</v>
      </c>
    </row>
    <row r="19" customHeight="1" spans="1:7">
      <c r="A19" s="1">
        <v>17</v>
      </c>
      <c r="B19" s="1" t="str">
        <f>工资表!B16</f>
        <v>闫金秀</v>
      </c>
      <c r="C19" s="1">
        <f>工资表!R16</f>
        <v>0</v>
      </c>
      <c r="D19" s="5" t="e">
        <f>(VLOOKUP(B19,工资表!B16:G16,6,0)+VLOOKUP(B19,工资表!B16:H16,7,0))/工资表!F16*VLOOKUP(B19,考勤!B17:AI17,34,0)</f>
        <v>#DIV/0!</v>
      </c>
      <c r="E19" s="5">
        <f>VLOOKUP(B19,工资表!B16:S16,18,0)</f>
        <v>3207.84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e">
        <f>工资表!#REF!</f>
        <v>#REF!</v>
      </c>
      <c r="C20" s="1" t="e">
        <f>工资表!#REF!</f>
        <v>#REF!</v>
      </c>
      <c r="D20" s="5" t="e">
        <f>(VLOOKUP(B20,工资表!#REF!,6,0)+VLOOKUP(B20,工资表!#REF!,7,0))/工资表!#REF!*VLOOKUP(B20,考勤!B18:AI18,34,0)</f>
        <v>#REF!</v>
      </c>
      <c r="E20" s="5" t="e">
        <f>VLOOKUP(B20,工资表!#REF!,18,0)</f>
        <v>#REF!</v>
      </c>
      <c r="F20" s="5" t="e">
        <f t="shared" si="0"/>
        <v>#REF!</v>
      </c>
      <c r="G20" s="1" t="s">
        <v>17</v>
      </c>
    </row>
    <row r="21" customHeight="1" spans="1:7">
      <c r="A21" s="1">
        <v>19</v>
      </c>
      <c r="B21" s="1" t="e">
        <f>工资表!#REF!</f>
        <v>#REF!</v>
      </c>
      <c r="C21" s="1" t="e">
        <f>工资表!#REF!</f>
        <v>#REF!</v>
      </c>
      <c r="D21" s="5" t="e">
        <f>(VLOOKUP(B21,工资表!B18:G18,6,0)+VLOOKUP(B21,工资表!B18:H18,7,0))/工资表!#REF!*VLOOKUP(B21,考勤!B18:AI19,34,0)</f>
        <v>#REF!</v>
      </c>
      <c r="E21" s="5" t="e">
        <f>VLOOKUP(B21,工资表!B18:S18,18,0)</f>
        <v>#REF!</v>
      </c>
      <c r="F21" s="5" t="e">
        <f t="shared" si="0"/>
        <v>#REF!</v>
      </c>
      <c r="G21" s="1" t="s">
        <v>17</v>
      </c>
    </row>
    <row r="22" customHeight="1" spans="1:7">
      <c r="A22" s="1">
        <v>20</v>
      </c>
      <c r="B22" s="1" t="e">
        <f>工资表!#REF!</f>
        <v>#REF!</v>
      </c>
      <c r="C22" s="1" t="e">
        <f>工资表!#REF!</f>
        <v>#REF!</v>
      </c>
      <c r="D22" s="5">
        <v>0</v>
      </c>
      <c r="E22" s="5" t="e">
        <f>VLOOKUP(B22,工资表!B18:S27,18,0)</f>
        <v>#REF!</v>
      </c>
      <c r="F22" s="5" t="e">
        <f t="shared" si="0"/>
        <v>#REF!</v>
      </c>
      <c r="G22" s="1" t="s">
        <v>17</v>
      </c>
    </row>
    <row r="26" customHeight="1" spans="1:7">
      <c r="D26" s="5" t="e">
        <f>(VLOOKUP(B22,工资表!B18:G46,6,0)+VLOOKUP(B22,工资表!B18:H46,7,0))/工资表!F18*VLOOKUP(B22,考勤!B19:AI48,34,0)</f>
        <v>#REF!</v>
      </c>
      <c r="E26" s="5" t="e">
        <f>VLOOKUP(B22,工资表!B18:S46,17,0)</f>
        <v>#REF!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106</v>
      </c>
      <c r="D2" s="2" t="s">
        <v>107</v>
      </c>
      <c r="E2" s="2" t="s">
        <v>108</v>
      </c>
    </row>
    <row r="3" hidden="1" customHeight="1" spans="2:5">
      <c r="B3" s="2" t="s">
        <v>109</v>
      </c>
      <c r="C3" s="3">
        <v>1</v>
      </c>
      <c r="D3" s="2">
        <v>0</v>
      </c>
      <c r="E3" s="2">
        <v>0</v>
      </c>
    </row>
    <row r="4" hidden="1" customHeight="1" spans="2:5">
      <c r="B4" s="2" t="s">
        <v>110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111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112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113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42</v>
      </c>
      <c r="C9" s="3">
        <v>0.51</v>
      </c>
      <c r="D9" s="3">
        <v>0.34</v>
      </c>
      <c r="E9" s="3">
        <v>0.15</v>
      </c>
    </row>
    <row r="10" customHeight="1" spans="2:5">
      <c r="B10" s="2" t="s">
        <v>114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115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65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2026-07-17T10:51:27Z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