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考勤!$A$5:$AY$10</definedName>
    <definedName name="_xlnm.Print_Area" localSheetId="2">考勤!$A$1:$AZ$26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<sst xmlns="http://schemas.openxmlformats.org/spreadsheetml/2006/main" count="691" uniqueCount="121">
  <si>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</si>
  <si>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</si>
  <si>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</si>
  <si>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</si>
  <si>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</si>
  <si>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</si>
  <si>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</si>
  <si>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</si>
  <si>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</si>
  <si>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</si>
  <si>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</si>
  <si>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</si>
  <si>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</si>
  <si>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</si>
  <si>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</si>
  <si>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</si>
  <si>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</si>
  <si>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</si>
  <si>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</si>
  <si>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</si>
  <si>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</si>
  <si>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</si>
  <si>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</si>
  <si>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</si>
  <si>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</si>
  <si>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</si>
  <si>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</si>
  <si>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</si>
  <si>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</si>
  <si>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</si>
  <si>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新疆通力房地产开发有限公司库尔勒二分公司2026年5月工资表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</si>
  <si>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</si>
  <si>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</si>
  <si>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</si>
  <si>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</si>
  <si>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</si>
  <si>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</si>
  <si>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</si>
  <si>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</si>
  <si>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杨文杰</t>
  </si>
  <si>
    <t>工程管理部副经理</t>
  </si>
  <si>
    <t>M2</t>
  </si>
  <si>
    <t>未打卡一次</t>
  </si>
  <si>
    <t>徐惠蓉</t>
  </si>
  <si>
    <t>投资开发部副经理</t>
  </si>
  <si>
    <t>未打卡二次</t>
  </si>
  <si>
    <t>沈陈瑾慧</t>
  </si>
  <si>
    <t>会计</t>
  </si>
  <si>
    <t>PB</t>
  </si>
  <si>
    <t>管丽萍</t>
  </si>
  <si>
    <t>人事运营</t>
  </si>
  <si>
    <t>刘科</t>
  </si>
  <si>
    <t>招采工程师</t>
  </si>
  <si>
    <t>迟到两次</t>
  </si>
  <si>
    <t>高建梅</t>
  </si>
  <si>
    <t>出纳</t>
  </si>
  <si>
    <t>周佳奇</t>
  </si>
  <si>
    <t>造价工程师</t>
  </si>
  <si>
    <t>白媛媛</t>
  </si>
  <si>
    <t>开发报建工程师</t>
  </si>
  <si>
    <t>温进进</t>
  </si>
  <si>
    <t>土建工程师</t>
  </si>
  <si>
    <t>尹江</t>
  </si>
  <si>
    <t>水暖工程师</t>
  </si>
  <si>
    <t>张志慧</t>
  </si>
  <si>
    <t>置业顾问</t>
  </si>
  <si>
    <t>PA</t>
  </si>
  <si>
    <t>王荣</t>
  </si>
  <si>
    <t>霍苒</t>
  </si>
  <si>
    <t>闫金秀</t>
  </si>
  <si>
    <t>赵江龙</t>
  </si>
  <si>
    <t>案场销售经理</t>
  </si>
  <si>
    <t>1月需扣除绩效4741元，已扣除1003元，本月扣除1200元；2月需扣绩效3324元；</t>
  </si>
  <si>
    <t>张新艳</t>
  </si>
  <si>
    <t>王玉慧</t>
  </si>
  <si>
    <t>合计</t>
  </si>
  <si>
    <t>注：</t>
  </si>
  <si>
    <t>本月中层管理人员预留全额工资15%；徐惠蓉、管丽萍、高建梅其他项为法人补助；赵江龙：1月需扣除绩效4741元，已扣除1003元，本月扣除1200元；2月需扣绩效3324元；其他项为补4月基本工资等（4月工资表金额未计算）。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</si>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</sst>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vertical="center" shrinkToFit="1"/>
    </xf>
    <xf numFmtId="177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43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0" fontId="17" fillId="0" borderId="0" xfId="0" applyFont="1" applyFill="1" applyAlignment="1">
      <alignment vertical="center" wrapText="1" shrinkToFit="1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B4" sqref="B4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6" t="s">
        <v>0</v>
      </c>
      <c r="B2" s="86"/>
      <c r="C2" s="86"/>
      <c r="D2" s="86"/>
      <c r="E2" s="86"/>
      <c r="F2" s="86"/>
      <c r="G2" s="86"/>
      <c r="H2" s="86" t="s">
        <v>1</v>
      </c>
      <c r="I2" s="86"/>
      <c r="J2" s="86"/>
      <c r="K2" s="86"/>
      <c r="L2" s="86"/>
      <c r="M2" s="86"/>
      <c r="N2" s="86" t="s">
        <v>2</v>
      </c>
      <c r="O2" s="86"/>
      <c r="P2" s="86"/>
      <c r="Q2" s="86"/>
      <c r="R2" s="86" t="s">
        <v>3</v>
      </c>
      <c r="S2" s="86"/>
      <c r="T2" s="86"/>
      <c r="U2" s="86"/>
      <c r="V2" s="86"/>
      <c r="W2" s="86"/>
      <c r="X2" s="86"/>
      <c r="Y2" s="86" t="s">
        <v>4</v>
      </c>
      <c r="Z2" s="86" t="s">
        <v>5</v>
      </c>
    </row>
    <row r="3" s="55" customFormat="1" ht="50" customHeight="1" spans="1:26">
      <c r="A3" s="86" t="s">
        <v>6</v>
      </c>
      <c r="B3" s="86" t="s">
        <v>7</v>
      </c>
      <c r="C3" s="86" t="s">
        <v>8</v>
      </c>
      <c r="D3" s="86" t="s">
        <v>9</v>
      </c>
      <c r="E3" s="86" t="s">
        <v>10</v>
      </c>
      <c r="F3" s="86" t="s">
        <v>11</v>
      </c>
      <c r="G3" s="86" t="s">
        <v>12</v>
      </c>
      <c r="H3" s="86" t="s">
        <v>13</v>
      </c>
      <c r="I3" s="86" t="s">
        <v>14</v>
      </c>
      <c r="J3" s="86" t="s">
        <v>15</v>
      </c>
      <c r="K3" s="86" t="s">
        <v>16</v>
      </c>
      <c r="L3" s="86" t="s">
        <v>17</v>
      </c>
      <c r="M3" s="86" t="s">
        <v>18</v>
      </c>
      <c r="N3" s="86" t="s">
        <v>19</v>
      </c>
      <c r="O3" s="86" t="s">
        <v>20</v>
      </c>
      <c r="P3" s="86" t="s">
        <v>21</v>
      </c>
      <c r="Q3" s="86" t="s">
        <v>22</v>
      </c>
      <c r="R3" s="86" t="s">
        <v>23</v>
      </c>
      <c r="S3" s="86" t="s">
        <v>24</v>
      </c>
      <c r="T3" s="86" t="s">
        <v>25</v>
      </c>
      <c r="U3" s="86" t="s">
        <v>26</v>
      </c>
      <c r="V3" s="86" t="s">
        <v>27</v>
      </c>
      <c r="W3" s="86" t="s">
        <v>28</v>
      </c>
      <c r="X3" s="86" t="s">
        <v>18</v>
      </c>
      <c r="Y3" s="86"/>
      <c r="Z3" s="86"/>
    </row>
    <row r="4" s="54" customFormat="1" ht="50" customHeight="1" spans="1:26">
      <c r="A4" s="2" t="s">
        <v>29</v>
      </c>
      <c r="B4" s="2">
        <f>工资表!A21</f>
        <v>18</v>
      </c>
      <c r="C4" s="87">
        <f>工资表!E22</f>
        <v>155800</v>
      </c>
      <c r="D4" s="87"/>
      <c r="E4" s="87">
        <f>工资表!G22</f>
        <v>99620</v>
      </c>
      <c r="F4" s="87">
        <f>工资表!H22</f>
        <v>45980</v>
      </c>
      <c r="G4" s="87">
        <f>工资表!I22</f>
        <v>10200</v>
      </c>
      <c r="H4" s="87">
        <f>工资表!J22</f>
        <v>0</v>
      </c>
      <c r="I4" s="87">
        <f>工资表!K22</f>
        <v>-6269</v>
      </c>
      <c r="J4" s="87"/>
      <c r="K4" s="87">
        <f>工资表!M22</f>
        <v>4960</v>
      </c>
      <c r="L4" s="87">
        <f>工资表!N22</f>
        <v>0</v>
      </c>
      <c r="M4" s="87">
        <f>工资表!O22</f>
        <v>-1309</v>
      </c>
      <c r="N4" s="87">
        <f>工资表!P22</f>
        <v>0</v>
      </c>
      <c r="O4" s="87">
        <f>工资表!Q22</f>
        <v>0</v>
      </c>
      <c r="P4" s="87"/>
      <c r="Q4" s="87">
        <f>工资表!S22</f>
        <v>144291</v>
      </c>
      <c r="R4" s="87">
        <f>工资表!T22</f>
        <v>6082.8</v>
      </c>
      <c r="S4" s="87">
        <f>工资表!U22</f>
        <v>380.25</v>
      </c>
      <c r="T4" s="87">
        <f>工资表!V22</f>
        <v>1520.7</v>
      </c>
      <c r="U4" s="87">
        <f>工资表!W22</f>
        <v>321.03</v>
      </c>
      <c r="V4" s="87">
        <f>工资表!X22</f>
        <v>3950</v>
      </c>
      <c r="W4" s="87">
        <f>工资表!Y22</f>
        <v>2433.9</v>
      </c>
      <c r="X4" s="87">
        <f>工资表!Z22</f>
        <v>14688.68</v>
      </c>
      <c r="Y4" s="87">
        <f>工资表!AA22</f>
        <v>129602.32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5"/>
  <sheetViews>
    <sheetView showZeros="0" tabSelected="1" zoomScale="40" zoomScaleNormal="40" workbookViewId="0">
      <pane xSplit="3" topLeftCell="D1" activePane="topRight" state="frozen"/>
      <selection/>
      <selection pane="topRight" activeCell="N19" sqref="N19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4.0583333333333" style="1" customWidth="1"/>
    <col min="4" max="4" width="11.5583333333333" style="1" customWidth="1"/>
    <col min="5" max="5" width="19.5833333333333" style="57" customWidth="1"/>
    <col min="6" max="6" width="11.25" style="57" customWidth="1"/>
    <col min="7" max="7" width="20.9333333333333" style="57" customWidth="1"/>
    <col min="8" max="8" width="17.9166666666667" style="57" customWidth="1"/>
    <col min="9" max="9" width="17.1833333333333" style="57" customWidth="1"/>
    <col min="10" max="10" width="16.4583333333333" style="1" customWidth="1"/>
    <col min="11" max="11" width="18.75" style="57" customWidth="1"/>
    <col min="12" max="14" width="18.75" style="1" customWidth="1"/>
    <col min="15" max="15" width="19.0666666666667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5.25" style="1" customWidth="1"/>
    <col min="20" max="20" width="16.25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37.8083333333333" style="1" customWidth="1"/>
    <col min="29" max="29" width="18.125" style="1" customWidth="1"/>
    <col min="30" max="16384" width="9" style="1"/>
  </cols>
  <sheetData>
    <row r="1" s="54" customFormat="1" ht="46" customHeight="1" spans="1:28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="55" customFormat="1" ht="55" customHeight="1" spans="1:28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3" t="s">
        <v>1</v>
      </c>
      <c r="K2" s="64"/>
      <c r="L2" s="65"/>
      <c r="M2" s="65"/>
      <c r="N2" s="65"/>
      <c r="O2" s="66"/>
      <c r="P2" s="63" t="s">
        <v>2</v>
      </c>
      <c r="Q2" s="65"/>
      <c r="R2" s="65"/>
      <c r="S2" s="66"/>
      <c r="T2" s="63" t="s">
        <v>3</v>
      </c>
      <c r="U2" s="65"/>
      <c r="V2" s="65"/>
      <c r="W2" s="65"/>
      <c r="X2" s="65"/>
      <c r="Y2" s="65"/>
      <c r="Z2" s="66"/>
      <c r="AA2" s="61" t="s">
        <v>4</v>
      </c>
      <c r="AB2" s="61" t="s">
        <v>5</v>
      </c>
    </row>
    <row r="3" s="55" customFormat="1" ht="55" customHeight="1" spans="1:28">
      <c r="A3" s="67"/>
      <c r="B3" s="61" t="s">
        <v>32</v>
      </c>
      <c r="C3" s="61" t="s">
        <v>33</v>
      </c>
      <c r="D3" s="68" t="s">
        <v>34</v>
      </c>
      <c r="E3" s="69" t="s">
        <v>8</v>
      </c>
      <c r="F3" s="69" t="s">
        <v>35</v>
      </c>
      <c r="G3" s="69" t="s">
        <v>10</v>
      </c>
      <c r="H3" s="69" t="s">
        <v>11</v>
      </c>
      <c r="I3" s="69" t="s">
        <v>12</v>
      </c>
      <c r="J3" s="68" t="s">
        <v>13</v>
      </c>
      <c r="K3" s="69" t="s">
        <v>14</v>
      </c>
      <c r="L3" s="68" t="s">
        <v>15</v>
      </c>
      <c r="M3" s="61" t="s">
        <v>16</v>
      </c>
      <c r="N3" s="61" t="s">
        <v>17</v>
      </c>
      <c r="O3" s="61" t="s">
        <v>18</v>
      </c>
      <c r="P3" s="68" t="s">
        <v>19</v>
      </c>
      <c r="Q3" s="68" t="s">
        <v>20</v>
      </c>
      <c r="R3" s="68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8" t="s">
        <v>26</v>
      </c>
      <c r="X3" s="68" t="s">
        <v>27</v>
      </c>
      <c r="Y3" s="61" t="s">
        <v>28</v>
      </c>
      <c r="Z3" s="61" t="s">
        <v>18</v>
      </c>
      <c r="AA3" s="61"/>
      <c r="AB3" s="61"/>
    </row>
    <row r="4" s="54" customFormat="1" ht="50" customHeight="1" spans="1:28">
      <c r="A4" s="71">
        <v>1</v>
      </c>
      <c r="B4" s="71" t="s">
        <v>36</v>
      </c>
      <c r="C4" s="71" t="s">
        <v>37</v>
      </c>
      <c r="D4" s="71" t="s">
        <v>38</v>
      </c>
      <c r="E4" s="72">
        <v>30000</v>
      </c>
      <c r="F4" s="72">
        <v>16</v>
      </c>
      <c r="G4" s="72">
        <f>E4*VLOOKUP(D4,职务序列取数!B:E,2,0)</f>
        <v>15300</v>
      </c>
      <c r="H4" s="72">
        <f>E4*VLOOKUP(D4,职务序列取数!B:E,3,0)</f>
        <v>10200</v>
      </c>
      <c r="I4" s="72">
        <f>E4*VLOOKUP(D4,职务序列取数!B:E,4,0)</f>
        <v>4500</v>
      </c>
      <c r="J4" s="73"/>
      <c r="K4" s="72">
        <v>-5069</v>
      </c>
      <c r="L4" s="73"/>
      <c r="M4" s="73"/>
      <c r="N4" s="73"/>
      <c r="O4" s="74">
        <f>SUM(J4:N4)</f>
        <v>-5069</v>
      </c>
      <c r="P4" s="73">
        <f>G4/F4</f>
        <v>956.25</v>
      </c>
      <c r="Q4" s="73">
        <f>H4/F4</f>
        <v>637.5</v>
      </c>
      <c r="R4" s="75">
        <f>VLOOKUP(B4,考勤!B:AI,34,0)</f>
        <v>16</v>
      </c>
      <c r="S4" s="70">
        <f t="shared" ref="S4:S14" si="0">(P4*R4)+(Q4*R4)+O4</f>
        <v>20431</v>
      </c>
      <c r="T4" s="76">
        <f>405.52</f>
        <v>405.52</v>
      </c>
      <c r="U4" s="76">
        <v>25.35</v>
      </c>
      <c r="V4" s="76">
        <f>101.38</f>
        <v>101.38</v>
      </c>
      <c r="W4" s="76">
        <v>21.12</v>
      </c>
      <c r="X4" s="76">
        <v>350</v>
      </c>
      <c r="Y4" s="77"/>
      <c r="Z4" s="74">
        <f>SUM(T4:Y4)</f>
        <v>903.37</v>
      </c>
      <c r="AA4" s="70">
        <f t="shared" ref="AA4:AA14" si="1">S4-Z4</f>
        <v>19527.63</v>
      </c>
      <c r="AB4" s="71"/>
    </row>
    <row r="5" s="54" customFormat="1" ht="50" customHeight="1" spans="1:28">
      <c r="A5" s="71">
        <v>2</v>
      </c>
      <c r="B5" s="71" t="s">
        <v>39</v>
      </c>
      <c r="C5" s="71" t="s">
        <v>40</v>
      </c>
      <c r="D5" s="71" t="s">
        <v>41</v>
      </c>
      <c r="E5" s="72">
        <v>20000</v>
      </c>
      <c r="F5" s="72">
        <v>16</v>
      </c>
      <c r="G5" s="72">
        <f>E5*VLOOKUP(D5,职务序列取数!B:E,2,0)</f>
        <v>10200</v>
      </c>
      <c r="H5" s="72">
        <f>E5*VLOOKUP(D5,职务序列取数!B:E,3,0)</f>
        <v>6800</v>
      </c>
      <c r="I5" s="72">
        <f>E5*VLOOKUP(D5,职务序列取数!B:E,4,0)</f>
        <v>3000</v>
      </c>
      <c r="J5" s="73"/>
      <c r="K5" s="72"/>
      <c r="L5" s="73"/>
      <c r="M5" s="73">
        <v>-20</v>
      </c>
      <c r="N5" s="73"/>
      <c r="O5" s="74">
        <f>SUM(J5:N5)</f>
        <v>-20</v>
      </c>
      <c r="P5" s="73">
        <f>G5/F5</f>
        <v>637.5</v>
      </c>
      <c r="Q5" s="73">
        <f>H5/F5</f>
        <v>425</v>
      </c>
      <c r="R5" s="75">
        <f>VLOOKUP(B5,考勤!B:AI,34,0)</f>
        <v>16</v>
      </c>
      <c r="S5" s="70">
        <f t="shared" si="0"/>
        <v>16980</v>
      </c>
      <c r="T5" s="76">
        <f>405.52</f>
        <v>405.52</v>
      </c>
      <c r="U5" s="76">
        <v>25.35</v>
      </c>
      <c r="V5" s="76">
        <v>101.38</v>
      </c>
      <c r="W5" s="76">
        <v>21.12</v>
      </c>
      <c r="X5" s="76">
        <f>350</f>
        <v>350</v>
      </c>
      <c r="Y5" s="77">
        <v>1107.66</v>
      </c>
      <c r="Z5" s="74">
        <f>SUM(T5:Y5)</f>
        <v>2011.03</v>
      </c>
      <c r="AA5" s="70">
        <f t="shared" si="1"/>
        <v>14968.97</v>
      </c>
      <c r="AB5" s="71" t="s">
        <v>42</v>
      </c>
    </row>
    <row r="6" s="54" customFormat="1" ht="50" customHeight="1" spans="1:28">
      <c r="A6" s="71">
        <v>3</v>
      </c>
      <c r="B6" s="71" t="s">
        <v>43</v>
      </c>
      <c r="C6" s="71" t="s">
        <v>44</v>
      </c>
      <c r="D6" s="71" t="s">
        <v>41</v>
      </c>
      <c r="E6" s="72">
        <v>18000</v>
      </c>
      <c r="F6" s="72">
        <v>16</v>
      </c>
      <c r="G6" s="72">
        <f>E6*VLOOKUP(D6,职务序列取数!B:E,2,0)</f>
        <v>9180</v>
      </c>
      <c r="H6" s="72">
        <f>E6*VLOOKUP(D6,职务序列取数!B:E,3,0)</f>
        <v>6120</v>
      </c>
      <c r="I6" s="72">
        <f>E6*VLOOKUP(D6,职务序列取数!B:E,4,0)</f>
        <v>2700</v>
      </c>
      <c r="J6" s="73"/>
      <c r="K6" s="72"/>
      <c r="L6" s="73"/>
      <c r="M6" s="73">
        <f>300-40</f>
        <v>260</v>
      </c>
      <c r="N6" s="73"/>
      <c r="O6" s="74">
        <f t="shared" ref="O6:O23" si="2">SUM(J6:N6)</f>
        <v>260</v>
      </c>
      <c r="P6" s="73">
        <f t="shared" ref="P6:P21" si="3">G6/F6</f>
        <v>573.75</v>
      </c>
      <c r="Q6" s="73">
        <f t="shared" ref="Q6:Q21" si="4">H6/F6</f>
        <v>382.5</v>
      </c>
      <c r="R6" s="75">
        <f>VLOOKUP(B6,考勤!B:AI,34,0)</f>
        <v>16</v>
      </c>
      <c r="S6" s="70">
        <f t="shared" si="0"/>
        <v>15560</v>
      </c>
      <c r="T6" s="76"/>
      <c r="U6" s="76"/>
      <c r="V6" s="76"/>
      <c r="W6" s="76"/>
      <c r="X6" s="76"/>
      <c r="Y6" s="77">
        <v>1056</v>
      </c>
      <c r="Z6" s="74">
        <f t="shared" ref="Z6:Z23" si="5">SUM(T6:Y6)</f>
        <v>1056</v>
      </c>
      <c r="AA6" s="70">
        <f t="shared" si="1"/>
        <v>14504</v>
      </c>
      <c r="AB6" s="71" t="s">
        <v>45</v>
      </c>
    </row>
    <row r="7" s="54" customFormat="1" ht="50" customHeight="1" spans="1:28">
      <c r="A7" s="71">
        <v>4</v>
      </c>
      <c r="B7" s="71" t="s">
        <v>46</v>
      </c>
      <c r="C7" s="71" t="s">
        <v>47</v>
      </c>
      <c r="D7" s="71" t="s">
        <v>48</v>
      </c>
      <c r="E7" s="72">
        <v>7000</v>
      </c>
      <c r="F7" s="72">
        <v>16</v>
      </c>
      <c r="G7" s="72">
        <f>E7*VLOOKUP(D7,职务序列取数!B:E,2,0)</f>
        <v>5600</v>
      </c>
      <c r="H7" s="72">
        <f>E7*VLOOKUP(D7,职务序列取数!B:E,3,0)</f>
        <v>1400</v>
      </c>
      <c r="I7" s="72">
        <f>E7*VLOOKUP(D7,职务序列取数!B:E,4,0)</f>
        <v>0</v>
      </c>
      <c r="J7" s="73"/>
      <c r="K7" s="72"/>
      <c r="L7" s="73"/>
      <c r="M7" s="73"/>
      <c r="N7" s="73"/>
      <c r="O7" s="74">
        <f t="shared" si="2"/>
        <v>0</v>
      </c>
      <c r="P7" s="73">
        <f t="shared" si="3"/>
        <v>350</v>
      </c>
      <c r="Q7" s="73">
        <f t="shared" si="4"/>
        <v>87.5</v>
      </c>
      <c r="R7" s="75">
        <f>VLOOKUP(B7,考勤!B:AI,34,0)</f>
        <v>16</v>
      </c>
      <c r="S7" s="70">
        <f t="shared" si="0"/>
        <v>7000</v>
      </c>
      <c r="T7" s="76">
        <f>405.52</f>
        <v>405.52</v>
      </c>
      <c r="U7" s="76">
        <f>25.35</f>
        <v>25.35</v>
      </c>
      <c r="V7" s="76">
        <f>101.38</f>
        <v>101.38</v>
      </c>
      <c r="W7" s="76">
        <f>21.12</f>
        <v>21.12</v>
      </c>
      <c r="X7" s="76">
        <f>250</f>
        <v>250</v>
      </c>
      <c r="Y7" s="77"/>
      <c r="Z7" s="74">
        <f t="shared" si="5"/>
        <v>803.37</v>
      </c>
      <c r="AA7" s="70">
        <f t="shared" si="1"/>
        <v>6196.63</v>
      </c>
      <c r="AB7" s="2"/>
    </row>
    <row r="8" s="54" customFormat="1" ht="50" customHeight="1" spans="1:28">
      <c r="A8" s="71">
        <v>5</v>
      </c>
      <c r="B8" s="71" t="s">
        <v>49</v>
      </c>
      <c r="C8" s="71" t="s">
        <v>50</v>
      </c>
      <c r="D8" s="71" t="s">
        <v>48</v>
      </c>
      <c r="E8" s="72">
        <v>6000</v>
      </c>
      <c r="F8" s="72">
        <v>16</v>
      </c>
      <c r="G8" s="72">
        <f>E8*VLOOKUP(D8,职务序列取数!B:E,2,0)</f>
        <v>4800</v>
      </c>
      <c r="H8" s="72">
        <f>E8*VLOOKUP(D8,职务序列取数!B:E,3,0)</f>
        <v>1200</v>
      </c>
      <c r="I8" s="72">
        <f>E8*VLOOKUP(D8,职务序列取数!B:E,4,0)</f>
        <v>0</v>
      </c>
      <c r="J8" s="73"/>
      <c r="K8" s="72"/>
      <c r="L8" s="73"/>
      <c r="M8" s="73">
        <v>700</v>
      </c>
      <c r="N8" s="73"/>
      <c r="O8" s="74">
        <f t="shared" si="2"/>
        <v>700</v>
      </c>
      <c r="P8" s="73">
        <f t="shared" si="3"/>
        <v>300</v>
      </c>
      <c r="Q8" s="73">
        <f t="shared" si="4"/>
        <v>75</v>
      </c>
      <c r="R8" s="75">
        <f>VLOOKUP(B8,考勤!B:AI,34,0)</f>
        <v>16</v>
      </c>
      <c r="S8" s="70">
        <f t="shared" si="0"/>
        <v>6700</v>
      </c>
      <c r="T8" s="76">
        <f t="shared" ref="T7:T18" si="6">405.52</f>
        <v>405.52</v>
      </c>
      <c r="U8" s="76">
        <v>25.35</v>
      </c>
      <c r="V8" s="76">
        <v>101.38</v>
      </c>
      <c r="W8" s="76">
        <v>21.12</v>
      </c>
      <c r="X8" s="76">
        <v>250</v>
      </c>
      <c r="Y8" s="77"/>
      <c r="Z8" s="74">
        <f t="shared" si="5"/>
        <v>803.37</v>
      </c>
      <c r="AA8" s="70">
        <f t="shared" si="1"/>
        <v>5896.63</v>
      </c>
      <c r="AB8" s="71"/>
    </row>
    <row r="9" s="54" customFormat="1" ht="50" customHeight="1" spans="1:28">
      <c r="A9" s="71">
        <v>6</v>
      </c>
      <c r="B9" s="71" t="s">
        <v>51</v>
      </c>
      <c r="C9" s="71" t="s">
        <v>52</v>
      </c>
      <c r="D9" s="71" t="s">
        <v>48</v>
      </c>
      <c r="E9" s="72">
        <v>7500</v>
      </c>
      <c r="F9" s="72">
        <v>16</v>
      </c>
      <c r="G9" s="72">
        <f>E9*VLOOKUP(D9,职务序列取数!B:E,2,0)</f>
        <v>6000</v>
      </c>
      <c r="H9" s="72">
        <f>E9*VLOOKUP(D9,职务序列取数!B:E,3,0)</f>
        <v>1500</v>
      </c>
      <c r="I9" s="72">
        <f>E9*VLOOKUP(D9,职务序列取数!B:E,4,0)</f>
        <v>0</v>
      </c>
      <c r="J9" s="73"/>
      <c r="K9" s="72"/>
      <c r="L9" s="73"/>
      <c r="M9" s="73">
        <v>-40</v>
      </c>
      <c r="N9" s="73"/>
      <c r="O9" s="74">
        <f t="shared" si="2"/>
        <v>-40</v>
      </c>
      <c r="P9" s="73">
        <f t="shared" si="3"/>
        <v>375</v>
      </c>
      <c r="Q9" s="73">
        <f t="shared" si="4"/>
        <v>93.75</v>
      </c>
      <c r="R9" s="75">
        <f>VLOOKUP(B9,考勤!B:AI,34,0)</f>
        <v>16</v>
      </c>
      <c r="S9" s="70">
        <f t="shared" si="0"/>
        <v>7460</v>
      </c>
      <c r="T9" s="76">
        <f t="shared" si="6"/>
        <v>405.52</v>
      </c>
      <c r="U9" s="76">
        <v>25.35</v>
      </c>
      <c r="V9" s="76">
        <v>101.38</v>
      </c>
      <c r="W9" s="76">
        <v>21.12</v>
      </c>
      <c r="X9" s="76">
        <v>250</v>
      </c>
      <c r="Y9" s="77"/>
      <c r="Z9" s="74">
        <f t="shared" si="5"/>
        <v>803.37</v>
      </c>
      <c r="AA9" s="70">
        <f t="shared" si="1"/>
        <v>6656.63</v>
      </c>
      <c r="AB9" s="78" t="s">
        <v>53</v>
      </c>
    </row>
    <row r="10" s="54" customFormat="1" ht="50" customHeight="1" spans="1:28">
      <c r="A10" s="71">
        <v>7</v>
      </c>
      <c r="B10" s="71" t="s">
        <v>54</v>
      </c>
      <c r="C10" s="71" t="s">
        <v>55</v>
      </c>
      <c r="D10" s="71" t="s">
        <v>48</v>
      </c>
      <c r="E10" s="72">
        <v>6500</v>
      </c>
      <c r="F10" s="72">
        <v>16</v>
      </c>
      <c r="G10" s="72">
        <f>E10*VLOOKUP(D10,职务序列取数!B:E,2,0)</f>
        <v>5200</v>
      </c>
      <c r="H10" s="72">
        <f>E10*VLOOKUP(D10,职务序列取数!B:E,3,0)</f>
        <v>1300</v>
      </c>
      <c r="I10" s="72">
        <f>E10*VLOOKUP(D10,职务序列取数!B:E,4,0)</f>
        <v>0</v>
      </c>
      <c r="J10" s="73"/>
      <c r="K10" s="72"/>
      <c r="L10" s="73"/>
      <c r="M10" s="73">
        <v>100</v>
      </c>
      <c r="N10" s="73"/>
      <c r="O10" s="74">
        <f t="shared" si="2"/>
        <v>100</v>
      </c>
      <c r="P10" s="73">
        <f t="shared" si="3"/>
        <v>325</v>
      </c>
      <c r="Q10" s="73">
        <f t="shared" si="4"/>
        <v>81.25</v>
      </c>
      <c r="R10" s="75">
        <f>VLOOKUP(B10,考勤!B:AI,34,0)</f>
        <v>16</v>
      </c>
      <c r="S10" s="70">
        <f t="shared" si="0"/>
        <v>6600</v>
      </c>
      <c r="T10" s="76">
        <f t="shared" si="6"/>
        <v>405.52</v>
      </c>
      <c r="U10" s="76">
        <v>25.35</v>
      </c>
      <c r="V10" s="76">
        <v>101.38</v>
      </c>
      <c r="W10" s="76">
        <v>21.12</v>
      </c>
      <c r="X10" s="76">
        <v>250</v>
      </c>
      <c r="Y10" s="77"/>
      <c r="Z10" s="74">
        <f t="shared" si="5"/>
        <v>803.37</v>
      </c>
      <c r="AA10" s="70">
        <f t="shared" si="1"/>
        <v>5796.63</v>
      </c>
      <c r="AB10" s="71"/>
    </row>
    <row r="11" s="54" customFormat="1" ht="50" customHeight="1" spans="1:28">
      <c r="A11" s="71">
        <v>8</v>
      </c>
      <c r="B11" s="71" t="s">
        <v>56</v>
      </c>
      <c r="C11" s="71" t="s">
        <v>57</v>
      </c>
      <c r="D11" s="71" t="s">
        <v>48</v>
      </c>
      <c r="E11" s="72">
        <v>7800</v>
      </c>
      <c r="F11" s="72">
        <v>16</v>
      </c>
      <c r="G11" s="72">
        <f>E11*VLOOKUP(D11,职务序列取数!B:E,2,0)</f>
        <v>6240</v>
      </c>
      <c r="H11" s="72">
        <f>E11*VLOOKUP(D11,职务序列取数!B:E,3,0)</f>
        <v>1560</v>
      </c>
      <c r="I11" s="72">
        <v>0</v>
      </c>
      <c r="J11" s="73"/>
      <c r="K11" s="72"/>
      <c r="L11" s="73"/>
      <c r="M11" s="73"/>
      <c r="N11" s="73"/>
      <c r="O11" s="74">
        <f t="shared" si="2"/>
        <v>0</v>
      </c>
      <c r="P11" s="73">
        <f t="shared" si="3"/>
        <v>390</v>
      </c>
      <c r="Q11" s="73">
        <f t="shared" si="4"/>
        <v>97.5</v>
      </c>
      <c r="R11" s="75">
        <f>VLOOKUP(B11,考勤!B:AI,34,0)</f>
        <v>16</v>
      </c>
      <c r="S11" s="70">
        <f t="shared" si="0"/>
        <v>7800</v>
      </c>
      <c r="T11" s="76">
        <f t="shared" si="6"/>
        <v>405.52</v>
      </c>
      <c r="U11" s="76">
        <v>25.35</v>
      </c>
      <c r="V11" s="76">
        <v>101.38</v>
      </c>
      <c r="W11" s="76">
        <v>21.12</v>
      </c>
      <c r="X11" s="76">
        <v>250</v>
      </c>
      <c r="Y11" s="77">
        <v>29.9</v>
      </c>
      <c r="Z11" s="74">
        <f t="shared" si="5"/>
        <v>833.27</v>
      </c>
      <c r="AA11" s="70">
        <f t="shared" si="1"/>
        <v>6966.73</v>
      </c>
      <c r="AB11" s="78"/>
    </row>
    <row r="12" s="54" customFormat="1" ht="50" customHeight="1" spans="1:28">
      <c r="A12" s="71">
        <v>9</v>
      </c>
      <c r="B12" s="71" t="s">
        <v>58</v>
      </c>
      <c r="C12" s="71" t="s">
        <v>59</v>
      </c>
      <c r="D12" s="71" t="s">
        <v>48</v>
      </c>
      <c r="E12" s="72">
        <v>4500</v>
      </c>
      <c r="F12" s="72">
        <v>16</v>
      </c>
      <c r="G12" s="72">
        <f>E12*VLOOKUP(D12,职务序列取数!B:E,2,0)</f>
        <v>3600</v>
      </c>
      <c r="H12" s="72">
        <f>E12*VLOOKUP(D12,职务序列取数!B:E,3,0)</f>
        <v>900</v>
      </c>
      <c r="I12" s="72">
        <f>E12*VLOOKUP(D12,职务序列取数!B:E,4,0)</f>
        <v>0</v>
      </c>
      <c r="J12" s="73"/>
      <c r="K12" s="72"/>
      <c r="L12" s="73"/>
      <c r="M12" s="73">
        <v>-20</v>
      </c>
      <c r="N12" s="73"/>
      <c r="O12" s="74">
        <f t="shared" si="2"/>
        <v>-20</v>
      </c>
      <c r="P12" s="73">
        <f t="shared" si="3"/>
        <v>225</v>
      </c>
      <c r="Q12" s="73">
        <f t="shared" si="4"/>
        <v>56.25</v>
      </c>
      <c r="R12" s="75">
        <f>VLOOKUP(B12,考勤!B:AI,34,0)</f>
        <v>16</v>
      </c>
      <c r="S12" s="70">
        <f t="shared" si="0"/>
        <v>4480</v>
      </c>
      <c r="T12" s="76">
        <f t="shared" si="6"/>
        <v>405.52</v>
      </c>
      <c r="U12" s="76">
        <v>25.35</v>
      </c>
      <c r="V12" s="76">
        <v>101.38</v>
      </c>
      <c r="W12" s="76">
        <v>21.12</v>
      </c>
      <c r="X12" s="76">
        <v>250</v>
      </c>
      <c r="Y12" s="77"/>
      <c r="Z12" s="74">
        <f t="shared" si="5"/>
        <v>803.37</v>
      </c>
      <c r="AA12" s="70">
        <f t="shared" si="1"/>
        <v>3676.63</v>
      </c>
      <c r="AB12" s="71" t="s">
        <v>42</v>
      </c>
    </row>
    <row r="13" s="54" customFormat="1" ht="50" customHeight="1" spans="1:28">
      <c r="A13" s="71">
        <v>10</v>
      </c>
      <c r="B13" s="71" t="s">
        <v>60</v>
      </c>
      <c r="C13" s="71" t="s">
        <v>61</v>
      </c>
      <c r="D13" s="71" t="s">
        <v>48</v>
      </c>
      <c r="E13" s="72">
        <v>13500</v>
      </c>
      <c r="F13" s="72">
        <v>16</v>
      </c>
      <c r="G13" s="72">
        <f>E13*VLOOKUP(D13,职务序列取数!B:E,2,0)</f>
        <v>10800</v>
      </c>
      <c r="H13" s="72">
        <f>E13*VLOOKUP(D13,职务序列取数!B:E,3,0)</f>
        <v>2700</v>
      </c>
      <c r="I13" s="72">
        <f>E13*VLOOKUP(D13,职务序列取数!B:E,4,0)</f>
        <v>0</v>
      </c>
      <c r="J13" s="73"/>
      <c r="K13" s="72"/>
      <c r="L13" s="73"/>
      <c r="M13" s="73"/>
      <c r="N13" s="73"/>
      <c r="O13" s="74">
        <f t="shared" si="2"/>
        <v>0</v>
      </c>
      <c r="P13" s="73">
        <f t="shared" si="3"/>
        <v>675</v>
      </c>
      <c r="Q13" s="73">
        <f t="shared" si="4"/>
        <v>168.75</v>
      </c>
      <c r="R13" s="75">
        <f>VLOOKUP(B13,考勤!B:AI,34,0)</f>
        <v>16</v>
      </c>
      <c r="S13" s="70">
        <f t="shared" si="0"/>
        <v>13500</v>
      </c>
      <c r="T13" s="76">
        <f t="shared" si="6"/>
        <v>405.52</v>
      </c>
      <c r="U13" s="76">
        <v>25.35</v>
      </c>
      <c r="V13" s="76">
        <v>101.38</v>
      </c>
      <c r="W13" s="76">
        <v>21.12</v>
      </c>
      <c r="X13" s="76">
        <v>250</v>
      </c>
      <c r="Y13" s="77">
        <v>218.9</v>
      </c>
      <c r="Z13" s="74">
        <f t="shared" si="5"/>
        <v>1022.27</v>
      </c>
      <c r="AA13" s="70">
        <f t="shared" si="1"/>
        <v>12477.73</v>
      </c>
      <c r="AB13" s="71"/>
    </row>
    <row r="14" s="1" customFormat="1" ht="50" customHeight="1" spans="1:28">
      <c r="A14" s="71">
        <v>11</v>
      </c>
      <c r="B14" s="71" t="s">
        <v>62</v>
      </c>
      <c r="C14" s="71" t="s">
        <v>63</v>
      </c>
      <c r="D14" s="71" t="s">
        <v>48</v>
      </c>
      <c r="E14" s="72">
        <v>12000</v>
      </c>
      <c r="F14" s="72">
        <v>16</v>
      </c>
      <c r="G14" s="72">
        <f>E14*VLOOKUP(D14,职务序列取数!B:E,2,0)</f>
        <v>9600</v>
      </c>
      <c r="H14" s="72">
        <f>E14*VLOOKUP(D14,职务序列取数!B:E,3,0)</f>
        <v>2400</v>
      </c>
      <c r="I14" s="72"/>
      <c r="J14" s="73"/>
      <c r="K14" s="72"/>
      <c r="L14" s="73"/>
      <c r="M14" s="73">
        <v>-20</v>
      </c>
      <c r="N14" s="73"/>
      <c r="O14" s="74">
        <f t="shared" si="2"/>
        <v>-20</v>
      </c>
      <c r="P14" s="73">
        <f t="shared" si="3"/>
        <v>600</v>
      </c>
      <c r="Q14" s="73">
        <f t="shared" si="4"/>
        <v>150</v>
      </c>
      <c r="R14" s="75">
        <f>VLOOKUP(B14,考勤!B:AI,34,0)</f>
        <v>16</v>
      </c>
      <c r="S14" s="70">
        <f t="shared" si="0"/>
        <v>11980</v>
      </c>
      <c r="T14" s="76">
        <f t="shared" si="6"/>
        <v>405.52</v>
      </c>
      <c r="U14" s="76">
        <v>25.35</v>
      </c>
      <c r="V14" s="76">
        <v>101.38</v>
      </c>
      <c r="W14" s="76">
        <v>25.35</v>
      </c>
      <c r="X14" s="76">
        <v>250</v>
      </c>
      <c r="Y14" s="77">
        <v>21.44</v>
      </c>
      <c r="Z14" s="74">
        <f t="shared" si="5"/>
        <v>829.04</v>
      </c>
      <c r="AA14" s="70">
        <f t="shared" si="1"/>
        <v>11150.96</v>
      </c>
      <c r="AB14" s="71" t="s">
        <v>42</v>
      </c>
    </row>
    <row r="15" s="1" customFormat="1" ht="50" customHeight="1" spans="1:28">
      <c r="A15" s="71">
        <v>12</v>
      </c>
      <c r="B15" s="71" t="s">
        <v>64</v>
      </c>
      <c r="C15" s="71" t="s">
        <v>65</v>
      </c>
      <c r="D15" s="71" t="s">
        <v>66</v>
      </c>
      <c r="E15" s="72">
        <v>5000</v>
      </c>
      <c r="F15" s="72">
        <v>27</v>
      </c>
      <c r="G15" s="72">
        <v>2450</v>
      </c>
      <c r="H15" s="72">
        <f>E15-G15</f>
        <v>2550</v>
      </c>
      <c r="I15" s="72">
        <f>E15*VLOOKUP(D15,职务序列取数!B:E,4,0)</f>
        <v>0</v>
      </c>
      <c r="J15" s="73"/>
      <c r="K15" s="72"/>
      <c r="L15" s="73"/>
      <c r="M15" s="73"/>
      <c r="N15" s="73"/>
      <c r="O15" s="74">
        <f t="shared" si="2"/>
        <v>0</v>
      </c>
      <c r="P15" s="73">
        <f t="shared" si="3"/>
        <v>90.7407407407407</v>
      </c>
      <c r="Q15" s="73">
        <f t="shared" si="4"/>
        <v>94.4444444444444</v>
      </c>
      <c r="R15" s="75">
        <f>VLOOKUP(B15,考勤!B:AI,34,0)</f>
        <v>27</v>
      </c>
      <c r="S15" s="70">
        <f t="shared" ref="S15:S27" si="7">(P15*R15)+(Q15*R15)+O15</f>
        <v>5000</v>
      </c>
      <c r="T15" s="76">
        <f t="shared" si="6"/>
        <v>405.52</v>
      </c>
      <c r="U15" s="76">
        <v>25.35</v>
      </c>
      <c r="V15" s="76">
        <v>101.38</v>
      </c>
      <c r="W15" s="76">
        <v>21.12</v>
      </c>
      <c r="X15" s="76">
        <v>250</v>
      </c>
      <c r="Y15" s="77"/>
      <c r="Z15" s="74">
        <f t="shared" si="5"/>
        <v>803.37</v>
      </c>
      <c r="AA15" s="70">
        <f t="shared" ref="AA15:AA27" si="8">S15-Z15</f>
        <v>4196.63</v>
      </c>
      <c r="AB15" s="79"/>
    </row>
    <row r="16" s="1" customFormat="1" ht="60" customHeight="1" spans="1:28">
      <c r="A16" s="71">
        <v>13</v>
      </c>
      <c r="B16" s="71" t="s">
        <v>67</v>
      </c>
      <c r="C16" s="71" t="s">
        <v>65</v>
      </c>
      <c r="D16" s="71" t="s">
        <v>66</v>
      </c>
      <c r="E16" s="72">
        <v>4500</v>
      </c>
      <c r="F16" s="72">
        <v>27</v>
      </c>
      <c r="G16" s="72">
        <v>2450</v>
      </c>
      <c r="H16" s="72">
        <f>E16-G16</f>
        <v>2050</v>
      </c>
      <c r="I16" s="72">
        <f>E16*VLOOKUP(D16,职务序列取数!B:E,4,0)</f>
        <v>0</v>
      </c>
      <c r="J16" s="73"/>
      <c r="K16" s="72"/>
      <c r="L16" s="73"/>
      <c r="M16" s="73"/>
      <c r="N16" s="73"/>
      <c r="O16" s="74">
        <f t="shared" si="2"/>
        <v>0</v>
      </c>
      <c r="P16" s="73">
        <f t="shared" si="3"/>
        <v>90.7407407407407</v>
      </c>
      <c r="Q16" s="73">
        <f t="shared" si="4"/>
        <v>75.9259259259259</v>
      </c>
      <c r="R16" s="75">
        <f>VLOOKUP(B16,考勤!B:AI,34,0)</f>
        <v>27</v>
      </c>
      <c r="S16" s="70">
        <f t="shared" si="7"/>
        <v>4500</v>
      </c>
      <c r="T16" s="76">
        <f t="shared" si="6"/>
        <v>405.52</v>
      </c>
      <c r="U16" s="76">
        <v>25.35</v>
      </c>
      <c r="V16" s="76">
        <v>101.38</v>
      </c>
      <c r="W16" s="76">
        <v>21.12</v>
      </c>
      <c r="X16" s="76">
        <v>250</v>
      </c>
      <c r="Y16" s="77"/>
      <c r="Z16" s="74">
        <f t="shared" si="5"/>
        <v>803.37</v>
      </c>
      <c r="AA16" s="70">
        <f t="shared" si="8"/>
        <v>3696.63</v>
      </c>
      <c r="AB16" s="78"/>
    </row>
    <row r="17" s="1" customFormat="1" ht="60" customHeight="1" spans="1:34">
      <c r="A17" s="71">
        <v>14</v>
      </c>
      <c r="B17" s="71" t="s">
        <v>68</v>
      </c>
      <c r="C17" s="71" t="s">
        <v>65</v>
      </c>
      <c r="D17" s="71" t="s">
        <v>66</v>
      </c>
      <c r="E17" s="72">
        <v>4500</v>
      </c>
      <c r="F17" s="72">
        <v>27</v>
      </c>
      <c r="G17" s="72">
        <v>2450</v>
      </c>
      <c r="H17" s="72">
        <f>E17-G17</f>
        <v>2050</v>
      </c>
      <c r="I17" s="72">
        <f>E17*VLOOKUP(D17,职务序列取数!B:E,4,0)</f>
        <v>0</v>
      </c>
      <c r="J17" s="73"/>
      <c r="K17" s="72"/>
      <c r="L17" s="73"/>
      <c r="M17" s="73"/>
      <c r="N17" s="73"/>
      <c r="O17" s="74">
        <f t="shared" si="2"/>
        <v>0</v>
      </c>
      <c r="P17" s="73">
        <f t="shared" si="3"/>
        <v>90.7407407407407</v>
      </c>
      <c r="Q17" s="73">
        <f t="shared" si="4"/>
        <v>75.9259259259259</v>
      </c>
      <c r="R17" s="75">
        <f>VLOOKUP(B17,考勤!B:AI,34,0)</f>
        <v>27</v>
      </c>
      <c r="S17" s="70">
        <f t="shared" si="7"/>
        <v>4500</v>
      </c>
      <c r="T17" s="76">
        <f t="shared" si="6"/>
        <v>405.52</v>
      </c>
      <c r="U17" s="76">
        <v>25.35</v>
      </c>
      <c r="V17" s="76">
        <v>101.38</v>
      </c>
      <c r="W17" s="76">
        <v>21.12</v>
      </c>
      <c r="X17" s="76">
        <v>250</v>
      </c>
      <c r="Y17" s="77"/>
      <c r="Z17" s="74">
        <f t="shared" si="5"/>
        <v>803.37</v>
      </c>
      <c r="AA17" s="70">
        <f t="shared" si="8"/>
        <v>3696.63</v>
      </c>
      <c r="AB17" s="79"/>
    </row>
    <row r="18" s="1" customFormat="1" ht="60" customHeight="1" spans="1:34">
      <c r="A18" s="71">
        <v>15</v>
      </c>
      <c r="B18" s="71" t="s">
        <v>69</v>
      </c>
      <c r="C18" s="71" t="s">
        <v>65</v>
      </c>
      <c r="D18" s="71" t="s">
        <v>66</v>
      </c>
      <c r="E18" s="72"/>
      <c r="F18" s="72"/>
      <c r="G18" s="72"/>
      <c r="H18" s="72"/>
      <c r="I18" s="72">
        <f>E18*VLOOKUP(D18,职务序列取数!B:E,4,0)</f>
        <v>0</v>
      </c>
      <c r="J18" s="73"/>
      <c r="K18" s="72"/>
      <c r="L18" s="73"/>
      <c r="M18" s="73"/>
      <c r="N18" s="73"/>
      <c r="O18" s="74">
        <f t="shared" si="2"/>
        <v>0</v>
      </c>
      <c r="P18" s="73"/>
      <c r="Q18" s="73"/>
      <c r="R18" s="75">
        <f>VLOOKUP(B18,考勤!B:AI,34,0)</f>
        <v>0</v>
      </c>
      <c r="S18" s="70">
        <f t="shared" si="7"/>
        <v>0</v>
      </c>
      <c r="T18" s="76"/>
      <c r="U18" s="76"/>
      <c r="V18" s="76"/>
      <c r="W18" s="76"/>
      <c r="X18" s="76"/>
      <c r="Y18" s="77"/>
      <c r="Z18" s="74">
        <f t="shared" si="5"/>
        <v>0</v>
      </c>
      <c r="AA18" s="70">
        <f t="shared" si="8"/>
        <v>0</v>
      </c>
      <c r="AB18" s="79"/>
    </row>
    <row r="19" s="1" customFormat="1" ht="120" customHeight="1" spans="1:34">
      <c r="A19" s="71">
        <v>16</v>
      </c>
      <c r="B19" s="71" t="s">
        <v>70</v>
      </c>
      <c r="C19" s="71" t="s">
        <v>71</v>
      </c>
      <c r="D19" s="71" t="s">
        <v>66</v>
      </c>
      <c r="E19" s="72">
        <v>4500</v>
      </c>
      <c r="F19" s="72">
        <v>27</v>
      </c>
      <c r="G19" s="72">
        <v>3300</v>
      </c>
      <c r="H19" s="72">
        <v>1200</v>
      </c>
      <c r="I19" s="72"/>
      <c r="J19" s="73"/>
      <c r="K19" s="72">
        <v>-1200</v>
      </c>
      <c r="L19" s="73"/>
      <c r="M19" s="73">
        <v>4000</v>
      </c>
      <c r="N19" s="73"/>
      <c r="O19" s="74">
        <f t="shared" si="2"/>
        <v>2800</v>
      </c>
      <c r="P19" s="73">
        <f>G19/F19</f>
        <v>122.222222222222</v>
      </c>
      <c r="Q19" s="73">
        <f>H19/F19</f>
        <v>44.4444444444444</v>
      </c>
      <c r="R19" s="75">
        <f>VLOOKUP(B19,考勤!B:AI,34,0)</f>
        <v>27</v>
      </c>
      <c r="S19" s="70">
        <f t="shared" si="7"/>
        <v>7300</v>
      </c>
      <c r="T19" s="76">
        <f>405.52</f>
        <v>405.52</v>
      </c>
      <c r="U19" s="76">
        <v>25.35</v>
      </c>
      <c r="V19" s="76">
        <v>101.38</v>
      </c>
      <c r="W19" s="76">
        <v>21.12</v>
      </c>
      <c r="X19" s="76">
        <v>250</v>
      </c>
      <c r="Y19" s="77"/>
      <c r="Z19" s="74">
        <f t="shared" si="5"/>
        <v>803.37</v>
      </c>
      <c r="AA19" s="70">
        <f t="shared" si="8"/>
        <v>6496.63</v>
      </c>
      <c r="AB19" s="80" t="s">
        <v>72</v>
      </c>
    </row>
    <row r="20" s="1" customFormat="1" ht="50" customHeight="1" spans="1:34">
      <c r="A20" s="71">
        <v>17</v>
      </c>
      <c r="B20" s="71" t="s">
        <v>73</v>
      </c>
      <c r="C20" s="71" t="s">
        <v>65</v>
      </c>
      <c r="D20" s="71" t="s">
        <v>66</v>
      </c>
      <c r="E20" s="72">
        <v>4500</v>
      </c>
      <c r="F20" s="72">
        <v>27</v>
      </c>
      <c r="G20" s="72">
        <v>2450</v>
      </c>
      <c r="H20" s="72">
        <f>E20-G20</f>
        <v>2050</v>
      </c>
      <c r="I20" s="72">
        <f>E20*VLOOKUP(D20,职务序列取数!B:E,4,0)</f>
        <v>0</v>
      </c>
      <c r="J20" s="73"/>
      <c r="K20" s="72"/>
      <c r="L20" s="73"/>
      <c r="M20" s="73"/>
      <c r="N20" s="73"/>
      <c r="O20" s="74">
        <f t="shared" si="2"/>
        <v>0</v>
      </c>
      <c r="P20" s="73">
        <f>G20/F20</f>
        <v>90.7407407407407</v>
      </c>
      <c r="Q20" s="73">
        <f>H20/F20</f>
        <v>75.9259259259259</v>
      </c>
      <c r="R20" s="75">
        <f>VLOOKUP(B20,考勤!B:AI,34,0)</f>
        <v>27</v>
      </c>
      <c r="S20" s="70">
        <f t="shared" si="7"/>
        <v>4500</v>
      </c>
      <c r="T20" s="76">
        <f>405.52</f>
        <v>405.52</v>
      </c>
      <c r="U20" s="76">
        <v>25.35</v>
      </c>
      <c r="V20" s="76">
        <v>101.38</v>
      </c>
      <c r="W20" s="76">
        <v>21.12</v>
      </c>
      <c r="X20" s="76">
        <v>250</v>
      </c>
      <c r="Y20" s="77"/>
      <c r="Z20" s="74">
        <f t="shared" si="5"/>
        <v>803.37</v>
      </c>
      <c r="AA20" s="70">
        <f t="shared" si="8"/>
        <v>3696.63</v>
      </c>
      <c r="AB20" s="79"/>
    </row>
    <row r="21" s="1" customFormat="1" ht="50" customHeight="1" spans="1:34">
      <c r="A21" s="71">
        <v>18</v>
      </c>
      <c r="B21" s="71" t="s">
        <v>74</v>
      </c>
      <c r="C21" s="71" t="s">
        <v>65</v>
      </c>
      <c r="D21" s="71" t="s">
        <v>66</v>
      </c>
      <c r="E21" s="72"/>
      <c r="F21" s="72"/>
      <c r="G21" s="72"/>
      <c r="H21" s="72"/>
      <c r="I21" s="72">
        <f>E21*VLOOKUP(D21,职务序列取数!B:E,4,0)</f>
        <v>0</v>
      </c>
      <c r="J21" s="73"/>
      <c r="K21" s="72"/>
      <c r="L21" s="73"/>
      <c r="M21" s="73"/>
      <c r="N21" s="73"/>
      <c r="O21" s="74">
        <f t="shared" si="2"/>
        <v>0</v>
      </c>
      <c r="P21" s="73"/>
      <c r="Q21" s="73"/>
      <c r="R21" s="75">
        <f>VLOOKUP(B21,考勤!B:AI,34,0)</f>
        <v>0</v>
      </c>
      <c r="S21" s="70">
        <f t="shared" si="7"/>
        <v>0</v>
      </c>
      <c r="T21" s="76"/>
      <c r="U21" s="76"/>
      <c r="V21" s="76"/>
      <c r="W21" s="76"/>
      <c r="X21" s="76"/>
      <c r="Y21" s="77"/>
      <c r="Z21" s="74">
        <f t="shared" si="5"/>
        <v>0</v>
      </c>
      <c r="AA21" s="70">
        <f t="shared" si="8"/>
        <v>0</v>
      </c>
      <c r="AB21" s="78"/>
    </row>
    <row r="22" ht="55" customHeight="1" spans="1:34">
      <c r="A22" s="71"/>
      <c r="B22" s="63" t="s">
        <v>75</v>
      </c>
      <c r="C22" s="66"/>
      <c r="D22" s="70"/>
      <c r="E22" s="62">
        <f>SUM(E4:E21)</f>
        <v>155800</v>
      </c>
      <c r="F22" s="62"/>
      <c r="G22" s="70">
        <f t="shared" ref="G22:O22" si="9">SUM(G4:G21)</f>
        <v>99620</v>
      </c>
      <c r="H22" s="70">
        <f t="shared" si="9"/>
        <v>45980</v>
      </c>
      <c r="I22" s="70">
        <f t="shared" si="9"/>
        <v>10200</v>
      </c>
      <c r="J22" s="70">
        <f t="shared" si="9"/>
        <v>0</v>
      </c>
      <c r="K22" s="70">
        <f t="shared" si="9"/>
        <v>-6269</v>
      </c>
      <c r="L22" s="70">
        <f t="shared" si="9"/>
        <v>0</v>
      </c>
      <c r="M22" s="70">
        <f t="shared" si="9"/>
        <v>4960</v>
      </c>
      <c r="N22" s="70">
        <f t="shared" si="9"/>
        <v>0</v>
      </c>
      <c r="O22" s="70">
        <f t="shared" si="9"/>
        <v>-1309</v>
      </c>
      <c r="P22" s="70"/>
      <c r="Q22" s="70"/>
      <c r="R22" s="70"/>
      <c r="S22" s="70">
        <f>SUM(S4:S21)</f>
        <v>144291</v>
      </c>
      <c r="T22" s="70">
        <f t="shared" ref="S22:AA22" si="10">SUM(T4:T21)</f>
        <v>6082.8</v>
      </c>
      <c r="U22" s="70">
        <f t="shared" si="10"/>
        <v>380.25</v>
      </c>
      <c r="V22" s="70">
        <f t="shared" si="10"/>
        <v>1520.7</v>
      </c>
      <c r="W22" s="70">
        <f t="shared" si="10"/>
        <v>321.03</v>
      </c>
      <c r="X22" s="70">
        <f t="shared" si="10"/>
        <v>3950</v>
      </c>
      <c r="Y22" s="70">
        <f t="shared" si="10"/>
        <v>2433.9</v>
      </c>
      <c r="Z22" s="70">
        <f t="shared" si="10"/>
        <v>14688.68</v>
      </c>
      <c r="AA22" s="70">
        <f t="shared" si="10"/>
        <v>129602.32</v>
      </c>
      <c r="AB22" s="81"/>
    </row>
    <row r="23" ht="90" customHeight="1" spans="1:34">
      <c r="A23" s="82" t="s">
        <v>76</v>
      </c>
      <c r="B23" s="83" t="s">
        <v>77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4"/>
      <c r="AD23" s="84"/>
      <c r="AE23" s="84"/>
      <c r="AF23" s="84"/>
      <c r="AG23" s="84"/>
      <c r="AH23" s="84"/>
    </row>
    <row r="25" s="56" customFormat="1" ht="150" customHeight="1" spans="1:34">
      <c r="B25" s="56" t="s">
        <v>78</v>
      </c>
      <c r="K25" s="56" t="s">
        <v>79</v>
      </c>
      <c r="R25" s="56" t="s">
        <v>80</v>
      </c>
      <c r="Y25" s="85"/>
      <c r="Z25" s="56" t="s">
        <v>81</v>
      </c>
    </row>
  </sheetData>
  <mergeCells count="10">
    <mergeCell ref="A1:AB1"/>
    <mergeCell ref="B2:I2"/>
    <mergeCell ref="J2:O2"/>
    <mergeCell ref="P2:S2"/>
    <mergeCell ref="T2:Z2"/>
    <mergeCell ref="B22:C22"/>
    <mergeCell ref="B23:AB23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8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27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AF19" sqref="AF19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251">
      <c r="A1" s="10">
        <v>2026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5</v>
      </c>
      <c r="W1" s="11"/>
      <c r="X1" s="12" t="s">
        <v>82</v>
      </c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customHeight="1" spans="1:251">
      <c r="A2" s="13"/>
      <c r="B2" s="14" t="s">
        <v>83</v>
      </c>
      <c r="C2" s="13" t="s">
        <v>29</v>
      </c>
      <c r="D2" s="13"/>
      <c r="E2" s="13"/>
      <c r="F2" s="13"/>
      <c r="G2" s="13"/>
      <c r="H2" s="13"/>
      <c r="I2" s="13"/>
      <c r="J2" s="15"/>
      <c r="K2" s="16"/>
      <c r="L2" s="16"/>
      <c r="M2" s="16"/>
      <c r="N2" s="16"/>
      <c r="O2" s="15"/>
      <c r="P2" s="15"/>
      <c r="Q2" s="15"/>
      <c r="R2" s="16"/>
      <c r="S2" s="16"/>
      <c r="T2" s="15"/>
      <c r="U2" s="15"/>
      <c r="V2" s="15"/>
      <c r="W2" s="15"/>
      <c r="X2" s="15"/>
      <c r="Y2" s="16"/>
      <c r="Z2" s="16"/>
      <c r="AA2" s="15"/>
      <c r="AB2" s="15"/>
      <c r="AC2" s="15"/>
      <c r="AD2" s="15"/>
      <c r="AE2" s="15"/>
      <c r="AF2" s="16"/>
      <c r="AG2" s="16"/>
      <c r="AH2" s="15"/>
      <c r="AI2" s="15"/>
      <c r="AJ2" s="17"/>
      <c r="AK2" s="18">
        <v>46175</v>
      </c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ht="30" customHeight="1" spans="1:251">
      <c r="A3" s="19" t="s">
        <v>31</v>
      </c>
      <c r="B3" s="19" t="s">
        <v>32</v>
      </c>
      <c r="C3" s="19" t="s">
        <v>84</v>
      </c>
      <c r="D3" s="20" t="s">
        <v>85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19" t="s">
        <v>21</v>
      </c>
      <c r="AJ3" s="19" t="s">
        <v>86</v>
      </c>
      <c r="AK3" s="23" t="s">
        <v>87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19" t="s">
        <v>88</v>
      </c>
    </row>
    <row r="4" ht="20.1" customHeight="1" spans="1:251">
      <c r="A4" s="25"/>
      <c r="B4" s="25"/>
      <c r="C4" s="25"/>
      <c r="D4" s="26">
        <f>V1</f>
        <v>5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89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9"/>
      <c r="AI4" s="25"/>
      <c r="AJ4" s="25"/>
      <c r="AK4" s="30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25"/>
    </row>
    <row r="5" ht="78" customHeight="1" spans="1:251">
      <c r="A5" s="32"/>
      <c r="B5" s="32"/>
      <c r="C5" s="32"/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3">
        <v>11</v>
      </c>
      <c r="O5" s="33">
        <v>12</v>
      </c>
      <c r="P5" s="33">
        <v>13</v>
      </c>
      <c r="Q5" s="33">
        <v>14</v>
      </c>
      <c r="R5" s="33">
        <v>15</v>
      </c>
      <c r="S5" s="33">
        <v>16</v>
      </c>
      <c r="T5" s="33">
        <v>17</v>
      </c>
      <c r="U5" s="33">
        <v>18</v>
      </c>
      <c r="V5" s="33">
        <v>19</v>
      </c>
      <c r="W5" s="33">
        <v>20</v>
      </c>
      <c r="X5" s="33">
        <v>21</v>
      </c>
      <c r="Y5" s="33">
        <v>22</v>
      </c>
      <c r="Z5" s="33">
        <v>23</v>
      </c>
      <c r="AA5" s="33">
        <v>24</v>
      </c>
      <c r="AB5" s="33">
        <v>25</v>
      </c>
      <c r="AC5" s="33">
        <v>26</v>
      </c>
      <c r="AD5" s="33">
        <v>27</v>
      </c>
      <c r="AE5" s="33">
        <v>28</v>
      </c>
      <c r="AF5" s="33">
        <v>29</v>
      </c>
      <c r="AG5" s="33">
        <v>30</v>
      </c>
      <c r="AH5" s="33">
        <v>31</v>
      </c>
      <c r="AI5" s="32"/>
      <c r="AJ5" s="32"/>
      <c r="AK5" s="88" t="s">
        <v>90</v>
      </c>
      <c r="AL5" s="34" t="s">
        <v>91</v>
      </c>
      <c r="AM5" s="34" t="s">
        <v>92</v>
      </c>
      <c r="AN5" s="34" t="s">
        <v>93</v>
      </c>
      <c r="AO5" s="34" t="s">
        <v>94</v>
      </c>
      <c r="AP5" s="34" t="s">
        <v>95</v>
      </c>
      <c r="AQ5" s="34" t="s">
        <v>96</v>
      </c>
      <c r="AR5" s="34" t="s">
        <v>97</v>
      </c>
      <c r="AS5" s="35" t="s">
        <v>98</v>
      </c>
      <c r="AT5" s="35" t="s">
        <v>99</v>
      </c>
      <c r="AU5" s="35" t="s">
        <v>100</v>
      </c>
      <c r="AV5" s="35" t="s">
        <v>101</v>
      </c>
      <c r="AW5" s="35" t="s">
        <v>102</v>
      </c>
      <c r="AX5" s="35" t="s">
        <v>103</v>
      </c>
      <c r="AY5" s="35" t="s">
        <v>104</v>
      </c>
      <c r="AZ5" s="32"/>
    </row>
    <row r="6" s="6" customFormat="1" ht="25" customHeight="1" spans="1:251">
      <c r="A6" s="36">
        <v>1</v>
      </c>
      <c r="B6" s="37" t="str">
        <f>工资表!B4</f>
        <v>李全伟</v>
      </c>
      <c r="C6" s="38" t="str">
        <f>工资表!C4</f>
        <v>业务支持中心副总经理</v>
      </c>
      <c r="D6" s="39" t="s">
        <v>92</v>
      </c>
      <c r="E6" s="39" t="s">
        <v>92</v>
      </c>
      <c r="F6" s="39" t="s">
        <v>92</v>
      </c>
      <c r="G6" s="39" t="s">
        <v>92</v>
      </c>
      <c r="H6" s="39" t="s">
        <v>92</v>
      </c>
      <c r="I6" s="39" t="s">
        <v>105</v>
      </c>
      <c r="J6" s="39" t="s">
        <v>105</v>
      </c>
      <c r="K6" s="39" t="s">
        <v>105</v>
      </c>
      <c r="L6" s="39" t="s">
        <v>105</v>
      </c>
      <c r="M6" s="39" t="s">
        <v>92</v>
      </c>
      <c r="N6" s="39" t="s">
        <v>91</v>
      </c>
      <c r="O6" s="39" t="s">
        <v>91</v>
      </c>
      <c r="P6" s="39" t="s">
        <v>91</v>
      </c>
      <c r="Q6" s="39" t="s">
        <v>105</v>
      </c>
      <c r="R6" s="39" t="s">
        <v>105</v>
      </c>
      <c r="S6" s="39" t="s">
        <v>92</v>
      </c>
      <c r="T6" s="39" t="s">
        <v>92</v>
      </c>
      <c r="U6" s="39" t="s">
        <v>105</v>
      </c>
      <c r="V6" s="39" t="s">
        <v>105</v>
      </c>
      <c r="W6" s="39" t="s">
        <v>105</v>
      </c>
      <c r="X6" s="39" t="s">
        <v>105</v>
      </c>
      <c r="Y6" s="39" t="s">
        <v>105</v>
      </c>
      <c r="Z6" s="39" t="s">
        <v>92</v>
      </c>
      <c r="AA6" s="39" t="s">
        <v>92</v>
      </c>
      <c r="AB6" s="39" t="s">
        <v>105</v>
      </c>
      <c r="AC6" s="39" t="s">
        <v>105</v>
      </c>
      <c r="AD6" s="39" t="s">
        <v>92</v>
      </c>
      <c r="AE6" s="39" t="s">
        <v>92</v>
      </c>
      <c r="AF6" s="39" t="s">
        <v>92</v>
      </c>
      <c r="AG6" s="39" t="s">
        <v>92</v>
      </c>
      <c r="AH6" s="39" t="s">
        <v>92</v>
      </c>
      <c r="AI6" s="36">
        <f t="shared" ref="AI6:AI16" si="0">AK6+AL6+AR6</f>
        <v>16</v>
      </c>
      <c r="AJ6" s="36">
        <f t="shared" ref="AJ6:AJ16" si="1">AM6</f>
        <v>15</v>
      </c>
      <c r="AK6" s="40">
        <f t="shared" ref="AK6:AK16" si="2">COUNTIF($D6:$AH6,"√")</f>
        <v>13</v>
      </c>
      <c r="AL6" s="40">
        <f t="shared" ref="AL6:AL16" si="3">COUNTIF($D6:$AH6,"出差")</f>
        <v>3</v>
      </c>
      <c r="AM6" s="40">
        <f t="shared" ref="AM6:AM16" si="4">COUNTIF($D6:$AH6,"公休")</f>
        <v>15</v>
      </c>
      <c r="AN6" s="40">
        <f t="shared" ref="AN6:AN15" si="5">COUNTIF($D6:$AH6,"病假")</f>
        <v>0</v>
      </c>
      <c r="AO6" s="40">
        <f t="shared" ref="AO6:AO15" si="6">COUNTIF($D6:$AH6,"事假")</f>
        <v>0</v>
      </c>
      <c r="AP6" s="40">
        <f t="shared" ref="AP6:AP15" si="7">COUNTIF($D6:$AH6,"旷工")</f>
        <v>0</v>
      </c>
      <c r="AQ6" s="40">
        <f t="shared" ref="AQ6:AQ15" si="8">COUNTIF($D6:$AH6,"工伤")</f>
        <v>0</v>
      </c>
      <c r="AR6" s="40">
        <f t="shared" ref="AR6:AR15" si="9">COUNTIF($D6:$AH6,"培训")</f>
        <v>0</v>
      </c>
      <c r="AS6" s="40">
        <f t="shared" ref="AS6:AS15" si="10">COUNTIF($D6:$AH6,"冬休")</f>
        <v>0</v>
      </c>
      <c r="AT6" s="40">
        <f t="shared" ref="AT6:AT15" si="11">COUNTIF($D6:$AH6,"休假")</f>
        <v>0</v>
      </c>
      <c r="AU6" s="40">
        <f t="shared" ref="AU6:AU15" si="12">COUNTIF($D6:$AH6,"探亲")</f>
        <v>0</v>
      </c>
      <c r="AV6" s="40">
        <f t="shared" ref="AV6:AV15" si="13">COUNTIF($D6:$AH6,"产假")</f>
        <v>0</v>
      </c>
      <c r="AW6" s="40">
        <f t="shared" ref="AW6:AW15" si="14">COUNTIF($D6:$AH6,"陪护假")</f>
        <v>0</v>
      </c>
      <c r="AX6" s="40">
        <f>COUNTIF($D6:$AH6,"婚丧假")</f>
        <v>0</v>
      </c>
      <c r="AY6" s="40">
        <f t="shared" ref="AY6:AY15" si="15">COUNTIF($D6:$AH6,"待岗")</f>
        <v>0</v>
      </c>
      <c r="AZ6" s="41"/>
    </row>
    <row r="7" s="6" customFormat="1" ht="25" customHeight="1" spans="1:251">
      <c r="A7" s="36">
        <v>2</v>
      </c>
      <c r="B7" s="37" t="str">
        <f>工资表!B5</f>
        <v>杨文杰</v>
      </c>
      <c r="C7" s="38" t="str">
        <f>工资表!C5</f>
        <v>工程管理部副经理</v>
      </c>
      <c r="D7" s="39" t="s">
        <v>92</v>
      </c>
      <c r="E7" s="39" t="s">
        <v>92</v>
      </c>
      <c r="F7" s="39" t="s">
        <v>92</v>
      </c>
      <c r="G7" s="39" t="s">
        <v>92</v>
      </c>
      <c r="H7" s="39" t="s">
        <v>92</v>
      </c>
      <c r="I7" s="39" t="s">
        <v>105</v>
      </c>
      <c r="J7" s="39" t="s">
        <v>105</v>
      </c>
      <c r="K7" s="39" t="s">
        <v>105</v>
      </c>
      <c r="L7" s="39" t="s">
        <v>105</v>
      </c>
      <c r="M7" s="39" t="s">
        <v>92</v>
      </c>
      <c r="N7" s="39" t="s">
        <v>105</v>
      </c>
      <c r="O7" s="39" t="s">
        <v>105</v>
      </c>
      <c r="P7" s="39" t="s">
        <v>105</v>
      </c>
      <c r="Q7" s="39" t="s">
        <v>105</v>
      </c>
      <c r="R7" s="39" t="s">
        <v>105</v>
      </c>
      <c r="S7" s="39" t="s">
        <v>92</v>
      </c>
      <c r="T7" s="39" t="s">
        <v>92</v>
      </c>
      <c r="U7" s="39" t="s">
        <v>105</v>
      </c>
      <c r="V7" s="39" t="s">
        <v>105</v>
      </c>
      <c r="W7" s="39" t="s">
        <v>105</v>
      </c>
      <c r="X7" s="39" t="s">
        <v>105</v>
      </c>
      <c r="Y7" s="39" t="s">
        <v>105</v>
      </c>
      <c r="Z7" s="39" t="s">
        <v>92</v>
      </c>
      <c r="AA7" s="39" t="s">
        <v>92</v>
      </c>
      <c r="AB7" s="39" t="s">
        <v>105</v>
      </c>
      <c r="AC7" s="39" t="s">
        <v>105</v>
      </c>
      <c r="AD7" s="39" t="s">
        <v>92</v>
      </c>
      <c r="AE7" s="39" t="s">
        <v>92</v>
      </c>
      <c r="AF7" s="39" t="s">
        <v>92</v>
      </c>
      <c r="AG7" s="39" t="s">
        <v>92</v>
      </c>
      <c r="AH7" s="39" t="s">
        <v>92</v>
      </c>
      <c r="AI7" s="36">
        <f t="shared" si="0"/>
        <v>16</v>
      </c>
      <c r="AJ7" s="36">
        <f t="shared" si="1"/>
        <v>15</v>
      </c>
      <c r="AK7" s="40">
        <f t="shared" si="2"/>
        <v>16</v>
      </c>
      <c r="AL7" s="40">
        <f t="shared" si="3"/>
        <v>0</v>
      </c>
      <c r="AM7" s="40">
        <f t="shared" si="4"/>
        <v>15</v>
      </c>
      <c r="AN7" s="40">
        <f t="shared" si="5"/>
        <v>0</v>
      </c>
      <c r="AO7" s="40">
        <f t="shared" si="6"/>
        <v>0</v>
      </c>
      <c r="AP7" s="40">
        <f t="shared" si="7"/>
        <v>0</v>
      </c>
      <c r="AQ7" s="40">
        <f t="shared" si="8"/>
        <v>0</v>
      </c>
      <c r="AR7" s="40">
        <f t="shared" si="9"/>
        <v>0</v>
      </c>
      <c r="AS7" s="40">
        <f t="shared" si="10"/>
        <v>0</v>
      </c>
      <c r="AT7" s="40">
        <f t="shared" si="11"/>
        <v>0</v>
      </c>
      <c r="AU7" s="40">
        <f t="shared" si="12"/>
        <v>0</v>
      </c>
      <c r="AV7" s="40">
        <f t="shared" si="13"/>
        <v>0</v>
      </c>
      <c r="AW7" s="40">
        <f t="shared" si="14"/>
        <v>0</v>
      </c>
      <c r="AX7" s="40">
        <f>COUNTIF($D7:$AH7,"婚丧假")</f>
        <v>0</v>
      </c>
      <c r="AY7" s="40">
        <f t="shared" si="15"/>
        <v>0</v>
      </c>
      <c r="AZ7" s="41"/>
    </row>
    <row r="8" s="6" customFormat="1" ht="25" customHeight="1" spans="1:251">
      <c r="A8" s="36">
        <v>3</v>
      </c>
      <c r="B8" s="37" t="str">
        <f>工资表!B6</f>
        <v>徐惠蓉</v>
      </c>
      <c r="C8" s="38" t="str">
        <f>工资表!C6</f>
        <v>投资开发部副经理</v>
      </c>
      <c r="D8" s="39" t="s">
        <v>92</v>
      </c>
      <c r="E8" s="39" t="s">
        <v>92</v>
      </c>
      <c r="F8" s="39" t="s">
        <v>92</v>
      </c>
      <c r="G8" s="39" t="s">
        <v>92</v>
      </c>
      <c r="H8" s="39" t="s">
        <v>92</v>
      </c>
      <c r="I8" s="39" t="s">
        <v>105</v>
      </c>
      <c r="J8" s="39" t="s">
        <v>105</v>
      </c>
      <c r="K8" s="39" t="s">
        <v>105</v>
      </c>
      <c r="L8" s="39" t="s">
        <v>105</v>
      </c>
      <c r="M8" s="39" t="s">
        <v>92</v>
      </c>
      <c r="N8" s="39" t="s">
        <v>105</v>
      </c>
      <c r="O8" s="39" t="s">
        <v>105</v>
      </c>
      <c r="P8" s="39" t="s">
        <v>105</v>
      </c>
      <c r="Q8" s="39" t="s">
        <v>105</v>
      </c>
      <c r="R8" s="39" t="s">
        <v>105</v>
      </c>
      <c r="S8" s="39" t="s">
        <v>92</v>
      </c>
      <c r="T8" s="39" t="s">
        <v>92</v>
      </c>
      <c r="U8" s="39" t="s">
        <v>105</v>
      </c>
      <c r="V8" s="39" t="s">
        <v>105</v>
      </c>
      <c r="W8" s="39" t="s">
        <v>105</v>
      </c>
      <c r="X8" s="39" t="s">
        <v>105</v>
      </c>
      <c r="Y8" s="39" t="s">
        <v>105</v>
      </c>
      <c r="Z8" s="39" t="s">
        <v>92</v>
      </c>
      <c r="AA8" s="39" t="s">
        <v>92</v>
      </c>
      <c r="AB8" s="39" t="s">
        <v>105</v>
      </c>
      <c r="AC8" s="39" t="s">
        <v>105</v>
      </c>
      <c r="AD8" s="39" t="s">
        <v>92</v>
      </c>
      <c r="AE8" s="39" t="s">
        <v>92</v>
      </c>
      <c r="AF8" s="39" t="s">
        <v>92</v>
      </c>
      <c r="AG8" s="39" t="s">
        <v>92</v>
      </c>
      <c r="AH8" s="39" t="s">
        <v>92</v>
      </c>
      <c r="AI8" s="36">
        <f t="shared" si="0"/>
        <v>16</v>
      </c>
      <c r="AJ8" s="36">
        <f t="shared" si="1"/>
        <v>15</v>
      </c>
      <c r="AK8" s="40">
        <f t="shared" si="2"/>
        <v>16</v>
      </c>
      <c r="AL8" s="40">
        <f t="shared" si="3"/>
        <v>0</v>
      </c>
      <c r="AM8" s="40">
        <f t="shared" si="4"/>
        <v>15</v>
      </c>
      <c r="AN8" s="40">
        <f t="shared" si="5"/>
        <v>0</v>
      </c>
      <c r="AO8" s="40">
        <f t="shared" si="6"/>
        <v>0</v>
      </c>
      <c r="AP8" s="40">
        <f t="shared" si="7"/>
        <v>0</v>
      </c>
      <c r="AQ8" s="40">
        <f t="shared" si="8"/>
        <v>0</v>
      </c>
      <c r="AR8" s="40">
        <f t="shared" si="9"/>
        <v>0</v>
      </c>
      <c r="AS8" s="40">
        <f t="shared" si="10"/>
        <v>0</v>
      </c>
      <c r="AT8" s="40">
        <f t="shared" si="11"/>
        <v>0</v>
      </c>
      <c r="AU8" s="40">
        <f t="shared" si="12"/>
        <v>0</v>
      </c>
      <c r="AV8" s="40">
        <f t="shared" si="13"/>
        <v>0</v>
      </c>
      <c r="AW8" s="40">
        <f t="shared" si="14"/>
        <v>0</v>
      </c>
      <c r="AX8" s="40">
        <f>COUNTIF($D8:$AH8,"婚丧假")</f>
        <v>0</v>
      </c>
      <c r="AY8" s="40">
        <f t="shared" si="15"/>
        <v>0</v>
      </c>
      <c r="AZ8" s="41"/>
    </row>
    <row r="9" s="6" customFormat="1" ht="25" customHeight="1" spans="1:251">
      <c r="A9" s="36">
        <v>4</v>
      </c>
      <c r="B9" s="37" t="str">
        <f>工资表!B7</f>
        <v>沈陈瑾慧</v>
      </c>
      <c r="C9" s="38" t="str">
        <f>工资表!C7</f>
        <v>会计</v>
      </c>
      <c r="D9" s="39" t="s">
        <v>92</v>
      </c>
      <c r="E9" s="39" t="s">
        <v>92</v>
      </c>
      <c r="F9" s="39" t="s">
        <v>92</v>
      </c>
      <c r="G9" s="39" t="s">
        <v>92</v>
      </c>
      <c r="H9" s="39" t="s">
        <v>92</v>
      </c>
      <c r="I9" s="39" t="s">
        <v>105</v>
      </c>
      <c r="J9" s="39" t="s">
        <v>105</v>
      </c>
      <c r="K9" s="39" t="s">
        <v>105</v>
      </c>
      <c r="L9" s="39" t="s">
        <v>105</v>
      </c>
      <c r="M9" s="39" t="s">
        <v>92</v>
      </c>
      <c r="N9" s="39" t="s">
        <v>105</v>
      </c>
      <c r="O9" s="39" t="s">
        <v>105</v>
      </c>
      <c r="P9" s="39" t="s">
        <v>105</v>
      </c>
      <c r="Q9" s="39" t="s">
        <v>105</v>
      </c>
      <c r="R9" s="39" t="s">
        <v>105</v>
      </c>
      <c r="S9" s="39" t="s">
        <v>92</v>
      </c>
      <c r="T9" s="39" t="s">
        <v>92</v>
      </c>
      <c r="U9" s="39" t="s">
        <v>105</v>
      </c>
      <c r="V9" s="39" t="s">
        <v>105</v>
      </c>
      <c r="W9" s="39" t="s">
        <v>105</v>
      </c>
      <c r="X9" s="39" t="s">
        <v>105</v>
      </c>
      <c r="Y9" s="39" t="s">
        <v>105</v>
      </c>
      <c r="Z9" s="39" t="s">
        <v>92</v>
      </c>
      <c r="AA9" s="39" t="s">
        <v>92</v>
      </c>
      <c r="AB9" s="39" t="s">
        <v>105</v>
      </c>
      <c r="AC9" s="39" t="s">
        <v>105</v>
      </c>
      <c r="AD9" s="39" t="s">
        <v>92</v>
      </c>
      <c r="AE9" s="39" t="s">
        <v>92</v>
      </c>
      <c r="AF9" s="39" t="s">
        <v>92</v>
      </c>
      <c r="AG9" s="39" t="s">
        <v>92</v>
      </c>
      <c r="AH9" s="39" t="s">
        <v>92</v>
      </c>
      <c r="AI9" s="36">
        <f t="shared" si="0"/>
        <v>16</v>
      </c>
      <c r="AJ9" s="36">
        <f t="shared" si="1"/>
        <v>15</v>
      </c>
      <c r="AK9" s="40">
        <f t="shared" si="2"/>
        <v>16</v>
      </c>
      <c r="AL9" s="40">
        <f t="shared" si="3"/>
        <v>0</v>
      </c>
      <c r="AM9" s="40">
        <f t="shared" si="4"/>
        <v>15</v>
      </c>
      <c r="AN9" s="40">
        <f t="shared" si="5"/>
        <v>0</v>
      </c>
      <c r="AO9" s="40">
        <f t="shared" si="6"/>
        <v>0</v>
      </c>
      <c r="AP9" s="40">
        <f t="shared" si="7"/>
        <v>0</v>
      </c>
      <c r="AQ9" s="40">
        <f t="shared" si="8"/>
        <v>0</v>
      </c>
      <c r="AR9" s="40">
        <f t="shared" si="9"/>
        <v>0</v>
      </c>
      <c r="AS9" s="40">
        <f t="shared" si="10"/>
        <v>0</v>
      </c>
      <c r="AT9" s="40">
        <f t="shared" si="11"/>
        <v>0</v>
      </c>
      <c r="AU9" s="40">
        <f t="shared" si="12"/>
        <v>0</v>
      </c>
      <c r="AV9" s="40">
        <f t="shared" si="13"/>
        <v>0</v>
      </c>
      <c r="AW9" s="40">
        <f t="shared" si="14"/>
        <v>0</v>
      </c>
      <c r="AX9" s="40"/>
      <c r="AY9" s="40">
        <f t="shared" si="15"/>
        <v>0</v>
      </c>
      <c r="AZ9" s="41"/>
    </row>
    <row r="10" s="6" customFormat="1" ht="25" customHeight="1" spans="1:251">
      <c r="A10" s="36">
        <v>5</v>
      </c>
      <c r="B10" s="37" t="str">
        <f>工资表!B8</f>
        <v>管丽萍</v>
      </c>
      <c r="C10" s="38" t="str">
        <f>工资表!C8</f>
        <v>人事运营</v>
      </c>
      <c r="D10" s="39" t="s">
        <v>92</v>
      </c>
      <c r="E10" s="39" t="s">
        <v>92</v>
      </c>
      <c r="F10" s="39" t="s">
        <v>92</v>
      </c>
      <c r="G10" s="39" t="s">
        <v>92</v>
      </c>
      <c r="H10" s="39" t="s">
        <v>92</v>
      </c>
      <c r="I10" s="39" t="s">
        <v>105</v>
      </c>
      <c r="J10" s="39" t="s">
        <v>105</v>
      </c>
      <c r="K10" s="39" t="s">
        <v>105</v>
      </c>
      <c r="L10" s="39" t="s">
        <v>105</v>
      </c>
      <c r="M10" s="39" t="s">
        <v>92</v>
      </c>
      <c r="N10" s="39" t="s">
        <v>105</v>
      </c>
      <c r="O10" s="39" t="s">
        <v>105</v>
      </c>
      <c r="P10" s="39" t="s">
        <v>105</v>
      </c>
      <c r="Q10" s="39" t="s">
        <v>105</v>
      </c>
      <c r="R10" s="39" t="s">
        <v>105</v>
      </c>
      <c r="S10" s="39" t="s">
        <v>92</v>
      </c>
      <c r="T10" s="39" t="s">
        <v>92</v>
      </c>
      <c r="U10" s="39" t="s">
        <v>105</v>
      </c>
      <c r="V10" s="39" t="s">
        <v>105</v>
      </c>
      <c r="W10" s="39" t="s">
        <v>105</v>
      </c>
      <c r="X10" s="39" t="s">
        <v>105</v>
      </c>
      <c r="Y10" s="39" t="s">
        <v>105</v>
      </c>
      <c r="Z10" s="39" t="s">
        <v>92</v>
      </c>
      <c r="AA10" s="39" t="s">
        <v>92</v>
      </c>
      <c r="AB10" s="39" t="s">
        <v>105</v>
      </c>
      <c r="AC10" s="39" t="s">
        <v>105</v>
      </c>
      <c r="AD10" s="39" t="s">
        <v>92</v>
      </c>
      <c r="AE10" s="39" t="s">
        <v>92</v>
      </c>
      <c r="AF10" s="39" t="s">
        <v>92</v>
      </c>
      <c r="AG10" s="39" t="s">
        <v>92</v>
      </c>
      <c r="AH10" s="39" t="s">
        <v>92</v>
      </c>
      <c r="AI10" s="36">
        <f t="shared" si="0"/>
        <v>16</v>
      </c>
      <c r="AJ10" s="36">
        <f t="shared" si="1"/>
        <v>15</v>
      </c>
      <c r="AK10" s="40">
        <f t="shared" si="2"/>
        <v>16</v>
      </c>
      <c r="AL10" s="40">
        <f t="shared" si="3"/>
        <v>0</v>
      </c>
      <c r="AM10" s="40">
        <f t="shared" si="4"/>
        <v>15</v>
      </c>
      <c r="AN10" s="40">
        <f t="shared" si="5"/>
        <v>0</v>
      </c>
      <c r="AO10" s="40">
        <f t="shared" si="6"/>
        <v>0</v>
      </c>
      <c r="AP10" s="40">
        <f t="shared" si="7"/>
        <v>0</v>
      </c>
      <c r="AQ10" s="40">
        <f t="shared" si="8"/>
        <v>0</v>
      </c>
      <c r="AR10" s="40">
        <f t="shared" si="9"/>
        <v>0</v>
      </c>
      <c r="AS10" s="40">
        <f t="shared" si="10"/>
        <v>0</v>
      </c>
      <c r="AT10" s="40">
        <f t="shared" si="11"/>
        <v>0</v>
      </c>
      <c r="AU10" s="40">
        <f t="shared" si="12"/>
        <v>0</v>
      </c>
      <c r="AV10" s="40">
        <f t="shared" si="13"/>
        <v>0</v>
      </c>
      <c r="AW10" s="40">
        <f t="shared" si="14"/>
        <v>0</v>
      </c>
      <c r="AX10" s="40">
        <f t="shared" ref="AX10:AX15" si="16">COUNTIF($D10:$AH10,"婚丧假")</f>
        <v>0</v>
      </c>
      <c r="AY10" s="40">
        <f t="shared" si="15"/>
        <v>0</v>
      </c>
      <c r="AZ10" s="41"/>
    </row>
    <row r="11" s="6" customFormat="1" ht="25" customHeight="1" spans="1:251">
      <c r="A11" s="36">
        <v>6</v>
      </c>
      <c r="B11" s="37" t="str">
        <f>工资表!B9</f>
        <v>刘科</v>
      </c>
      <c r="C11" s="38" t="str">
        <f>工资表!C9</f>
        <v>招采工程师</v>
      </c>
      <c r="D11" s="39" t="s">
        <v>92</v>
      </c>
      <c r="E11" s="39" t="s">
        <v>92</v>
      </c>
      <c r="F11" s="39" t="s">
        <v>92</v>
      </c>
      <c r="G11" s="39" t="s">
        <v>92</v>
      </c>
      <c r="H11" s="39" t="s">
        <v>92</v>
      </c>
      <c r="I11" s="39" t="s">
        <v>105</v>
      </c>
      <c r="J11" s="39" t="s">
        <v>105</v>
      </c>
      <c r="K11" s="39" t="s">
        <v>105</v>
      </c>
      <c r="L11" s="39" t="s">
        <v>105</v>
      </c>
      <c r="M11" s="39" t="s">
        <v>92</v>
      </c>
      <c r="N11" s="39" t="s">
        <v>105</v>
      </c>
      <c r="O11" s="39" t="s">
        <v>105</v>
      </c>
      <c r="P11" s="39" t="s">
        <v>105</v>
      </c>
      <c r="Q11" s="39" t="s">
        <v>105</v>
      </c>
      <c r="R11" s="39" t="s">
        <v>105</v>
      </c>
      <c r="S11" s="39" t="s">
        <v>92</v>
      </c>
      <c r="T11" s="39" t="s">
        <v>92</v>
      </c>
      <c r="U11" s="39" t="s">
        <v>105</v>
      </c>
      <c r="V11" s="39" t="s">
        <v>105</v>
      </c>
      <c r="W11" s="39" t="s">
        <v>105</v>
      </c>
      <c r="X11" s="39" t="s">
        <v>105</v>
      </c>
      <c r="Y11" s="39" t="s">
        <v>105</v>
      </c>
      <c r="Z11" s="39" t="s">
        <v>92</v>
      </c>
      <c r="AA11" s="39" t="s">
        <v>92</v>
      </c>
      <c r="AB11" s="39" t="s">
        <v>105</v>
      </c>
      <c r="AC11" s="39" t="s">
        <v>105</v>
      </c>
      <c r="AD11" s="39" t="s">
        <v>92</v>
      </c>
      <c r="AE11" s="39" t="s">
        <v>92</v>
      </c>
      <c r="AF11" s="39" t="s">
        <v>92</v>
      </c>
      <c r="AG11" s="39" t="s">
        <v>92</v>
      </c>
      <c r="AH11" s="39" t="s">
        <v>92</v>
      </c>
      <c r="AI11" s="36">
        <f t="shared" si="0"/>
        <v>16</v>
      </c>
      <c r="AJ11" s="36">
        <f t="shared" si="1"/>
        <v>15</v>
      </c>
      <c r="AK11" s="40">
        <f t="shared" si="2"/>
        <v>16</v>
      </c>
      <c r="AL11" s="40">
        <f t="shared" si="3"/>
        <v>0</v>
      </c>
      <c r="AM11" s="40">
        <f t="shared" si="4"/>
        <v>15</v>
      </c>
      <c r="AN11" s="40">
        <f t="shared" si="5"/>
        <v>0</v>
      </c>
      <c r="AO11" s="40">
        <f t="shared" si="6"/>
        <v>0</v>
      </c>
      <c r="AP11" s="40">
        <f t="shared" si="7"/>
        <v>0</v>
      </c>
      <c r="AQ11" s="40">
        <f t="shared" si="8"/>
        <v>0</v>
      </c>
      <c r="AR11" s="40">
        <f t="shared" si="9"/>
        <v>0</v>
      </c>
      <c r="AS11" s="40">
        <f t="shared" si="10"/>
        <v>0</v>
      </c>
      <c r="AT11" s="40">
        <f t="shared" si="11"/>
        <v>0</v>
      </c>
      <c r="AU11" s="40">
        <f t="shared" si="12"/>
        <v>0</v>
      </c>
      <c r="AV11" s="40">
        <f t="shared" si="13"/>
        <v>0</v>
      </c>
      <c r="AW11" s="40">
        <f t="shared" si="14"/>
        <v>0</v>
      </c>
      <c r="AX11" s="40">
        <f t="shared" si="16"/>
        <v>0</v>
      </c>
      <c r="AY11" s="40">
        <f t="shared" si="15"/>
        <v>0</v>
      </c>
      <c r="AZ11" s="41"/>
    </row>
    <row r="12" s="6" customFormat="1" ht="25" customHeight="1" spans="1:251">
      <c r="A12" s="36">
        <v>7</v>
      </c>
      <c r="B12" s="37" t="str">
        <f>工资表!B10</f>
        <v>高建梅</v>
      </c>
      <c r="C12" s="38" t="str">
        <f>工资表!C10</f>
        <v>出纳</v>
      </c>
      <c r="D12" s="39" t="s">
        <v>92</v>
      </c>
      <c r="E12" s="39" t="s">
        <v>92</v>
      </c>
      <c r="F12" s="39" t="s">
        <v>92</v>
      </c>
      <c r="G12" s="39" t="s">
        <v>92</v>
      </c>
      <c r="H12" s="39" t="s">
        <v>92</v>
      </c>
      <c r="I12" s="39" t="s">
        <v>105</v>
      </c>
      <c r="J12" s="39" t="s">
        <v>105</v>
      </c>
      <c r="K12" s="39" t="s">
        <v>105</v>
      </c>
      <c r="L12" s="39" t="s">
        <v>105</v>
      </c>
      <c r="M12" s="39" t="s">
        <v>92</v>
      </c>
      <c r="N12" s="39" t="s">
        <v>105</v>
      </c>
      <c r="O12" s="39" t="s">
        <v>105</v>
      </c>
      <c r="P12" s="39" t="s">
        <v>105</v>
      </c>
      <c r="Q12" s="39" t="s">
        <v>105</v>
      </c>
      <c r="R12" s="39" t="s">
        <v>105</v>
      </c>
      <c r="S12" s="39" t="s">
        <v>92</v>
      </c>
      <c r="T12" s="39" t="s">
        <v>92</v>
      </c>
      <c r="U12" s="39" t="s">
        <v>105</v>
      </c>
      <c r="V12" s="39" t="s">
        <v>105</v>
      </c>
      <c r="W12" s="39" t="s">
        <v>105</v>
      </c>
      <c r="X12" s="39" t="s">
        <v>105</v>
      </c>
      <c r="Y12" s="39" t="s">
        <v>105</v>
      </c>
      <c r="Z12" s="39" t="s">
        <v>92</v>
      </c>
      <c r="AA12" s="39" t="s">
        <v>92</v>
      </c>
      <c r="AB12" s="39" t="s">
        <v>105</v>
      </c>
      <c r="AC12" s="39" t="s">
        <v>105</v>
      </c>
      <c r="AD12" s="39" t="s">
        <v>92</v>
      </c>
      <c r="AE12" s="39" t="s">
        <v>92</v>
      </c>
      <c r="AF12" s="39" t="s">
        <v>92</v>
      </c>
      <c r="AG12" s="39" t="s">
        <v>92</v>
      </c>
      <c r="AH12" s="39" t="s">
        <v>92</v>
      </c>
      <c r="AI12" s="36">
        <f t="shared" si="0"/>
        <v>16</v>
      </c>
      <c r="AJ12" s="36">
        <f t="shared" si="1"/>
        <v>15</v>
      </c>
      <c r="AK12" s="40">
        <f t="shared" si="2"/>
        <v>16</v>
      </c>
      <c r="AL12" s="40">
        <f t="shared" si="3"/>
        <v>0</v>
      </c>
      <c r="AM12" s="40">
        <f t="shared" si="4"/>
        <v>15</v>
      </c>
      <c r="AN12" s="40">
        <f t="shared" si="5"/>
        <v>0</v>
      </c>
      <c r="AO12" s="40">
        <f t="shared" si="6"/>
        <v>0</v>
      </c>
      <c r="AP12" s="40">
        <f t="shared" si="7"/>
        <v>0</v>
      </c>
      <c r="AQ12" s="40">
        <f t="shared" si="8"/>
        <v>0</v>
      </c>
      <c r="AR12" s="40">
        <f t="shared" si="9"/>
        <v>0</v>
      </c>
      <c r="AS12" s="40">
        <f t="shared" si="10"/>
        <v>0</v>
      </c>
      <c r="AT12" s="40">
        <f t="shared" si="11"/>
        <v>0</v>
      </c>
      <c r="AU12" s="40">
        <f t="shared" si="12"/>
        <v>0</v>
      </c>
      <c r="AV12" s="40">
        <f t="shared" si="13"/>
        <v>0</v>
      </c>
      <c r="AW12" s="40">
        <f t="shared" si="14"/>
        <v>0</v>
      </c>
      <c r="AX12" s="40">
        <f t="shared" si="16"/>
        <v>0</v>
      </c>
      <c r="AY12" s="40">
        <f t="shared" si="15"/>
        <v>0</v>
      </c>
      <c r="AZ12" s="41"/>
    </row>
    <row r="13" s="6" customFormat="1" ht="25" customHeight="1" spans="1:251">
      <c r="A13" s="36">
        <v>8</v>
      </c>
      <c r="B13" s="37" t="str">
        <f>工资表!B11</f>
        <v>周佳奇</v>
      </c>
      <c r="C13" s="38" t="str">
        <f>工资表!C11</f>
        <v>造价工程师</v>
      </c>
      <c r="D13" s="39" t="s">
        <v>92</v>
      </c>
      <c r="E13" s="39" t="s">
        <v>92</v>
      </c>
      <c r="F13" s="39" t="s">
        <v>92</v>
      </c>
      <c r="G13" s="39" t="s">
        <v>92</v>
      </c>
      <c r="H13" s="39" t="s">
        <v>92</v>
      </c>
      <c r="I13" s="39" t="s">
        <v>105</v>
      </c>
      <c r="J13" s="39" t="s">
        <v>105</v>
      </c>
      <c r="K13" s="39" t="s">
        <v>105</v>
      </c>
      <c r="L13" s="39" t="s">
        <v>105</v>
      </c>
      <c r="M13" s="39" t="s">
        <v>92</v>
      </c>
      <c r="N13" s="39" t="s">
        <v>105</v>
      </c>
      <c r="O13" s="39" t="s">
        <v>105</v>
      </c>
      <c r="P13" s="39" t="s">
        <v>105</v>
      </c>
      <c r="Q13" s="39" t="s">
        <v>105</v>
      </c>
      <c r="R13" s="39" t="s">
        <v>105</v>
      </c>
      <c r="S13" s="39" t="s">
        <v>92</v>
      </c>
      <c r="T13" s="39" t="s">
        <v>92</v>
      </c>
      <c r="U13" s="39" t="s">
        <v>105</v>
      </c>
      <c r="V13" s="39" t="s">
        <v>105</v>
      </c>
      <c r="W13" s="39" t="s">
        <v>105</v>
      </c>
      <c r="X13" s="39" t="s">
        <v>105</v>
      </c>
      <c r="Y13" s="39" t="s">
        <v>105</v>
      </c>
      <c r="Z13" s="39" t="s">
        <v>92</v>
      </c>
      <c r="AA13" s="39" t="s">
        <v>92</v>
      </c>
      <c r="AB13" s="39" t="s">
        <v>105</v>
      </c>
      <c r="AC13" s="39" t="s">
        <v>105</v>
      </c>
      <c r="AD13" s="39" t="s">
        <v>92</v>
      </c>
      <c r="AE13" s="39" t="s">
        <v>92</v>
      </c>
      <c r="AF13" s="39" t="s">
        <v>92</v>
      </c>
      <c r="AG13" s="39" t="s">
        <v>92</v>
      </c>
      <c r="AH13" s="39" t="s">
        <v>92</v>
      </c>
      <c r="AI13" s="36">
        <f t="shared" si="0"/>
        <v>16</v>
      </c>
      <c r="AJ13" s="36">
        <f t="shared" si="1"/>
        <v>15</v>
      </c>
      <c r="AK13" s="40">
        <f t="shared" si="2"/>
        <v>16</v>
      </c>
      <c r="AL13" s="40">
        <f t="shared" si="3"/>
        <v>0</v>
      </c>
      <c r="AM13" s="40">
        <f t="shared" si="4"/>
        <v>15</v>
      </c>
      <c r="AN13" s="40">
        <f t="shared" si="5"/>
        <v>0</v>
      </c>
      <c r="AO13" s="40">
        <f t="shared" si="6"/>
        <v>0</v>
      </c>
      <c r="AP13" s="40">
        <f t="shared" si="7"/>
        <v>0</v>
      </c>
      <c r="AQ13" s="40">
        <f t="shared" si="8"/>
        <v>0</v>
      </c>
      <c r="AR13" s="40">
        <f t="shared" si="9"/>
        <v>0</v>
      </c>
      <c r="AS13" s="40">
        <f t="shared" si="10"/>
        <v>0</v>
      </c>
      <c r="AT13" s="40">
        <f t="shared" si="11"/>
        <v>0</v>
      </c>
      <c r="AU13" s="40">
        <f t="shared" si="12"/>
        <v>0</v>
      </c>
      <c r="AV13" s="40">
        <f t="shared" si="13"/>
        <v>0</v>
      </c>
      <c r="AW13" s="40">
        <f t="shared" si="14"/>
        <v>0</v>
      </c>
      <c r="AX13" s="40">
        <f t="shared" si="16"/>
        <v>0</v>
      </c>
      <c r="AY13" s="40">
        <f t="shared" si="15"/>
        <v>0</v>
      </c>
      <c r="AZ13" s="41"/>
    </row>
    <row r="14" s="6" customFormat="1" ht="25" customHeight="1" spans="1:251">
      <c r="A14" s="36">
        <v>9</v>
      </c>
      <c r="B14" s="37" t="str">
        <f>工资表!B12</f>
        <v>白媛媛</v>
      </c>
      <c r="C14" s="38" t="str">
        <f>工资表!C12</f>
        <v>开发报建工程师</v>
      </c>
      <c r="D14" s="39" t="s">
        <v>92</v>
      </c>
      <c r="E14" s="39" t="s">
        <v>92</v>
      </c>
      <c r="F14" s="39" t="s">
        <v>92</v>
      </c>
      <c r="G14" s="39" t="s">
        <v>92</v>
      </c>
      <c r="H14" s="39" t="s">
        <v>92</v>
      </c>
      <c r="I14" s="39" t="s">
        <v>105</v>
      </c>
      <c r="J14" s="39" t="s">
        <v>105</v>
      </c>
      <c r="K14" s="39" t="s">
        <v>105</v>
      </c>
      <c r="L14" s="39" t="s">
        <v>105</v>
      </c>
      <c r="M14" s="39" t="s">
        <v>92</v>
      </c>
      <c r="N14" s="39" t="s">
        <v>105</v>
      </c>
      <c r="O14" s="39" t="s">
        <v>105</v>
      </c>
      <c r="P14" s="39" t="s">
        <v>105</v>
      </c>
      <c r="Q14" s="39" t="s">
        <v>105</v>
      </c>
      <c r="R14" s="39" t="s">
        <v>105</v>
      </c>
      <c r="S14" s="39" t="s">
        <v>92</v>
      </c>
      <c r="T14" s="39" t="s">
        <v>92</v>
      </c>
      <c r="U14" s="39" t="s">
        <v>105</v>
      </c>
      <c r="V14" s="39" t="s">
        <v>105</v>
      </c>
      <c r="W14" s="39" t="s">
        <v>105</v>
      </c>
      <c r="X14" s="39" t="s">
        <v>105</v>
      </c>
      <c r="Y14" s="39" t="s">
        <v>105</v>
      </c>
      <c r="Z14" s="39" t="s">
        <v>92</v>
      </c>
      <c r="AA14" s="39" t="s">
        <v>92</v>
      </c>
      <c r="AB14" s="39" t="s">
        <v>105</v>
      </c>
      <c r="AC14" s="39" t="s">
        <v>105</v>
      </c>
      <c r="AD14" s="39" t="s">
        <v>92</v>
      </c>
      <c r="AE14" s="39" t="s">
        <v>92</v>
      </c>
      <c r="AF14" s="39" t="s">
        <v>92</v>
      </c>
      <c r="AG14" s="39" t="s">
        <v>92</v>
      </c>
      <c r="AH14" s="39" t="s">
        <v>92</v>
      </c>
      <c r="AI14" s="36">
        <f t="shared" si="0"/>
        <v>16</v>
      </c>
      <c r="AJ14" s="36">
        <f t="shared" si="1"/>
        <v>15</v>
      </c>
      <c r="AK14" s="40">
        <f t="shared" si="2"/>
        <v>16</v>
      </c>
      <c r="AL14" s="40">
        <f t="shared" si="3"/>
        <v>0</v>
      </c>
      <c r="AM14" s="40">
        <f t="shared" si="4"/>
        <v>15</v>
      </c>
      <c r="AN14" s="40">
        <f t="shared" si="5"/>
        <v>0</v>
      </c>
      <c r="AO14" s="40">
        <f t="shared" si="6"/>
        <v>0</v>
      </c>
      <c r="AP14" s="40">
        <f t="shared" si="7"/>
        <v>0</v>
      </c>
      <c r="AQ14" s="40">
        <f t="shared" si="8"/>
        <v>0</v>
      </c>
      <c r="AR14" s="40">
        <f t="shared" si="9"/>
        <v>0</v>
      </c>
      <c r="AS14" s="40">
        <f t="shared" si="10"/>
        <v>0</v>
      </c>
      <c r="AT14" s="40">
        <f t="shared" si="11"/>
        <v>0</v>
      </c>
      <c r="AU14" s="40">
        <f t="shared" si="12"/>
        <v>0</v>
      </c>
      <c r="AV14" s="40">
        <f t="shared" si="13"/>
        <v>0</v>
      </c>
      <c r="AW14" s="40">
        <f t="shared" si="14"/>
        <v>0</v>
      </c>
      <c r="AX14" s="40">
        <f t="shared" si="16"/>
        <v>0</v>
      </c>
      <c r="AY14" s="40">
        <f t="shared" si="15"/>
        <v>0</v>
      </c>
      <c r="AZ14" s="41"/>
    </row>
    <row r="15" s="6" customFormat="1" ht="25" customHeight="1" spans="1:251">
      <c r="A15" s="36">
        <v>10</v>
      </c>
      <c r="B15" s="37" t="str">
        <f>工资表!B13</f>
        <v>温进进</v>
      </c>
      <c r="C15" s="38" t="str">
        <f>工资表!C13</f>
        <v>土建工程师</v>
      </c>
      <c r="D15" s="39" t="s">
        <v>92</v>
      </c>
      <c r="E15" s="39" t="s">
        <v>92</v>
      </c>
      <c r="F15" s="39" t="s">
        <v>92</v>
      </c>
      <c r="G15" s="39" t="s">
        <v>92</v>
      </c>
      <c r="H15" s="39" t="s">
        <v>92</v>
      </c>
      <c r="I15" s="39" t="s">
        <v>105</v>
      </c>
      <c r="J15" s="39" t="s">
        <v>105</v>
      </c>
      <c r="K15" s="39" t="s">
        <v>105</v>
      </c>
      <c r="L15" s="39" t="s">
        <v>105</v>
      </c>
      <c r="M15" s="39" t="s">
        <v>92</v>
      </c>
      <c r="N15" s="39" t="s">
        <v>105</v>
      </c>
      <c r="O15" s="39" t="s">
        <v>105</v>
      </c>
      <c r="P15" s="39" t="s">
        <v>105</v>
      </c>
      <c r="Q15" s="39" t="s">
        <v>105</v>
      </c>
      <c r="R15" s="39" t="s">
        <v>105</v>
      </c>
      <c r="S15" s="39" t="s">
        <v>92</v>
      </c>
      <c r="T15" s="39" t="s">
        <v>92</v>
      </c>
      <c r="U15" s="39" t="s">
        <v>105</v>
      </c>
      <c r="V15" s="39" t="s">
        <v>105</v>
      </c>
      <c r="W15" s="39" t="s">
        <v>105</v>
      </c>
      <c r="X15" s="39" t="s">
        <v>105</v>
      </c>
      <c r="Y15" s="39" t="s">
        <v>105</v>
      </c>
      <c r="Z15" s="39" t="s">
        <v>92</v>
      </c>
      <c r="AA15" s="39" t="s">
        <v>92</v>
      </c>
      <c r="AB15" s="39" t="s">
        <v>105</v>
      </c>
      <c r="AC15" s="39" t="s">
        <v>105</v>
      </c>
      <c r="AD15" s="39" t="s">
        <v>92</v>
      </c>
      <c r="AE15" s="39" t="s">
        <v>92</v>
      </c>
      <c r="AF15" s="39" t="s">
        <v>92</v>
      </c>
      <c r="AG15" s="39" t="s">
        <v>92</v>
      </c>
      <c r="AH15" s="39" t="s">
        <v>92</v>
      </c>
      <c r="AI15" s="36">
        <f t="shared" si="0"/>
        <v>16</v>
      </c>
      <c r="AJ15" s="36">
        <f t="shared" si="1"/>
        <v>15</v>
      </c>
      <c r="AK15" s="40">
        <f t="shared" si="2"/>
        <v>16</v>
      </c>
      <c r="AL15" s="40">
        <f t="shared" si="3"/>
        <v>0</v>
      </c>
      <c r="AM15" s="40">
        <f t="shared" si="4"/>
        <v>15</v>
      </c>
      <c r="AN15" s="40">
        <f t="shared" si="5"/>
        <v>0</v>
      </c>
      <c r="AO15" s="40">
        <f t="shared" si="6"/>
        <v>0</v>
      </c>
      <c r="AP15" s="40">
        <f t="shared" si="7"/>
        <v>0</v>
      </c>
      <c r="AQ15" s="40">
        <f t="shared" si="8"/>
        <v>0</v>
      </c>
      <c r="AR15" s="40">
        <f t="shared" si="9"/>
        <v>0</v>
      </c>
      <c r="AS15" s="40">
        <f t="shared" si="10"/>
        <v>0</v>
      </c>
      <c r="AT15" s="40">
        <f t="shared" si="11"/>
        <v>0</v>
      </c>
      <c r="AU15" s="40">
        <f t="shared" si="12"/>
        <v>0</v>
      </c>
      <c r="AV15" s="40">
        <f t="shared" si="13"/>
        <v>0</v>
      </c>
      <c r="AW15" s="40">
        <f t="shared" si="14"/>
        <v>0</v>
      </c>
      <c r="AX15" s="40">
        <f t="shared" si="16"/>
        <v>0</v>
      </c>
      <c r="AY15" s="40">
        <f t="shared" si="15"/>
        <v>0</v>
      </c>
      <c r="AZ15" s="41"/>
    </row>
    <row r="16" s="7" customFormat="1" ht="25" customHeight="1" spans="1:251">
      <c r="A16" s="36">
        <v>11</v>
      </c>
      <c r="B16" s="37" t="str">
        <f>工资表!B14</f>
        <v>尹江</v>
      </c>
      <c r="C16" s="38" t="str">
        <f>工资表!C14</f>
        <v>水暖工程师</v>
      </c>
      <c r="D16" s="39" t="s">
        <v>92</v>
      </c>
      <c r="E16" s="39" t="s">
        <v>92</v>
      </c>
      <c r="F16" s="39" t="s">
        <v>92</v>
      </c>
      <c r="G16" s="39" t="s">
        <v>92</v>
      </c>
      <c r="H16" s="39" t="s">
        <v>92</v>
      </c>
      <c r="I16" s="39" t="s">
        <v>105</v>
      </c>
      <c r="J16" s="39" t="s">
        <v>105</v>
      </c>
      <c r="K16" s="39" t="s">
        <v>105</v>
      </c>
      <c r="L16" s="39" t="s">
        <v>105</v>
      </c>
      <c r="M16" s="39" t="s">
        <v>92</v>
      </c>
      <c r="N16" s="39" t="s">
        <v>105</v>
      </c>
      <c r="O16" s="39" t="s">
        <v>105</v>
      </c>
      <c r="P16" s="39" t="s">
        <v>105</v>
      </c>
      <c r="Q16" s="39" t="s">
        <v>105</v>
      </c>
      <c r="R16" s="39" t="s">
        <v>105</v>
      </c>
      <c r="S16" s="39" t="s">
        <v>92</v>
      </c>
      <c r="T16" s="39" t="s">
        <v>92</v>
      </c>
      <c r="U16" s="39" t="s">
        <v>105</v>
      </c>
      <c r="V16" s="39" t="s">
        <v>105</v>
      </c>
      <c r="W16" s="39" t="s">
        <v>105</v>
      </c>
      <c r="X16" s="39" t="s">
        <v>105</v>
      </c>
      <c r="Y16" s="39" t="s">
        <v>105</v>
      </c>
      <c r="Z16" s="39" t="s">
        <v>92</v>
      </c>
      <c r="AA16" s="39" t="s">
        <v>92</v>
      </c>
      <c r="AB16" s="39" t="s">
        <v>105</v>
      </c>
      <c r="AC16" s="39" t="s">
        <v>105</v>
      </c>
      <c r="AD16" s="39" t="s">
        <v>92</v>
      </c>
      <c r="AE16" s="39" t="s">
        <v>92</v>
      </c>
      <c r="AF16" s="39" t="s">
        <v>92</v>
      </c>
      <c r="AG16" s="39" t="s">
        <v>92</v>
      </c>
      <c r="AH16" s="39" t="s">
        <v>92</v>
      </c>
      <c r="AI16" s="36">
        <f t="shared" si="0"/>
        <v>16</v>
      </c>
      <c r="AJ16" s="36">
        <f t="shared" si="1"/>
        <v>15</v>
      </c>
      <c r="AK16" s="40">
        <f t="shared" si="2"/>
        <v>16</v>
      </c>
      <c r="AL16" s="40">
        <f t="shared" si="3"/>
        <v>0</v>
      </c>
      <c r="AM16" s="40">
        <f t="shared" si="4"/>
        <v>15</v>
      </c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1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="7" customFormat="1" ht="25" customHeight="1" spans="1:251">
      <c r="A17" s="36">
        <v>12</v>
      </c>
      <c r="B17" s="37" t="str">
        <f>工资表!B15</f>
        <v>张志慧</v>
      </c>
      <c r="C17" s="38" t="str">
        <f>工资表!C15</f>
        <v>置业顾问</v>
      </c>
      <c r="D17" s="39" t="s">
        <v>105</v>
      </c>
      <c r="E17" s="39" t="s">
        <v>105</v>
      </c>
      <c r="F17" s="39" t="s">
        <v>92</v>
      </c>
      <c r="G17" s="39" t="s">
        <v>105</v>
      </c>
      <c r="H17" s="39" t="s">
        <v>105</v>
      </c>
      <c r="I17" s="39" t="s">
        <v>105</v>
      </c>
      <c r="J17" s="39" t="s">
        <v>105</v>
      </c>
      <c r="K17" s="39" t="s">
        <v>105</v>
      </c>
      <c r="L17" s="39" t="s">
        <v>105</v>
      </c>
      <c r="M17" s="39" t="s">
        <v>92</v>
      </c>
      <c r="N17" s="39" t="s">
        <v>105</v>
      </c>
      <c r="O17" s="39" t="s">
        <v>105</v>
      </c>
      <c r="P17" s="39" t="s">
        <v>105</v>
      </c>
      <c r="Q17" s="39" t="s">
        <v>105</v>
      </c>
      <c r="R17" s="39" t="s">
        <v>105</v>
      </c>
      <c r="S17" s="39" t="s">
        <v>105</v>
      </c>
      <c r="T17" s="39" t="s">
        <v>92</v>
      </c>
      <c r="U17" s="39" t="s">
        <v>105</v>
      </c>
      <c r="V17" s="39" t="s">
        <v>105</v>
      </c>
      <c r="W17" s="39" t="s">
        <v>105</v>
      </c>
      <c r="X17" s="39" t="s">
        <v>105</v>
      </c>
      <c r="Y17" s="39" t="s">
        <v>105</v>
      </c>
      <c r="Z17" s="39" t="s">
        <v>105</v>
      </c>
      <c r="AA17" s="39" t="s">
        <v>92</v>
      </c>
      <c r="AB17" s="39" t="s">
        <v>105</v>
      </c>
      <c r="AC17" s="39" t="s">
        <v>105</v>
      </c>
      <c r="AD17" s="39" t="s">
        <v>105</v>
      </c>
      <c r="AE17" s="39" t="s">
        <v>105</v>
      </c>
      <c r="AF17" s="39" t="s">
        <v>105</v>
      </c>
      <c r="AG17" s="39" t="s">
        <v>105</v>
      </c>
      <c r="AH17" s="39" t="s">
        <v>105</v>
      </c>
      <c r="AI17" s="36">
        <f t="shared" ref="AI17:AI29" si="17">AK17+AL17+AR17</f>
        <v>27</v>
      </c>
      <c r="AJ17" s="36">
        <f t="shared" ref="AJ17:AJ29" si="18">AM17</f>
        <v>4</v>
      </c>
      <c r="AK17" s="40">
        <f t="shared" ref="AK17:AK29" si="19">COUNTIF($D17:$AH17,"√")</f>
        <v>27</v>
      </c>
      <c r="AL17" s="40">
        <f t="shared" ref="AL17:AL29" si="20">COUNTIF($D17:$AH17,"出差")</f>
        <v>0</v>
      </c>
      <c r="AM17" s="40">
        <f t="shared" ref="AM17:AM29" si="21">COUNTIF($D17:$AH17,"公休")</f>
        <v>4</v>
      </c>
      <c r="AN17" s="40">
        <f t="shared" ref="AN17:AN29" si="22">COUNTIF($D17:$AH17,"病假")</f>
        <v>0</v>
      </c>
      <c r="AO17" s="40">
        <f t="shared" ref="AO17:AO29" si="23">COUNTIF($D17:$AH17,"事假")</f>
        <v>0</v>
      </c>
      <c r="AP17" s="40">
        <f t="shared" ref="AP17:AP29" si="24">COUNTIF($D17:$AH17,"旷工")</f>
        <v>0</v>
      </c>
      <c r="AQ17" s="40">
        <f t="shared" ref="AQ17:AQ29" si="25">COUNTIF($D17:$AH17,"工伤")</f>
        <v>0</v>
      </c>
      <c r="AR17" s="40">
        <f t="shared" ref="AR17:AR29" si="26">COUNTIF($D17:$AH17,"培训")</f>
        <v>0</v>
      </c>
      <c r="AS17" s="40">
        <f t="shared" ref="AS17:AS29" si="27">COUNTIF($D17:$AH17,"冬休")</f>
        <v>0</v>
      </c>
      <c r="AT17" s="40">
        <f t="shared" ref="AT17:AT29" si="28">COUNTIF($D17:$AH17,"休假")</f>
        <v>0</v>
      </c>
      <c r="AU17" s="40">
        <f t="shared" ref="AU17:AU29" si="29">COUNTIF($D17:$AH17,"探亲")</f>
        <v>0</v>
      </c>
      <c r="AV17" s="40">
        <f t="shared" ref="AV17:AV29" si="30">COUNTIF($D17:$AH17,"产假")</f>
        <v>0</v>
      </c>
      <c r="AW17" s="40">
        <f t="shared" ref="AW17:AW29" si="31">COUNTIF($D17:$AH17,"陪护假")</f>
        <v>0</v>
      </c>
      <c r="AX17" s="40">
        <f t="shared" ref="AX17:AX29" si="32">COUNTIF($D17:$AH17,"婚丧假")</f>
        <v>0</v>
      </c>
      <c r="AY17" s="40">
        <f t="shared" ref="AY17:AY29" si="33">COUNTIF($D17:$AH17,"待岗")</f>
        <v>0</v>
      </c>
      <c r="AZ17" s="4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36">
        <v>13</v>
      </c>
      <c r="B18" s="37" t="str">
        <f>工资表!B16</f>
        <v>王荣</v>
      </c>
      <c r="C18" s="38" t="str">
        <f>工资表!C16</f>
        <v>置业顾问</v>
      </c>
      <c r="D18" s="39" t="s">
        <v>105</v>
      </c>
      <c r="E18" s="39" t="s">
        <v>105</v>
      </c>
      <c r="F18" s="39" t="s">
        <v>92</v>
      </c>
      <c r="G18" s="39" t="s">
        <v>105</v>
      </c>
      <c r="H18" s="39" t="s">
        <v>105</v>
      </c>
      <c r="I18" s="39" t="s">
        <v>105</v>
      </c>
      <c r="J18" s="39" t="s">
        <v>105</v>
      </c>
      <c r="K18" s="39" t="s">
        <v>105</v>
      </c>
      <c r="L18" s="39" t="s">
        <v>105</v>
      </c>
      <c r="M18" s="39" t="s">
        <v>105</v>
      </c>
      <c r="N18" s="39" t="s">
        <v>105</v>
      </c>
      <c r="O18" s="39" t="s">
        <v>105</v>
      </c>
      <c r="P18" s="39" t="s">
        <v>105</v>
      </c>
      <c r="Q18" s="39" t="s">
        <v>105</v>
      </c>
      <c r="R18" s="39" t="s">
        <v>92</v>
      </c>
      <c r="S18" s="39" t="s">
        <v>105</v>
      </c>
      <c r="T18" s="39" t="s">
        <v>105</v>
      </c>
      <c r="U18" s="39" t="s">
        <v>105</v>
      </c>
      <c r="V18" s="39" t="s">
        <v>105</v>
      </c>
      <c r="W18" s="39" t="s">
        <v>92</v>
      </c>
      <c r="X18" s="39" t="s">
        <v>105</v>
      </c>
      <c r="Y18" s="39" t="s">
        <v>105</v>
      </c>
      <c r="Z18" s="39" t="s">
        <v>105</v>
      </c>
      <c r="AA18" s="39" t="s">
        <v>105</v>
      </c>
      <c r="AB18" s="39" t="s">
        <v>92</v>
      </c>
      <c r="AC18" s="39" t="s">
        <v>105</v>
      </c>
      <c r="AD18" s="39" t="s">
        <v>105</v>
      </c>
      <c r="AE18" s="39" t="s">
        <v>105</v>
      </c>
      <c r="AF18" s="39" t="s">
        <v>105</v>
      </c>
      <c r="AG18" s="39" t="s">
        <v>105</v>
      </c>
      <c r="AH18" s="39" t="s">
        <v>105</v>
      </c>
      <c r="AI18" s="36">
        <f t="shared" si="17"/>
        <v>27</v>
      </c>
      <c r="AJ18" s="36">
        <f t="shared" si="18"/>
        <v>4</v>
      </c>
      <c r="AK18" s="40">
        <f t="shared" si="19"/>
        <v>27</v>
      </c>
      <c r="AL18" s="40">
        <f t="shared" si="20"/>
        <v>0</v>
      </c>
      <c r="AM18" s="40">
        <f t="shared" si="21"/>
        <v>4</v>
      </c>
      <c r="AN18" s="40">
        <f t="shared" si="22"/>
        <v>0</v>
      </c>
      <c r="AO18" s="40">
        <f t="shared" si="23"/>
        <v>0</v>
      </c>
      <c r="AP18" s="40">
        <f t="shared" si="24"/>
        <v>0</v>
      </c>
      <c r="AQ18" s="40">
        <f t="shared" si="25"/>
        <v>0</v>
      </c>
      <c r="AR18" s="40">
        <f t="shared" si="26"/>
        <v>0</v>
      </c>
      <c r="AS18" s="40">
        <f t="shared" si="27"/>
        <v>0</v>
      </c>
      <c r="AT18" s="40">
        <f t="shared" si="28"/>
        <v>0</v>
      </c>
      <c r="AU18" s="40">
        <f t="shared" si="29"/>
        <v>0</v>
      </c>
      <c r="AV18" s="40">
        <f t="shared" si="30"/>
        <v>0</v>
      </c>
      <c r="AW18" s="40">
        <f t="shared" si="31"/>
        <v>0</v>
      </c>
      <c r="AX18" s="40">
        <f t="shared" si="32"/>
        <v>0</v>
      </c>
      <c r="AY18" s="40">
        <f t="shared" si="33"/>
        <v>0</v>
      </c>
      <c r="AZ18" s="4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25" customHeight="1" spans="1:251">
      <c r="A19" s="36">
        <v>14</v>
      </c>
      <c r="B19" s="37" t="str">
        <f>工资表!B17</f>
        <v>霍苒</v>
      </c>
      <c r="C19" s="38" t="str">
        <f>工资表!C17</f>
        <v>置业顾问</v>
      </c>
      <c r="D19" s="39" t="s">
        <v>105</v>
      </c>
      <c r="E19" s="39" t="s">
        <v>105</v>
      </c>
      <c r="F19" s="39" t="s">
        <v>105</v>
      </c>
      <c r="G19" s="39" t="s">
        <v>105</v>
      </c>
      <c r="H19" s="39" t="s">
        <v>105</v>
      </c>
      <c r="I19" s="39" t="s">
        <v>92</v>
      </c>
      <c r="J19" s="39" t="s">
        <v>105</v>
      </c>
      <c r="K19" s="39" t="s">
        <v>105</v>
      </c>
      <c r="L19" s="39" t="s">
        <v>105</v>
      </c>
      <c r="M19" s="39" t="s">
        <v>105</v>
      </c>
      <c r="N19" s="39" t="s">
        <v>105</v>
      </c>
      <c r="O19" s="39" t="s">
        <v>105</v>
      </c>
      <c r="P19" s="39" t="s">
        <v>105</v>
      </c>
      <c r="Q19" s="39" t="s">
        <v>105</v>
      </c>
      <c r="R19" s="39" t="s">
        <v>92</v>
      </c>
      <c r="S19" s="39" t="s">
        <v>105</v>
      </c>
      <c r="T19" s="39" t="s">
        <v>105</v>
      </c>
      <c r="U19" s="39" t="s">
        <v>105</v>
      </c>
      <c r="V19" s="39" t="s">
        <v>92</v>
      </c>
      <c r="W19" s="39" t="s">
        <v>105</v>
      </c>
      <c r="X19" s="39" t="s">
        <v>105</v>
      </c>
      <c r="Y19" s="39" t="s">
        <v>92</v>
      </c>
      <c r="Z19" s="39" t="s">
        <v>105</v>
      </c>
      <c r="AA19" s="39" t="s">
        <v>105</v>
      </c>
      <c r="AB19" s="39" t="s">
        <v>105</v>
      </c>
      <c r="AC19" s="39" t="s">
        <v>105</v>
      </c>
      <c r="AD19" s="39" t="s">
        <v>105</v>
      </c>
      <c r="AE19" s="39" t="s">
        <v>105</v>
      </c>
      <c r="AF19" s="39" t="s">
        <v>105</v>
      </c>
      <c r="AG19" s="39" t="s">
        <v>105</v>
      </c>
      <c r="AH19" s="39" t="s">
        <v>105</v>
      </c>
      <c r="AI19" s="36">
        <f t="shared" si="17"/>
        <v>27</v>
      </c>
      <c r="AJ19" s="36">
        <f t="shared" si="18"/>
        <v>4</v>
      </c>
      <c r="AK19" s="40">
        <f t="shared" si="19"/>
        <v>27</v>
      </c>
      <c r="AL19" s="40">
        <f t="shared" si="20"/>
        <v>0</v>
      </c>
      <c r="AM19" s="40">
        <f t="shared" si="21"/>
        <v>4</v>
      </c>
      <c r="AN19" s="40">
        <f t="shared" si="22"/>
        <v>0</v>
      </c>
      <c r="AO19" s="40">
        <f t="shared" si="23"/>
        <v>0</v>
      </c>
      <c r="AP19" s="40">
        <f t="shared" si="24"/>
        <v>0</v>
      </c>
      <c r="AQ19" s="40">
        <f t="shared" si="25"/>
        <v>0</v>
      </c>
      <c r="AR19" s="40">
        <f t="shared" si="26"/>
        <v>0</v>
      </c>
      <c r="AS19" s="40">
        <f t="shared" si="27"/>
        <v>0</v>
      </c>
      <c r="AT19" s="40">
        <f t="shared" si="28"/>
        <v>0</v>
      </c>
      <c r="AU19" s="40">
        <f t="shared" si="29"/>
        <v>0</v>
      </c>
      <c r="AV19" s="40">
        <f t="shared" si="30"/>
        <v>0</v>
      </c>
      <c r="AW19" s="40">
        <f t="shared" si="31"/>
        <v>0</v>
      </c>
      <c r="AX19" s="40">
        <f t="shared" si="32"/>
        <v>0</v>
      </c>
      <c r="AY19" s="40">
        <f t="shared" si="33"/>
        <v>0</v>
      </c>
      <c r="AZ19" s="41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5" customHeight="1" spans="1:251">
      <c r="A20" s="36">
        <v>15</v>
      </c>
      <c r="B20" s="37" t="str">
        <f>工资表!B18</f>
        <v>闫金秀</v>
      </c>
      <c r="C20" s="38" t="str">
        <f>工资表!C18</f>
        <v>置业顾问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6">
        <f t="shared" si="17"/>
        <v>0</v>
      </c>
      <c r="AJ20" s="36">
        <f t="shared" si="18"/>
        <v>0</v>
      </c>
      <c r="AK20" s="40">
        <f t="shared" si="19"/>
        <v>0</v>
      </c>
      <c r="AL20" s="40">
        <f t="shared" si="20"/>
        <v>0</v>
      </c>
      <c r="AM20" s="40">
        <f t="shared" si="21"/>
        <v>0</v>
      </c>
      <c r="AN20" s="40">
        <f t="shared" si="22"/>
        <v>0</v>
      </c>
      <c r="AO20" s="40">
        <f t="shared" si="23"/>
        <v>0</v>
      </c>
      <c r="AP20" s="40">
        <f t="shared" si="24"/>
        <v>0</v>
      </c>
      <c r="AQ20" s="40">
        <f t="shared" si="25"/>
        <v>0</v>
      </c>
      <c r="AR20" s="40">
        <f t="shared" si="26"/>
        <v>0</v>
      </c>
      <c r="AS20" s="40">
        <f t="shared" si="27"/>
        <v>0</v>
      </c>
      <c r="AT20" s="40">
        <f t="shared" si="28"/>
        <v>0</v>
      </c>
      <c r="AU20" s="40">
        <f t="shared" si="29"/>
        <v>0</v>
      </c>
      <c r="AV20" s="40">
        <f t="shared" si="30"/>
        <v>0</v>
      </c>
      <c r="AW20" s="40">
        <f t="shared" si="31"/>
        <v>0</v>
      </c>
      <c r="AX20" s="40">
        <f t="shared" si="32"/>
        <v>0</v>
      </c>
      <c r="AY20" s="40">
        <f t="shared" si="33"/>
        <v>0</v>
      </c>
      <c r="AZ20" s="41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="7" customFormat="1" ht="25" customHeight="1" spans="1:251">
      <c r="A21" s="36">
        <v>16</v>
      </c>
      <c r="B21" s="37" t="str">
        <f>工资表!B19</f>
        <v>赵江龙</v>
      </c>
      <c r="C21" s="38" t="str">
        <f>工资表!C19</f>
        <v>案场销售经理</v>
      </c>
      <c r="D21" s="39" t="s">
        <v>105</v>
      </c>
      <c r="E21" s="39" t="s">
        <v>105</v>
      </c>
      <c r="F21" s="39" t="s">
        <v>105</v>
      </c>
      <c r="G21" s="39" t="s">
        <v>105</v>
      </c>
      <c r="H21" s="39" t="s">
        <v>105</v>
      </c>
      <c r="I21" s="39" t="s">
        <v>105</v>
      </c>
      <c r="J21" s="39" t="s">
        <v>105</v>
      </c>
      <c r="K21" s="39" t="s">
        <v>92</v>
      </c>
      <c r="L21" s="39" t="s">
        <v>105</v>
      </c>
      <c r="M21" s="39" t="s">
        <v>105</v>
      </c>
      <c r="N21" s="39" t="s">
        <v>105</v>
      </c>
      <c r="O21" s="39" t="s">
        <v>105</v>
      </c>
      <c r="P21" s="39" t="s">
        <v>92</v>
      </c>
      <c r="Q21" s="39" t="s">
        <v>105</v>
      </c>
      <c r="R21" s="39" t="s">
        <v>105</v>
      </c>
      <c r="S21" s="39" t="s">
        <v>105</v>
      </c>
      <c r="T21" s="39" t="s">
        <v>105</v>
      </c>
      <c r="U21" s="39" t="s">
        <v>105</v>
      </c>
      <c r="V21" s="39" t="s">
        <v>105</v>
      </c>
      <c r="W21" s="39" t="s">
        <v>92</v>
      </c>
      <c r="X21" s="39" t="s">
        <v>105</v>
      </c>
      <c r="Y21" s="39" t="s">
        <v>105</v>
      </c>
      <c r="Z21" s="39" t="s">
        <v>105</v>
      </c>
      <c r="AA21" s="39" t="s">
        <v>92</v>
      </c>
      <c r="AB21" s="39" t="s">
        <v>105</v>
      </c>
      <c r="AC21" s="39" t="s">
        <v>105</v>
      </c>
      <c r="AD21" s="39" t="s">
        <v>105</v>
      </c>
      <c r="AE21" s="39" t="s">
        <v>105</v>
      </c>
      <c r="AF21" s="39" t="s">
        <v>105</v>
      </c>
      <c r="AG21" s="39" t="s">
        <v>105</v>
      </c>
      <c r="AH21" s="39" t="s">
        <v>105</v>
      </c>
      <c r="AI21" s="36">
        <f t="shared" si="17"/>
        <v>27</v>
      </c>
      <c r="AJ21" s="36">
        <f t="shared" si="18"/>
        <v>4</v>
      </c>
      <c r="AK21" s="40">
        <f t="shared" si="19"/>
        <v>27</v>
      </c>
      <c r="AL21" s="40">
        <f t="shared" si="20"/>
        <v>0</v>
      </c>
      <c r="AM21" s="40">
        <f t="shared" si="21"/>
        <v>4</v>
      </c>
      <c r="AN21" s="40">
        <f t="shared" si="22"/>
        <v>0</v>
      </c>
      <c r="AO21" s="40">
        <f t="shared" si="23"/>
        <v>0</v>
      </c>
      <c r="AP21" s="40">
        <f t="shared" si="24"/>
        <v>0</v>
      </c>
      <c r="AQ21" s="40">
        <f t="shared" si="25"/>
        <v>0</v>
      </c>
      <c r="AR21" s="40">
        <f t="shared" si="26"/>
        <v>0</v>
      </c>
      <c r="AS21" s="40">
        <f t="shared" si="27"/>
        <v>0</v>
      </c>
      <c r="AT21" s="40">
        <f t="shared" si="28"/>
        <v>0</v>
      </c>
      <c r="AU21" s="40">
        <f t="shared" si="29"/>
        <v>0</v>
      </c>
      <c r="AV21" s="40">
        <f t="shared" si="30"/>
        <v>0</v>
      </c>
      <c r="AW21" s="40">
        <f t="shared" si="31"/>
        <v>0</v>
      </c>
      <c r="AX21" s="40">
        <f t="shared" si="32"/>
        <v>0</v>
      </c>
      <c r="AY21" s="40">
        <f t="shared" si="33"/>
        <v>0</v>
      </c>
      <c r="AZ21" s="41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="7" customFormat="1" ht="25" customHeight="1" spans="1:251">
      <c r="A22" s="36">
        <v>17</v>
      </c>
      <c r="B22" s="37" t="str">
        <f>工资表!B20</f>
        <v>张新艳</v>
      </c>
      <c r="C22" s="38" t="str">
        <f>工资表!C20</f>
        <v>置业顾问</v>
      </c>
      <c r="D22" s="39" t="s">
        <v>105</v>
      </c>
      <c r="E22" s="39" t="s">
        <v>92</v>
      </c>
      <c r="F22" s="39" t="s">
        <v>105</v>
      </c>
      <c r="G22" s="39" t="s">
        <v>105</v>
      </c>
      <c r="H22" s="39" t="s">
        <v>105</v>
      </c>
      <c r="I22" s="39" t="s">
        <v>105</v>
      </c>
      <c r="J22" s="39" t="s">
        <v>105</v>
      </c>
      <c r="K22" s="39" t="s">
        <v>105</v>
      </c>
      <c r="L22" s="39" t="s">
        <v>92</v>
      </c>
      <c r="M22" s="39" t="s">
        <v>105</v>
      </c>
      <c r="N22" s="39" t="s">
        <v>105</v>
      </c>
      <c r="O22" s="39" t="s">
        <v>105</v>
      </c>
      <c r="P22" s="39" t="s">
        <v>105</v>
      </c>
      <c r="Q22" s="39" t="s">
        <v>105</v>
      </c>
      <c r="R22" s="39" t="s">
        <v>105</v>
      </c>
      <c r="S22" s="39" t="s">
        <v>92</v>
      </c>
      <c r="T22" s="39" t="s">
        <v>105</v>
      </c>
      <c r="U22" s="39" t="s">
        <v>105</v>
      </c>
      <c r="V22" s="39" t="s">
        <v>105</v>
      </c>
      <c r="W22" s="39" t="s">
        <v>105</v>
      </c>
      <c r="X22" s="39" t="s">
        <v>105</v>
      </c>
      <c r="Y22" s="39" t="s">
        <v>105</v>
      </c>
      <c r="Z22" s="39" t="s">
        <v>92</v>
      </c>
      <c r="AA22" s="39" t="s">
        <v>105</v>
      </c>
      <c r="AB22" s="39" t="s">
        <v>105</v>
      </c>
      <c r="AC22" s="39" t="s">
        <v>105</v>
      </c>
      <c r="AD22" s="39" t="s">
        <v>105</v>
      </c>
      <c r="AE22" s="39" t="s">
        <v>105</v>
      </c>
      <c r="AF22" s="39" t="s">
        <v>105</v>
      </c>
      <c r="AG22" s="39" t="s">
        <v>105</v>
      </c>
      <c r="AH22" s="39" t="s">
        <v>105</v>
      </c>
      <c r="AI22" s="36">
        <f t="shared" si="17"/>
        <v>27</v>
      </c>
      <c r="AJ22" s="36">
        <f t="shared" si="18"/>
        <v>4</v>
      </c>
      <c r="AK22" s="40">
        <f t="shared" si="19"/>
        <v>27</v>
      </c>
      <c r="AL22" s="40">
        <f t="shared" si="20"/>
        <v>0</v>
      </c>
      <c r="AM22" s="40">
        <f t="shared" si="21"/>
        <v>4</v>
      </c>
      <c r="AN22" s="40">
        <f t="shared" si="22"/>
        <v>0</v>
      </c>
      <c r="AO22" s="40">
        <f t="shared" si="23"/>
        <v>0</v>
      </c>
      <c r="AP22" s="40">
        <f t="shared" si="24"/>
        <v>0</v>
      </c>
      <c r="AQ22" s="40">
        <f t="shared" si="25"/>
        <v>0</v>
      </c>
      <c r="AR22" s="40">
        <f t="shared" si="26"/>
        <v>0</v>
      </c>
      <c r="AS22" s="40">
        <f t="shared" si="27"/>
        <v>0</v>
      </c>
      <c r="AT22" s="40">
        <f t="shared" si="28"/>
        <v>0</v>
      </c>
      <c r="AU22" s="40">
        <f t="shared" si="29"/>
        <v>0</v>
      </c>
      <c r="AV22" s="40">
        <f t="shared" si="30"/>
        <v>0</v>
      </c>
      <c r="AW22" s="40">
        <f t="shared" si="31"/>
        <v>0</v>
      </c>
      <c r="AX22" s="40">
        <f t="shared" si="32"/>
        <v>0</v>
      </c>
      <c r="AY22" s="40">
        <f t="shared" si="33"/>
        <v>0</v>
      </c>
      <c r="AZ22" s="41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="7" customFormat="1" ht="25" customHeight="1" spans="1:251">
      <c r="A23" s="36">
        <v>18</v>
      </c>
      <c r="B23" s="37" t="str">
        <f>工资表!B21</f>
        <v>王玉慧</v>
      </c>
      <c r="C23" s="38" t="str">
        <f>工资表!C21</f>
        <v>置业顾问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6">
        <f t="shared" si="17"/>
        <v>0</v>
      </c>
      <c r="AJ23" s="36">
        <f t="shared" si="18"/>
        <v>0</v>
      </c>
      <c r="AK23" s="40">
        <f t="shared" si="19"/>
        <v>0</v>
      </c>
      <c r="AL23" s="40">
        <f t="shared" si="20"/>
        <v>0</v>
      </c>
      <c r="AM23" s="40">
        <f t="shared" si="21"/>
        <v>0</v>
      </c>
      <c r="AN23" s="40">
        <f t="shared" si="22"/>
        <v>0</v>
      </c>
      <c r="AO23" s="40">
        <f t="shared" si="23"/>
        <v>0</v>
      </c>
      <c r="AP23" s="40">
        <f t="shared" si="24"/>
        <v>0</v>
      </c>
      <c r="AQ23" s="40">
        <f t="shared" si="25"/>
        <v>0</v>
      </c>
      <c r="AR23" s="40">
        <f t="shared" si="26"/>
        <v>0</v>
      </c>
      <c r="AS23" s="40">
        <f t="shared" si="27"/>
        <v>0</v>
      </c>
      <c r="AT23" s="40">
        <f t="shared" si="28"/>
        <v>0</v>
      </c>
      <c r="AU23" s="40">
        <f t="shared" si="29"/>
        <v>0</v>
      </c>
      <c r="AV23" s="40">
        <f t="shared" si="30"/>
        <v>0</v>
      </c>
      <c r="AW23" s="40">
        <f t="shared" si="31"/>
        <v>0</v>
      </c>
      <c r="AX23" s="40">
        <f t="shared" si="32"/>
        <v>0</v>
      </c>
      <c r="AY23" s="40">
        <f t="shared" si="33"/>
        <v>0</v>
      </c>
      <c r="AZ23" s="41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="7" customFormat="1" ht="32" customHeight="1" spans="1:251">
      <c r="A24" s="42"/>
      <c r="B24" s="43"/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2"/>
      <c r="AJ24" s="42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7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="7" customFormat="1" ht="20" customHeight="1" spans="1:251">
      <c r="A25" s="6"/>
      <c r="B25" s="48" t="s">
        <v>76</v>
      </c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6"/>
      <c r="AJ25" s="51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52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</row>
    <row r="26" ht="24" customHeight="1" spans="1:251">
      <c r="D26" s="6"/>
      <c r="E26" s="6" t="s">
        <v>78</v>
      </c>
      <c r="K26" s="6"/>
      <c r="L26" s="6"/>
      <c r="M26" s="6"/>
      <c r="N26" s="6"/>
      <c r="R26" s="6"/>
      <c r="S26" s="6"/>
      <c r="U26" s="53"/>
      <c r="V26" s="53" t="s">
        <v>80</v>
      </c>
      <c r="Y26" s="6"/>
      <c r="Z26" s="6"/>
      <c r="AF26" s="6"/>
      <c r="AG26" s="6"/>
      <c r="AI26" s="6" t="s">
        <v>81</v>
      </c>
    </row>
    <row r="27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zoomScale="70" zoomScaleNormal="70" workbookViewId="0">
      <selection activeCell="G19" sqref="G19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106</v>
      </c>
      <c r="F2" s="1" t="s">
        <v>107</v>
      </c>
    </row>
    <row r="3" customHeight="1" spans="1:7">
      <c r="A3" s="1">
        <v>1</v>
      </c>
      <c r="B3" s="1" t="str">
        <f>工资表!B4</f>
        <v>李全伟</v>
      </c>
      <c r="C3" s="1">
        <f>工资表!R4</f>
        <v>16</v>
      </c>
      <c r="D3" s="5">
        <f>(VLOOKUP(B3,工资表!B4:G13,6,0)+VLOOKUP(B3,工资表!B4:H13,7,0))/工资表!F4*VLOOKUP(B3,考勤!B6:AI15,34,0)</f>
        <v>25500</v>
      </c>
      <c r="E3" s="5">
        <f>VLOOKUP(B3,工资表!B4:S13,18,0)</f>
        <v>20431</v>
      </c>
      <c r="F3" s="5">
        <f t="shared" ref="F3:F22" si="0">D3-E3</f>
        <v>5069</v>
      </c>
    </row>
    <row r="4" customHeight="1" spans="1:7">
      <c r="A4" s="1">
        <v>2</v>
      </c>
      <c r="B4" s="1" t="str">
        <f>工资表!B5</f>
        <v>杨文杰</v>
      </c>
      <c r="C4" s="1">
        <f>工资表!R5</f>
        <v>16</v>
      </c>
      <c r="D4" s="5">
        <f>(VLOOKUP(B4,工资表!B5:G14,6,0)+VLOOKUP(B4,工资表!B5:H14,7,0))/工资表!F5*VLOOKUP(B4,考勤!B7:AI16,34,0)</f>
        <v>17000</v>
      </c>
      <c r="E4" s="5">
        <f>VLOOKUP(B4,工资表!B5:S14,18,0)</f>
        <v>16980</v>
      </c>
      <c r="F4" s="5">
        <f t="shared" si="0"/>
        <v>20</v>
      </c>
      <c r="G4" s="1" t="s">
        <v>108</v>
      </c>
    </row>
    <row r="5" customHeight="1" spans="1:7">
      <c r="A5" s="1">
        <v>3</v>
      </c>
      <c r="B5" s="1" t="e">
        <f>工资表!#REF!</f>
        <v>#REF!</v>
      </c>
      <c r="C5" s="1" t="e">
        <f>工资表!#REF!</f>
        <v>#REF!</v>
      </c>
      <c r="D5" s="5" t="e">
        <f>(VLOOKUP(B5,工资表!B6:G14,6,0)+VLOOKUP(B5,工资表!B6:H14,7,0))/工资表!#REF!*VLOOKUP(B5,考勤!B8:AI16,34,0)</f>
        <v>#REF!</v>
      </c>
      <c r="E5" s="5" t="e">
        <f>VLOOKUP(B5,工资表!B6:S14,18,0)</f>
        <v>#REF!</v>
      </c>
      <c r="F5" s="5" t="e">
        <f t="shared" si="0"/>
        <v>#REF!</v>
      </c>
    </row>
    <row r="6" customHeight="1" spans="1:7">
      <c r="A6" s="1">
        <v>4</v>
      </c>
      <c r="B6" s="1" t="str">
        <f>工资表!B6</f>
        <v>徐惠蓉</v>
      </c>
      <c r="C6" s="1">
        <f>工资表!R6</f>
        <v>16</v>
      </c>
      <c r="D6" s="5">
        <f>(VLOOKUP(B6,工资表!B6:G14,6,0)+VLOOKUP(B6,工资表!B6:H14,7,0))/工资表!F6*VLOOKUP(B6,考勤!B8:AI16,34,0)</f>
        <v>15300</v>
      </c>
      <c r="E6" s="5">
        <f>VLOOKUP(B6,工资表!B6:S14,18,0)</f>
        <v>15560</v>
      </c>
      <c r="F6" s="5">
        <f t="shared" si="0"/>
        <v>-260</v>
      </c>
      <c r="G6" s="1" t="s">
        <v>109</v>
      </c>
    </row>
    <row r="7" customHeight="1" spans="1:7">
      <c r="A7" s="1">
        <v>5</v>
      </c>
      <c r="B7" s="1" t="str">
        <f>工资表!B7</f>
        <v>沈陈瑾慧</v>
      </c>
      <c r="C7" s="1">
        <f>工资表!R7</f>
        <v>16</v>
      </c>
      <c r="D7" s="5">
        <f>(VLOOKUP(B7,工资表!B7:G15,6,0)+VLOOKUP(B7,工资表!B7:H15,7,0))/工资表!F7*VLOOKUP(B7,考勤!B9:AI17,34,0)</f>
        <v>7000</v>
      </c>
      <c r="E7" s="5">
        <f>VLOOKUP(B7,工资表!B7:S15,18,0)</f>
        <v>7000</v>
      </c>
      <c r="F7" s="5">
        <f t="shared" si="0"/>
        <v>0</v>
      </c>
      <c r="G7" s="1" t="s">
        <v>108</v>
      </c>
    </row>
    <row r="8" customHeight="1" spans="1:7">
      <c r="A8" s="1">
        <v>6</v>
      </c>
      <c r="B8" s="1" t="str">
        <f>工资表!B8</f>
        <v>管丽萍</v>
      </c>
      <c r="C8" s="1">
        <f>工资表!R8</f>
        <v>16</v>
      </c>
      <c r="D8" s="5">
        <f>(VLOOKUP(B8,工资表!B8:G16,6,0)+VLOOKUP(B8,工资表!B8:H16,7,0))/工资表!F8*VLOOKUP(B8,考勤!B10:AI18,34,0)</f>
        <v>6000</v>
      </c>
      <c r="E8" s="5">
        <f>VLOOKUP(B8,工资表!B8:S16,18,0)</f>
        <v>6700</v>
      </c>
      <c r="F8" s="5">
        <f t="shared" si="0"/>
        <v>-700</v>
      </c>
      <c r="G8" s="1" t="s">
        <v>109</v>
      </c>
    </row>
    <row r="9" customHeight="1" spans="1:7">
      <c r="A9" s="1">
        <v>7</v>
      </c>
      <c r="B9" s="1" t="str">
        <f>工资表!B9</f>
        <v>刘科</v>
      </c>
      <c r="C9" s="1">
        <f>工资表!R9</f>
        <v>16</v>
      </c>
      <c r="D9" s="5">
        <f>(VLOOKUP(B9,工资表!B9:G17,6,0)+VLOOKUP(B9,工资表!B9:H17,7,0))/工资表!F9*VLOOKUP(B9,考勤!B11:AI19,34,0)</f>
        <v>7500</v>
      </c>
      <c r="E9" s="5">
        <f>VLOOKUP(B9,工资表!B9:S17,18,0)</f>
        <v>7460</v>
      </c>
      <c r="F9" s="5">
        <f t="shared" si="0"/>
        <v>40</v>
      </c>
    </row>
    <row r="10" customHeight="1" spans="1:7">
      <c r="A10" s="1">
        <v>8</v>
      </c>
      <c r="B10" s="1" t="str">
        <f>工资表!B10</f>
        <v>高建梅</v>
      </c>
      <c r="C10" s="1">
        <f>工资表!R10</f>
        <v>16</v>
      </c>
      <c r="D10" s="5">
        <f>(VLOOKUP(B10,工资表!B10:G18,6,0)+VLOOKUP(B10,工资表!B10:H18,7,0))/工资表!F10*VLOOKUP(B10,考勤!B12:AI20,34,0)</f>
        <v>6500</v>
      </c>
      <c r="E10" s="5">
        <f>VLOOKUP(B10,工资表!B10:S18,18,0)</f>
        <v>6600</v>
      </c>
      <c r="F10" s="5">
        <f t="shared" si="0"/>
        <v>-100</v>
      </c>
      <c r="G10" s="1" t="s">
        <v>109</v>
      </c>
    </row>
    <row r="11" customHeight="1" spans="1:7">
      <c r="A11" s="1">
        <v>9</v>
      </c>
      <c r="B11" s="1" t="str">
        <f>工资表!B11</f>
        <v>周佳奇</v>
      </c>
      <c r="C11" s="1">
        <f>工资表!R11</f>
        <v>16</v>
      </c>
      <c r="D11" s="5">
        <f>(VLOOKUP(B11,工资表!B11:G18,6,0)+VLOOKUP(B11,工资表!B11:H18,7,0))/工资表!F11*VLOOKUP(B11,考勤!B13:AI20,34,0)</f>
        <v>7800</v>
      </c>
      <c r="E11" s="5">
        <f>VLOOKUP(B11,工资表!B11:S18,18,0)</f>
        <v>7800</v>
      </c>
      <c r="F11" s="5">
        <f t="shared" si="0"/>
        <v>0</v>
      </c>
    </row>
    <row r="12" customHeight="1" spans="1:7">
      <c r="A12" s="1">
        <v>10</v>
      </c>
      <c r="B12" s="1" t="str">
        <f>工资表!B12</f>
        <v>白媛媛</v>
      </c>
      <c r="C12" s="1">
        <f>工资表!R12</f>
        <v>16</v>
      </c>
      <c r="D12" s="5">
        <f>(VLOOKUP(B12,工资表!B12:G19,6,0)+VLOOKUP(B12,工资表!B12:H19,7,0))/工资表!F12*VLOOKUP(B12,考勤!B14:AI21,34,0)</f>
        <v>4500</v>
      </c>
      <c r="E12" s="5">
        <f>VLOOKUP(B12,工资表!B12:S19,18,0)</f>
        <v>4480</v>
      </c>
      <c r="F12" s="5">
        <f t="shared" si="0"/>
        <v>20</v>
      </c>
      <c r="G12" s="1" t="s">
        <v>110</v>
      </c>
    </row>
    <row r="13" customHeight="1" spans="1:7">
      <c r="A13" s="1">
        <v>11</v>
      </c>
      <c r="B13" s="1" t="str">
        <f>工资表!B13</f>
        <v>温进进</v>
      </c>
      <c r="C13" s="1">
        <f>工资表!R13</f>
        <v>16</v>
      </c>
      <c r="D13" s="5">
        <f>(VLOOKUP(B13,工资表!B13:G20,6,0)+VLOOKUP(B13,工资表!B13:H20,7,0))/工资表!F13*VLOOKUP(B13,考勤!B15:AI22,34,0)</f>
        <v>13500</v>
      </c>
      <c r="E13" s="5">
        <f>VLOOKUP(B13,工资表!B13:S20,18,0)</f>
        <v>13500</v>
      </c>
      <c r="F13" s="5">
        <f t="shared" si="0"/>
        <v>0</v>
      </c>
    </row>
    <row r="14" customHeight="1" spans="1:7">
      <c r="A14" s="1">
        <v>12</v>
      </c>
      <c r="B14" s="1" t="str">
        <f>工资表!B14</f>
        <v>尹江</v>
      </c>
      <c r="C14" s="1">
        <f>工资表!R14</f>
        <v>16</v>
      </c>
      <c r="D14" s="5">
        <f>(VLOOKUP(B14,工资表!B14:G20,6,0)+VLOOKUP(B14,工资表!B14:H20,7,0))/工资表!F14*VLOOKUP(B14,考勤!B16:AI22,34,0)</f>
        <v>12000</v>
      </c>
      <c r="E14" s="5">
        <f>VLOOKUP(B14,工资表!B14:S20,18,0)</f>
        <v>11980</v>
      </c>
      <c r="F14" s="5">
        <f t="shared" si="0"/>
        <v>20</v>
      </c>
    </row>
    <row r="15" customHeight="1" spans="1:7">
      <c r="A15" s="1">
        <v>13</v>
      </c>
      <c r="B15" s="1" t="e">
        <f>工资表!#REF!</f>
        <v>#REF!</v>
      </c>
      <c r="C15" s="1" t="e">
        <f>工资表!#REF!</f>
        <v>#REF!</v>
      </c>
      <c r="D15" s="5" t="e">
        <f>(VLOOKUP(B15,工资表!B15:G20,6,0)+VLOOKUP(B15,工资表!B15:H20,7,0))/工资表!#REF!*VLOOKUP(B15,考勤!B17:AI22,34,0)</f>
        <v>#REF!</v>
      </c>
      <c r="E15" s="5" t="e">
        <f>VLOOKUP(B15,工资表!B15:S20,18,0)</f>
        <v>#REF!</v>
      </c>
      <c r="F15" s="5" t="e">
        <f t="shared" si="0"/>
        <v>#REF!</v>
      </c>
    </row>
    <row r="16" customHeight="1" spans="1:7">
      <c r="A16" s="1">
        <v>14</v>
      </c>
      <c r="B16" s="1" t="str">
        <f>工资表!B15</f>
        <v>张志慧</v>
      </c>
      <c r="C16" s="1">
        <f>工资表!R15</f>
        <v>27</v>
      </c>
      <c r="D16" s="5">
        <f>(VLOOKUP(B16,工资表!B15:G20,6,0)+VLOOKUP(B16,工资表!B15:H20,7,0))/工资表!F15*VLOOKUP(B16,考勤!B17:AI22,34,0)</f>
        <v>5000</v>
      </c>
      <c r="E16" s="5">
        <f>VLOOKUP(B16,工资表!B15:S20,18,0)</f>
        <v>5000</v>
      </c>
      <c r="F16" s="5">
        <f t="shared" si="0"/>
        <v>0</v>
      </c>
    </row>
    <row r="17" customHeight="1" spans="1:7">
      <c r="A17" s="1">
        <v>15</v>
      </c>
      <c r="B17" s="1" t="str">
        <f>工资表!B16</f>
        <v>王荣</v>
      </c>
      <c r="C17" s="1">
        <f>工资表!R16</f>
        <v>27</v>
      </c>
      <c r="D17" s="5">
        <f>(VLOOKUP(B17,工资表!B16:G20,6,0)+VLOOKUP(B17,工资表!B16:H20,7,0))/工资表!F16*VLOOKUP(B17,考勤!B18:AI22,34,0)</f>
        <v>4500</v>
      </c>
      <c r="E17" s="5">
        <f>VLOOKUP(B17,工资表!B16:S20,18,0)</f>
        <v>4500</v>
      </c>
      <c r="F17" s="5">
        <f t="shared" si="0"/>
        <v>0</v>
      </c>
      <c r="G17" s="1" t="s">
        <v>17</v>
      </c>
    </row>
    <row r="18" customHeight="1" spans="1:7">
      <c r="A18" s="1">
        <v>16</v>
      </c>
      <c r="B18" s="1" t="str">
        <f>工资表!B17</f>
        <v>霍苒</v>
      </c>
      <c r="C18" s="1">
        <f>工资表!R17</f>
        <v>27</v>
      </c>
      <c r="D18" s="5">
        <f>(VLOOKUP(B18,工资表!B17:G20,6,0)+VLOOKUP(B18,工资表!B17:H20,7,0))/工资表!F17*VLOOKUP(B18,考勤!B19:AI22,34,0)</f>
        <v>4500</v>
      </c>
      <c r="E18" s="5">
        <f>VLOOKUP(B18,工资表!B17:S20,18,0)</f>
        <v>4500</v>
      </c>
      <c r="F18" s="5">
        <f t="shared" si="0"/>
        <v>0</v>
      </c>
      <c r="G18" s="1" t="s">
        <v>17</v>
      </c>
    </row>
    <row r="19" customHeight="1" spans="1:7">
      <c r="A19" s="1">
        <v>17</v>
      </c>
      <c r="B19" s="1" t="str">
        <f>工资表!B18</f>
        <v>闫金秀</v>
      </c>
      <c r="C19" s="1">
        <f>工资表!R18</f>
        <v>0</v>
      </c>
      <c r="D19" s="5" t="e">
        <f>(VLOOKUP(B19,工资表!B18:G20,6,0)+VLOOKUP(B19,工资表!B18:H20,7,0))/工资表!F18*VLOOKUP(B19,考勤!B20:AI22,34,0)</f>
        <v>#DIV/0!</v>
      </c>
      <c r="E19" s="5">
        <f>VLOOKUP(B19,工资表!B18:S20,18,0)</f>
        <v>0</v>
      </c>
      <c r="F19" s="5" t="e">
        <f t="shared" si="0"/>
        <v>#DIV/0!</v>
      </c>
      <c r="G19" s="1" t="s">
        <v>17</v>
      </c>
    </row>
    <row r="20" customHeight="1" spans="1:7">
      <c r="A20" s="1">
        <v>18</v>
      </c>
      <c r="B20" s="1" t="str">
        <f>工资表!B19</f>
        <v>赵江龙</v>
      </c>
      <c r="C20" s="1">
        <f>工资表!R19</f>
        <v>27</v>
      </c>
      <c r="D20" s="5">
        <f>(VLOOKUP(B20,工资表!B19:G21,6,0)+VLOOKUP(B20,工资表!B19:H21,7,0))/工资表!F19*VLOOKUP(B20,考勤!B21:AI23,34,0)</f>
        <v>4500</v>
      </c>
      <c r="E20" s="5">
        <f>VLOOKUP(B20,工资表!B19:S21,18,0)</f>
        <v>7300</v>
      </c>
      <c r="F20" s="5">
        <f t="shared" si="0"/>
        <v>-2800</v>
      </c>
      <c r="G20" s="1" t="s">
        <v>17</v>
      </c>
    </row>
    <row r="21" customHeight="1" spans="1:7">
      <c r="A21" s="1">
        <v>19</v>
      </c>
      <c r="B21" s="1" t="str">
        <f>工资表!B20</f>
        <v>张新艳</v>
      </c>
      <c r="C21" s="1">
        <f>工资表!R20</f>
        <v>27</v>
      </c>
      <c r="D21" s="5">
        <f>(VLOOKUP(B21,工资表!B20:G22,6,0)+VLOOKUP(B21,工资表!B20:H22,7,0))/工资表!F20*VLOOKUP(B21,考勤!B22:AI24,34,0)</f>
        <v>4500</v>
      </c>
      <c r="E21" s="5">
        <f>VLOOKUP(B21,工资表!B20:S22,18,0)</f>
        <v>4500</v>
      </c>
      <c r="F21" s="5">
        <f t="shared" si="0"/>
        <v>0</v>
      </c>
      <c r="G21" s="1" t="s">
        <v>17</v>
      </c>
    </row>
    <row r="22" customHeight="1" spans="1:7">
      <c r="A22" s="1">
        <v>20</v>
      </c>
      <c r="B22" s="1" t="str">
        <f>工资表!B21</f>
        <v>王玉慧</v>
      </c>
      <c r="C22" s="1">
        <f>工资表!R21</f>
        <v>0</v>
      </c>
      <c r="D22" s="5">
        <v>0</v>
      </c>
      <c r="E22" s="5">
        <f>VLOOKUP(B22,工资表!B21:S31,18,0)</f>
        <v>0</v>
      </c>
      <c r="F22" s="5">
        <f t="shared" si="0"/>
        <v>0</v>
      </c>
      <c r="G22" s="1" t="s">
        <v>17</v>
      </c>
    </row>
    <row r="26" customHeight="1" spans="1:7">
      <c r="D26" s="5" t="e">
        <f>(VLOOKUP(B22,工资表!B22:G50,6,0)+VLOOKUP(B22,工资表!B22:H50,7,0))/工资表!F22*VLOOKUP(B22,考勤!B24:AI53,34,0)</f>
        <v>#N/A</v>
      </c>
      <c r="E26" s="5" t="e">
        <f>VLOOKUP(B22,工资表!B22:S50,17,0)</f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111</v>
      </c>
      <c r="D2" s="2" t="s">
        <v>112</v>
      </c>
      <c r="E2" s="2" t="s">
        <v>113</v>
      </c>
    </row>
    <row r="3" hidden="1" customHeight="1" spans="2:5">
      <c r="B3" s="2" t="s">
        <v>114</v>
      </c>
      <c r="C3" s="3">
        <v>1</v>
      </c>
      <c r="D3" s="2">
        <v>0</v>
      </c>
      <c r="E3" s="2">
        <v>0</v>
      </c>
    </row>
    <row r="4" hidden="1" customHeight="1" spans="2:5">
      <c r="B4" s="2" t="s">
        <v>115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116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117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118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41</v>
      </c>
      <c r="C9" s="3">
        <v>0.51</v>
      </c>
      <c r="D9" s="3">
        <v>0.34</v>
      </c>
      <c r="E9" s="3">
        <v>0.15</v>
      </c>
    </row>
    <row r="10" customHeight="1" spans="2:5">
      <c r="B10" s="2" t="s">
        <v>119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120</v>
      </c>
      <c r="C11" s="3">
        <v>0.7</v>
      </c>
      <c r="D11" s="3">
        <v>0.3</v>
      </c>
      <c r="E11" s="3">
        <v>0</v>
      </c>
    </row>
    <row r="12" customHeight="1" spans="2:5">
      <c r="B12" s="2" t="s">
        <v>48</v>
      </c>
      <c r="C12" s="3">
        <v>0.8</v>
      </c>
      <c r="D12" s="3">
        <v>0.2</v>
      </c>
      <c r="E12" s="3">
        <v>0</v>
      </c>
    </row>
    <row r="13" customHeight="1" spans="2:5">
      <c r="B13" s="2" t="s">
        <v>66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WPS_1567389243</cp:lastModifiedBy>
  <dcterms:created xsi:type="dcterms:W3CDTF">2023-05-12T11:15:00Z</dcterms:created>
  <dcterms:modified xsi:type="dcterms:W3CDTF">2026-06-15T02:42:57Z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8887316B169B4F5688E73F525959590D_13</vt:lpwstr>
  </property>
  <property fmtid="{D5CDD505-2E9C-101B-9397-08002B2CF9AE}" pid="5" name="CalculationRule">
    <vt:i4>0</vt:i4>
  </property>
</Properties>
</file>