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考勤!$A$5:$AY$11</definedName>
    <definedName name="_xlnm.Print_Area" localSheetId="2">考勤!$A$1:$AZ$28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<sst xmlns="http://schemas.openxmlformats.org/spreadsheetml/2006/main" count="744" uniqueCount="126">
  <si>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</si>
  <si>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</si>
  <si>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</si>
  <si>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</si>
  <si>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</si>
  <si>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</si>
  <si>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</si>
  <si>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</si>
  <si>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</si>
  <si>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</si>
  <si>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</si>
  <si>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</si>
  <si>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</si>
  <si>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</si>
  <si>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</si>
  <si>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</si>
  <si>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</si>
  <si>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</si>
  <si>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</si>
  <si>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</si>
  <si>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</si>
  <si>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</si>
  <si>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</si>
  <si>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</si>
  <si>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</si>
  <si>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</si>
  <si>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</si>
  <si>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</si>
  <si>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</si>
  <si>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</si>
  <si>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新疆通力房地产开发有限公司库尔勒二分公司2026年3月工资表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</si>
  <si>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</si>
  <si>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</si>
  <si>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</si>
  <si>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</si>
  <si>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</si>
  <si>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</si>
  <si>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</si>
  <si>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</si>
  <si>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杨文杰</t>
  </si>
  <si>
    <t>工程管理部副经理</t>
  </si>
  <si>
    <t>M2</t>
  </si>
  <si>
    <t>管锡哲</t>
  </si>
  <si>
    <t>工程主管</t>
  </si>
  <si>
    <t>PM</t>
  </si>
  <si>
    <t>徐惠蓉</t>
  </si>
  <si>
    <t>投资开发部副经理</t>
  </si>
  <si>
    <t>未打卡一次</t>
  </si>
  <si>
    <t>沈陈瑾慧</t>
  </si>
  <si>
    <t>会计</t>
  </si>
  <si>
    <t>PB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</si>
  <si>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</si>
  <si>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</si>
  <si>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</si>
  <si>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</si>
  <si>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</si>
  <si>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</si>
  <si>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</si>
  <si>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</si>
  <si>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未打卡二次</t>
  </si>
  <si>
    <t>白媛媛</t>
  </si>
  <si>
    <t>开发报建工程师</t>
  </si>
  <si>
    <t>温进进</t>
  </si>
  <si>
    <t>土建工程师</t>
  </si>
  <si>
    <t>尹江</t>
  </si>
  <si>
    <t>水暖工程师</t>
  </si>
  <si>
    <t>一次未打卡</t>
  </si>
  <si>
    <t>谢华军</t>
  </si>
  <si>
    <t>招商专员</t>
  </si>
  <si>
    <t>张志慧</t>
  </si>
  <si>
    <t>置业顾问</t>
  </si>
  <si>
    <t>PA</t>
  </si>
  <si>
    <t>王荣</t>
  </si>
  <si>
    <t>霍苒</t>
  </si>
  <si>
    <t>闫金秀</t>
  </si>
  <si>
    <t>赵江龙</t>
  </si>
  <si>
    <t>案场销售经理</t>
  </si>
  <si>
    <t>12月需扣绩效3027元，上月扣除1630元，本月扣除1200元，下月需扣除197元；1月需扣除绩效4741元；2月需扣绩效3324元。</t>
  </si>
  <si>
    <t>张新艳</t>
  </si>
  <si>
    <t>王玉慧</t>
  </si>
  <si>
    <t>合计</t>
  </si>
  <si>
    <t>注：</t>
  </si>
  <si>
    <t>本月中层管理人员预留全额工资15%；徐惠蓉、管丽萍、高建梅其他项为法人补助；管锡哲其他项为多扣除医保个人承担部分；白媛媛其他项为办证费用，30元/户*23户。赵江龙：12月需扣绩效3027元，上月扣除1630元，本月扣除1200元，下月需扣除197元；1月需扣除绩效4741元；2月需扣绩效3324元。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</si>
  <si>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</si>
  <si>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</si>
  <si>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</si>
  <si>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</si>
  <si>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</si>
  <si>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</si>
  <si>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</si>
  <si>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</si>
  <si>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</si>
  <si>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</si>
  <si>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</si>
  <si>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</si>
  <si>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</si>
  <si>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</si>
  <si>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</si>
  <si>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</si>
  <si>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</si>
  <si>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</si>
  <si>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</si>
  <si>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</si>
  <si>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</si>
  <si>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</si>
  <si>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</si>
  <si>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</si>
  <si>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</si>
  <si>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</si>
  <si>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</si>
  <si>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</si>
  <si>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产假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</si>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</sst>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I30" sqref="I30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工资表!A23</f>
        <v>20</v>
      </c>
      <c r="C4" s="87">
        <f>工资表!E24</f>
        <v>171800</v>
      </c>
      <c r="D4" s="87"/>
      <c r="E4" s="87">
        <f>工资表!G24</f>
        <v>111120</v>
      </c>
      <c r="F4" s="87">
        <f>工资表!H24</f>
        <v>50480</v>
      </c>
      <c r="G4" s="87">
        <f>工资表!I24</f>
        <v>10200</v>
      </c>
      <c r="H4" s="87">
        <f>工资表!J24</f>
        <v>0</v>
      </c>
      <c r="I4" s="87">
        <f>工资表!K24</f>
        <v>-6609</v>
      </c>
      <c r="J4" s="87"/>
      <c r="K4" s="87">
        <f>工资表!M24</f>
        <v>1310</v>
      </c>
      <c r="L4" s="87">
        <f>工资表!N24</f>
        <v>37515.36</v>
      </c>
      <c r="M4" s="87">
        <f>工资表!O24</f>
        <v>32216.36</v>
      </c>
      <c r="N4" s="87">
        <f>工资表!P24</f>
        <v>0</v>
      </c>
      <c r="O4" s="87">
        <f>工资表!Q24</f>
        <v>0</v>
      </c>
      <c r="P4" s="87"/>
      <c r="Q4" s="87">
        <f>工资表!S24</f>
        <v>181673.502857143</v>
      </c>
      <c r="R4" s="87">
        <f>工资表!T24</f>
        <v>6488.32</v>
      </c>
      <c r="S4" s="87">
        <f>工资表!U24</f>
        <v>405.6</v>
      </c>
      <c r="T4" s="87">
        <f>工资表!V24</f>
        <v>1499.58</v>
      </c>
      <c r="U4" s="87">
        <f>工资表!W24</f>
        <v>342.15</v>
      </c>
      <c r="V4" s="87">
        <f>工资表!X24</f>
        <v>4200</v>
      </c>
      <c r="W4" s="87">
        <f>工资表!Y24</f>
        <v>2853.52</v>
      </c>
      <c r="X4" s="87">
        <f>工资表!Z24</f>
        <v>15789.17</v>
      </c>
      <c r="Y4" s="87">
        <f>工资表!AA24</f>
        <v>166687.702857143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7"/>
  <sheetViews>
    <sheetView showZeros="0" tabSelected="1" zoomScale="40" zoomScaleNormal="40" workbookViewId="0">
      <pane xSplit="3" topLeftCell="D1" activePane="topRight" state="frozen"/>
      <selection/>
      <selection pane="topRight" activeCell="S21" sqref="S21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37.8083333333333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28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71">
        <v>1</v>
      </c>
      <c r="B4" s="71" t="s">
        <v>36</v>
      </c>
      <c r="C4" s="71" t="s">
        <v>37</v>
      </c>
      <c r="D4" s="71" t="s">
        <v>38</v>
      </c>
      <c r="E4" s="72">
        <v>30000</v>
      </c>
      <c r="F4" s="72">
        <v>21</v>
      </c>
      <c r="G4" s="72">
        <f>E4*VLOOKUP(D4,职务序列取数!B:E,2,0)</f>
        <v>15300</v>
      </c>
      <c r="H4" s="72">
        <f>E4*VLOOKUP(D4,职务序列取数!B:E,3,0)</f>
        <v>10200</v>
      </c>
      <c r="I4" s="72">
        <f>E4*VLOOKUP(D4,职务序列取数!B:E,4,0)</f>
        <v>4500</v>
      </c>
      <c r="J4" s="73"/>
      <c r="K4" s="72">
        <v>-5409</v>
      </c>
      <c r="L4" s="73"/>
      <c r="M4" s="73"/>
      <c r="N4" s="73"/>
      <c r="O4" s="74">
        <f>SUM(J4:N4)</f>
        <v>-5409</v>
      </c>
      <c r="P4" s="73">
        <f t="shared" ref="P4:P22" si="0">G4/F4</f>
        <v>728.571428571429</v>
      </c>
      <c r="Q4" s="73">
        <f t="shared" ref="Q4:Q22" si="1">H4/F4</f>
        <v>485.714285714286</v>
      </c>
      <c r="R4" s="75">
        <f>VLOOKUP(B4,考勤!B:AI,34,0)</f>
        <v>21</v>
      </c>
      <c r="S4" s="70">
        <f t="shared" ref="S4:S29" si="2">(P4*R4)+(Q4*R4)+O4</f>
        <v>20091</v>
      </c>
      <c r="T4" s="76">
        <f>405.52</f>
        <v>405.52</v>
      </c>
      <c r="U4" s="76">
        <v>25.35</v>
      </c>
      <c r="V4" s="76">
        <f>101.38</f>
        <v>101.38</v>
      </c>
      <c r="W4" s="76">
        <v>21.12</v>
      </c>
      <c r="X4" s="76">
        <v>350</v>
      </c>
      <c r="Y4" s="77">
        <v>490.25</v>
      </c>
      <c r="Z4" s="74">
        <f t="shared" ref="Z4:Z29" si="3">SUM(T4:Y4)</f>
        <v>1393.62</v>
      </c>
      <c r="AA4" s="70">
        <f t="shared" ref="AA4:AA29" si="4">S4-Z4</f>
        <v>18697.38</v>
      </c>
      <c r="AB4" s="71"/>
    </row>
    <row r="5" s="54" customFormat="1" ht="50" customHeight="1" spans="1:28">
      <c r="A5" s="71">
        <v>2</v>
      </c>
      <c r="B5" s="71" t="s">
        <v>39</v>
      </c>
      <c r="C5" s="71" t="s">
        <v>40</v>
      </c>
      <c r="D5" s="71" t="s">
        <v>41</v>
      </c>
      <c r="E5" s="72">
        <v>20000</v>
      </c>
      <c r="F5" s="72">
        <v>21</v>
      </c>
      <c r="G5" s="72">
        <f>E5*VLOOKUP(D5,职务序列取数!B:E,2,0)</f>
        <v>10200</v>
      </c>
      <c r="H5" s="72">
        <f>E5*VLOOKUP(D5,职务序列取数!B:E,3,0)</f>
        <v>6800</v>
      </c>
      <c r="I5" s="72">
        <f>E5*VLOOKUP(D5,职务序列取数!B:E,4,0)</f>
        <v>3000</v>
      </c>
      <c r="J5" s="73"/>
      <c r="K5" s="72"/>
      <c r="L5" s="73"/>
      <c r="M5" s="73"/>
      <c r="N5" s="73"/>
      <c r="O5" s="74">
        <f>SUM(J5:N5)</f>
        <v>0</v>
      </c>
      <c r="P5" s="73">
        <f t="shared" si="0"/>
        <v>485.714285714286</v>
      </c>
      <c r="Q5" s="73">
        <f t="shared" si="1"/>
        <v>323.809523809524</v>
      </c>
      <c r="R5" s="75">
        <f>VLOOKUP(B5,考勤!B:AI,34,0)</f>
        <v>21</v>
      </c>
      <c r="S5" s="70">
        <f t="shared" si="2"/>
        <v>17000</v>
      </c>
      <c r="T5" s="76">
        <f>405.52</f>
        <v>405.52</v>
      </c>
      <c r="U5" s="76">
        <v>25.35</v>
      </c>
      <c r="V5" s="76">
        <v>101.38</v>
      </c>
      <c r="W5" s="76">
        <v>21.12</v>
      </c>
      <c r="X5" s="76">
        <f>350</f>
        <v>350</v>
      </c>
      <c r="Y5" s="77">
        <v>862.5</v>
      </c>
      <c r="Z5" s="74">
        <f t="shared" si="3"/>
        <v>1765.87</v>
      </c>
      <c r="AA5" s="70">
        <f t="shared" si="4"/>
        <v>15234.13</v>
      </c>
      <c r="AB5" s="71"/>
    </row>
    <row r="6" s="54" customFormat="1" ht="50" customHeight="1" spans="1:28">
      <c r="A6" s="71">
        <v>3</v>
      </c>
      <c r="B6" s="71" t="s">
        <v>42</v>
      </c>
      <c r="C6" s="71" t="s">
        <v>43</v>
      </c>
      <c r="D6" s="71" t="s">
        <v>44</v>
      </c>
      <c r="E6" s="72">
        <v>12000</v>
      </c>
      <c r="F6" s="72">
        <v>21</v>
      </c>
      <c r="G6" s="72">
        <f>E6*VLOOKUP(D6,职务序列取数!B:E,2,0)</f>
        <v>8400</v>
      </c>
      <c r="H6" s="72">
        <f>E6*VLOOKUP(D6,职务序列取数!B:E,3,0)</f>
        <v>3600</v>
      </c>
      <c r="I6" s="72">
        <f>E6*VLOOKUP(D6,职务序列取数!B:E,4,0)</f>
        <v>0</v>
      </c>
      <c r="J6" s="73"/>
      <c r="K6" s="72"/>
      <c r="L6" s="73"/>
      <c r="M6" s="73"/>
      <c r="N6" s="73"/>
      <c r="O6" s="74">
        <f t="shared" ref="O6:O23" si="5">SUM(J6:N6)</f>
        <v>0</v>
      </c>
      <c r="P6" s="73">
        <f t="shared" si="0"/>
        <v>400</v>
      </c>
      <c r="Q6" s="73">
        <f t="shared" si="1"/>
        <v>171.428571428571</v>
      </c>
      <c r="R6" s="75">
        <f>VLOOKUP(B6,考勤!B:AI,34,0)</f>
        <v>12</v>
      </c>
      <c r="S6" s="70">
        <f t="shared" si="2"/>
        <v>6857.14285714285</v>
      </c>
      <c r="T6" s="76"/>
      <c r="U6" s="76"/>
      <c r="V6" s="76">
        <v>-122.5</v>
      </c>
      <c r="W6" s="76"/>
      <c r="X6" s="76"/>
      <c r="Y6" s="77">
        <v>10.72</v>
      </c>
      <c r="Z6" s="74">
        <f t="shared" si="3"/>
        <v>-111.78</v>
      </c>
      <c r="AA6" s="70">
        <f t="shared" si="4"/>
        <v>6968.92285714285</v>
      </c>
      <c r="AB6" s="71"/>
    </row>
    <row r="7" s="54" customFormat="1" ht="50" customHeight="1" spans="1:28">
      <c r="A7" s="71">
        <v>4</v>
      </c>
      <c r="B7" s="71" t="s">
        <v>45</v>
      </c>
      <c r="C7" s="71" t="s">
        <v>46</v>
      </c>
      <c r="D7" s="71" t="s">
        <v>41</v>
      </c>
      <c r="E7" s="72">
        <v>18000</v>
      </c>
      <c r="F7" s="72">
        <v>21</v>
      </c>
      <c r="G7" s="72">
        <f>E7*VLOOKUP(D7,职务序列取数!B:E,2,0)</f>
        <v>9180</v>
      </c>
      <c r="H7" s="72">
        <f>E7*VLOOKUP(D7,职务序列取数!B:E,3,0)</f>
        <v>6120</v>
      </c>
      <c r="I7" s="72">
        <f>E7*VLOOKUP(D7,职务序列取数!B:E,4,0)</f>
        <v>2700</v>
      </c>
      <c r="J7" s="73"/>
      <c r="K7" s="72"/>
      <c r="L7" s="73"/>
      <c r="M7" s="73">
        <f>300-20</f>
        <v>280</v>
      </c>
      <c r="N7" s="73"/>
      <c r="O7" s="74">
        <f t="shared" si="5"/>
        <v>280</v>
      </c>
      <c r="P7" s="73">
        <f t="shared" si="0"/>
        <v>437.142857142857</v>
      </c>
      <c r="Q7" s="73">
        <f t="shared" si="1"/>
        <v>291.428571428571</v>
      </c>
      <c r="R7" s="75">
        <f>VLOOKUP(B7,考勤!B:AI,34,0)</f>
        <v>21</v>
      </c>
      <c r="S7" s="70">
        <f t="shared" si="2"/>
        <v>15580</v>
      </c>
      <c r="T7" s="76"/>
      <c r="U7" s="76"/>
      <c r="V7" s="76"/>
      <c r="W7" s="76"/>
      <c r="X7" s="76"/>
      <c r="Y7" s="77">
        <v>317.4</v>
      </c>
      <c r="Z7" s="74">
        <f t="shared" si="3"/>
        <v>317.4</v>
      </c>
      <c r="AA7" s="70">
        <f t="shared" si="4"/>
        <v>15262.6</v>
      </c>
      <c r="AB7" s="71" t="s">
        <v>47</v>
      </c>
    </row>
    <row r="8" s="54" customFormat="1" ht="50" customHeight="1" spans="1:28">
      <c r="A8" s="71">
        <v>5</v>
      </c>
      <c r="B8" s="71" t="s">
        <v>48</v>
      </c>
      <c r="C8" s="71" t="s">
        <v>49</v>
      </c>
      <c r="D8" s="71" t="s">
        <v>50</v>
      </c>
      <c r="E8" s="72">
        <v>7000</v>
      </c>
      <c r="F8" s="72">
        <v>0</v>
      </c>
      <c r="G8" s="72">
        <f>E8*VLOOKUP(D8,职务序列取数!B:E,2,0)</f>
        <v>5600</v>
      </c>
      <c r="H8" s="72">
        <f>E8*VLOOKUP(D8,职务序列取数!B:E,3,0)</f>
        <v>1400</v>
      </c>
      <c r="I8" s="72">
        <f>E8*VLOOKUP(D8,职务序列取数!B:E,4,0)</f>
        <v>0</v>
      </c>
      <c r="J8" s="73"/>
      <c r="K8" s="72"/>
      <c r="L8" s="73"/>
      <c r="M8" s="73"/>
      <c r="N8" s="73"/>
      <c r="O8" s="74">
        <f t="shared" si="5"/>
        <v>0</v>
      </c>
      <c r="P8" s="73"/>
      <c r="Q8" s="73"/>
      <c r="R8" s="75">
        <f>VLOOKUP(B8,考勤!B:AI,34,0)</f>
        <v>0</v>
      </c>
      <c r="S8" s="70">
        <f t="shared" si="2"/>
        <v>0</v>
      </c>
      <c r="T8" s="76">
        <f t="shared" ref="T8:T17" si="6">405.52</f>
        <v>405.52</v>
      </c>
      <c r="U8" s="76">
        <v>25.35</v>
      </c>
      <c r="V8" s="76">
        <v>101.38</v>
      </c>
      <c r="W8" s="76">
        <v>21.12</v>
      </c>
      <c r="X8" s="76">
        <v>250</v>
      </c>
      <c r="Y8" s="77"/>
      <c r="Z8" s="74">
        <f t="shared" si="3"/>
        <v>803.37</v>
      </c>
      <c r="AA8" s="70"/>
      <c r="AB8" s="2"/>
    </row>
    <row r="9" s="54" customFormat="1" ht="50" customHeight="1" spans="1:28">
      <c r="A9" s="71">
        <v>6</v>
      </c>
      <c r="B9" s="71" t="s">
        <v>51</v>
      </c>
      <c r="C9" s="71" t="s">
        <v>52</v>
      </c>
      <c r="D9" s="71" t="s">
        <v>50</v>
      </c>
      <c r="E9" s="72">
        <v>6000</v>
      </c>
      <c r="F9" s="72">
        <v>21</v>
      </c>
      <c r="G9" s="72">
        <f>E9*VLOOKUP(D9,职务序列取数!B:E,2,0)</f>
        <v>4800</v>
      </c>
      <c r="H9" s="72">
        <f>E9*VLOOKUP(D9,职务序列取数!B:E,3,0)</f>
        <v>1200</v>
      </c>
      <c r="I9" s="72">
        <f>E9*VLOOKUP(D9,职务序列取数!B:E,4,0)</f>
        <v>0</v>
      </c>
      <c r="J9" s="73"/>
      <c r="K9" s="72"/>
      <c r="L9" s="73"/>
      <c r="M9" s="73">
        <v>300</v>
      </c>
      <c r="N9" s="73"/>
      <c r="O9" s="74">
        <f t="shared" si="5"/>
        <v>300</v>
      </c>
      <c r="P9" s="73">
        <f t="shared" si="0"/>
        <v>228.571428571429</v>
      </c>
      <c r="Q9" s="73">
        <f t="shared" si="1"/>
        <v>57.1428571428571</v>
      </c>
      <c r="R9" s="75">
        <f>VLOOKUP(B9,考勤!B:AI,34,0)</f>
        <v>21</v>
      </c>
      <c r="S9" s="70">
        <f t="shared" si="2"/>
        <v>6300.00000000001</v>
      </c>
      <c r="T9" s="76">
        <f t="shared" si="6"/>
        <v>405.52</v>
      </c>
      <c r="U9" s="76">
        <v>25.35</v>
      </c>
      <c r="V9" s="76">
        <v>101.38</v>
      </c>
      <c r="W9" s="76">
        <v>21.12</v>
      </c>
      <c r="X9" s="76">
        <v>250</v>
      </c>
      <c r="Y9" s="77"/>
      <c r="Z9" s="74">
        <f t="shared" si="3"/>
        <v>803.37</v>
      </c>
      <c r="AA9" s="70">
        <f t="shared" si="4"/>
        <v>5496.63000000001</v>
      </c>
      <c r="AB9" s="71"/>
    </row>
    <row r="10" s="54" customFormat="1" ht="50" customHeight="1" spans="1:28">
      <c r="A10" s="71">
        <v>7</v>
      </c>
      <c r="B10" s="71" t="s">
        <v>53</v>
      </c>
      <c r="C10" s="71" t="s">
        <v>54</v>
      </c>
      <c r="D10" s="71" t="s">
        <v>50</v>
      </c>
      <c r="E10" s="72">
        <v>7500</v>
      </c>
      <c r="F10" s="72">
        <v>21</v>
      </c>
      <c r="G10" s="72">
        <f>E10*VLOOKUP(D10,职务序列取数!B:E,2,0)</f>
        <v>6000</v>
      </c>
      <c r="H10" s="72">
        <f>E10*VLOOKUP(D10,职务序列取数!B:E,3,0)</f>
        <v>1500</v>
      </c>
      <c r="I10" s="72">
        <f>E10*VLOOKUP(D10,职务序列取数!B:E,4,0)</f>
        <v>0</v>
      </c>
      <c r="J10" s="73"/>
      <c r="K10" s="72"/>
      <c r="L10" s="73"/>
      <c r="M10" s="73"/>
      <c r="N10" s="73"/>
      <c r="O10" s="74">
        <f t="shared" si="5"/>
        <v>0</v>
      </c>
      <c r="P10" s="73">
        <f t="shared" si="0"/>
        <v>285.714285714286</v>
      </c>
      <c r="Q10" s="73">
        <f t="shared" si="1"/>
        <v>71.4285714285714</v>
      </c>
      <c r="R10" s="75">
        <f>VLOOKUP(B10,考勤!B:AI,34,0)</f>
        <v>21</v>
      </c>
      <c r="S10" s="70">
        <f t="shared" si="2"/>
        <v>7500.00000000001</v>
      </c>
      <c r="T10" s="76">
        <f t="shared" si="6"/>
        <v>405.52</v>
      </c>
      <c r="U10" s="76">
        <v>25.35</v>
      </c>
      <c r="V10" s="76">
        <v>101.38</v>
      </c>
      <c r="W10" s="76">
        <v>21.12</v>
      </c>
      <c r="X10" s="76">
        <v>250</v>
      </c>
      <c r="Y10" s="77"/>
      <c r="Z10" s="74">
        <f t="shared" si="3"/>
        <v>803.37</v>
      </c>
      <c r="AA10" s="70">
        <f t="shared" si="4"/>
        <v>6696.63000000001</v>
      </c>
      <c r="AB10" s="78"/>
    </row>
    <row r="11" s="54" customFormat="1" ht="50" customHeight="1" spans="1:28">
      <c r="A11" s="71">
        <v>8</v>
      </c>
      <c r="B11" s="71" t="s">
        <v>55</v>
      </c>
      <c r="C11" s="71" t="s">
        <v>56</v>
      </c>
      <c r="D11" s="71" t="s">
        <v>50</v>
      </c>
      <c r="E11" s="72">
        <v>6500</v>
      </c>
      <c r="F11" s="72">
        <v>21</v>
      </c>
      <c r="G11" s="72">
        <f>E11*VLOOKUP(D11,职务序列取数!B:E,2,0)</f>
        <v>5200</v>
      </c>
      <c r="H11" s="72">
        <f>E11*VLOOKUP(D11,职务序列取数!B:E,3,0)</f>
        <v>1300</v>
      </c>
      <c r="I11" s="72">
        <f>E11*VLOOKUP(D11,职务序列取数!B:E,4,0)</f>
        <v>0</v>
      </c>
      <c r="J11" s="73"/>
      <c r="K11" s="72"/>
      <c r="L11" s="73"/>
      <c r="M11" s="73">
        <v>100</v>
      </c>
      <c r="N11" s="73"/>
      <c r="O11" s="74">
        <f t="shared" si="5"/>
        <v>100</v>
      </c>
      <c r="P11" s="73">
        <f t="shared" si="0"/>
        <v>247.619047619048</v>
      </c>
      <c r="Q11" s="73">
        <f t="shared" si="1"/>
        <v>61.9047619047619</v>
      </c>
      <c r="R11" s="75">
        <f>VLOOKUP(B11,考勤!B:AI,34,0)</f>
        <v>21</v>
      </c>
      <c r="S11" s="70">
        <f t="shared" si="2"/>
        <v>6600.00000000001</v>
      </c>
      <c r="T11" s="76">
        <f t="shared" si="6"/>
        <v>405.52</v>
      </c>
      <c r="U11" s="76">
        <v>25.35</v>
      </c>
      <c r="V11" s="76">
        <v>101.38</v>
      </c>
      <c r="W11" s="76">
        <v>21.12</v>
      </c>
      <c r="X11" s="76">
        <v>250</v>
      </c>
      <c r="Y11" s="77"/>
      <c r="Z11" s="74">
        <f t="shared" si="3"/>
        <v>803.37</v>
      </c>
      <c r="AA11" s="70">
        <f t="shared" si="4"/>
        <v>5796.63000000001</v>
      </c>
      <c r="AB11" s="71"/>
    </row>
    <row r="12" s="54" customFormat="1" ht="50" customHeight="1" spans="1:28">
      <c r="A12" s="71">
        <v>9</v>
      </c>
      <c r="B12" s="71" t="s">
        <v>57</v>
      </c>
      <c r="C12" s="71" t="s">
        <v>58</v>
      </c>
      <c r="D12" s="71" t="s">
        <v>50</v>
      </c>
      <c r="E12" s="72">
        <v>7800</v>
      </c>
      <c r="F12" s="72">
        <v>21</v>
      </c>
      <c r="G12" s="72">
        <f>E12*VLOOKUP(D12,职务序列取数!B:E,2,0)</f>
        <v>6240</v>
      </c>
      <c r="H12" s="72">
        <f>E12*VLOOKUP(D12,职务序列取数!B:E,3,0)</f>
        <v>1560</v>
      </c>
      <c r="I12" s="72">
        <v>0</v>
      </c>
      <c r="J12" s="73"/>
      <c r="K12" s="72"/>
      <c r="L12" s="73"/>
      <c r="M12" s="73">
        <v>-40</v>
      </c>
      <c r="N12" s="73"/>
      <c r="O12" s="74">
        <f t="shared" si="5"/>
        <v>-40</v>
      </c>
      <c r="P12" s="73">
        <f t="shared" si="0"/>
        <v>297.142857142857</v>
      </c>
      <c r="Q12" s="73">
        <f t="shared" si="1"/>
        <v>74.2857142857143</v>
      </c>
      <c r="R12" s="75">
        <f>VLOOKUP(B12,考勤!B:AI,34,0)</f>
        <v>21</v>
      </c>
      <c r="S12" s="70">
        <f t="shared" si="2"/>
        <v>7760</v>
      </c>
      <c r="T12" s="76">
        <f t="shared" si="6"/>
        <v>405.52</v>
      </c>
      <c r="U12" s="76">
        <v>25.35</v>
      </c>
      <c r="V12" s="76">
        <v>101.38</v>
      </c>
      <c r="W12" s="76">
        <v>21.12</v>
      </c>
      <c r="X12" s="76">
        <v>250</v>
      </c>
      <c r="Y12" s="77">
        <v>52.8</v>
      </c>
      <c r="Z12" s="74">
        <f t="shared" si="3"/>
        <v>856.17</v>
      </c>
      <c r="AA12" s="70">
        <f t="shared" si="4"/>
        <v>6903.83</v>
      </c>
      <c r="AB12" s="78" t="s">
        <v>59</v>
      </c>
    </row>
    <row r="13" s="54" customFormat="1" ht="50" customHeight="1" spans="1:28">
      <c r="A13" s="71">
        <v>10</v>
      </c>
      <c r="B13" s="71" t="s">
        <v>60</v>
      </c>
      <c r="C13" s="71" t="s">
        <v>61</v>
      </c>
      <c r="D13" s="71" t="s">
        <v>50</v>
      </c>
      <c r="E13" s="72">
        <v>4500</v>
      </c>
      <c r="F13" s="72">
        <v>21</v>
      </c>
      <c r="G13" s="72">
        <f>E13*VLOOKUP(D13,职务序列取数!B:E,2,0)</f>
        <v>3600</v>
      </c>
      <c r="H13" s="72">
        <f>E13*VLOOKUP(D13,职务序列取数!B:E,3,0)</f>
        <v>900</v>
      </c>
      <c r="I13" s="72">
        <f>E13*VLOOKUP(D13,职务序列取数!B:E,4,0)</f>
        <v>0</v>
      </c>
      <c r="J13" s="73"/>
      <c r="K13" s="72"/>
      <c r="L13" s="73"/>
      <c r="M13" s="73">
        <f>23*30</f>
        <v>690</v>
      </c>
      <c r="N13" s="73"/>
      <c r="O13" s="74">
        <f t="shared" si="5"/>
        <v>690</v>
      </c>
      <c r="P13" s="73">
        <f t="shared" si="0"/>
        <v>171.428571428571</v>
      </c>
      <c r="Q13" s="73">
        <f t="shared" si="1"/>
        <v>42.8571428571429</v>
      </c>
      <c r="R13" s="75">
        <f>VLOOKUP(B13,考勤!B:AI,34,0)</f>
        <v>21</v>
      </c>
      <c r="S13" s="70">
        <f t="shared" si="2"/>
        <v>5189.99999999999</v>
      </c>
      <c r="T13" s="76">
        <f t="shared" si="6"/>
        <v>405.52</v>
      </c>
      <c r="U13" s="76">
        <v>25.35</v>
      </c>
      <c r="V13" s="76">
        <v>101.38</v>
      </c>
      <c r="W13" s="76">
        <v>21.12</v>
      </c>
      <c r="X13" s="76">
        <v>250</v>
      </c>
      <c r="Y13" s="77"/>
      <c r="Z13" s="74">
        <f t="shared" si="3"/>
        <v>803.37</v>
      </c>
      <c r="AA13" s="70">
        <f t="shared" si="4"/>
        <v>4386.62999999999</v>
      </c>
      <c r="AB13" s="71"/>
    </row>
    <row r="14" s="54" customFormat="1" ht="50" customHeight="1" spans="1:28">
      <c r="A14" s="71">
        <v>11</v>
      </c>
      <c r="B14" s="71" t="s">
        <v>62</v>
      </c>
      <c r="C14" s="71" t="s">
        <v>63</v>
      </c>
      <c r="D14" s="71" t="s">
        <v>50</v>
      </c>
      <c r="E14" s="72">
        <v>13500</v>
      </c>
      <c r="F14" s="72">
        <v>21</v>
      </c>
      <c r="G14" s="72">
        <f>E14*VLOOKUP(D14,职务序列取数!B:E,2,0)</f>
        <v>10800</v>
      </c>
      <c r="H14" s="72">
        <f>E14*VLOOKUP(D14,职务序列取数!B:E,3,0)</f>
        <v>2700</v>
      </c>
      <c r="I14" s="72">
        <f>E14*VLOOKUP(D14,职务序列取数!B:E,4,0)</f>
        <v>0</v>
      </c>
      <c r="J14" s="73"/>
      <c r="K14" s="72"/>
      <c r="L14" s="73"/>
      <c r="M14" s="73"/>
      <c r="N14" s="73"/>
      <c r="O14" s="74">
        <f t="shared" si="5"/>
        <v>0</v>
      </c>
      <c r="P14" s="73">
        <f t="shared" si="0"/>
        <v>514.285714285714</v>
      </c>
      <c r="Q14" s="73">
        <f t="shared" si="1"/>
        <v>128.571428571429</v>
      </c>
      <c r="R14" s="75">
        <f>VLOOKUP(B14,考勤!B:AI,34,0)</f>
        <v>21</v>
      </c>
      <c r="S14" s="70">
        <f t="shared" si="2"/>
        <v>13500</v>
      </c>
      <c r="T14" s="76">
        <f t="shared" si="6"/>
        <v>405.52</v>
      </c>
      <c r="U14" s="76">
        <v>25.35</v>
      </c>
      <c r="V14" s="76">
        <v>101.38</v>
      </c>
      <c r="W14" s="76">
        <v>21.12</v>
      </c>
      <c r="X14" s="76">
        <v>250</v>
      </c>
      <c r="Y14" s="77">
        <v>218.9</v>
      </c>
      <c r="Z14" s="74">
        <f t="shared" si="3"/>
        <v>1022.27</v>
      </c>
      <c r="AA14" s="70">
        <f t="shared" si="4"/>
        <v>12477.73</v>
      </c>
      <c r="AB14" s="71"/>
    </row>
    <row r="15" s="1" customFormat="1" ht="50" customHeight="1" spans="1:28">
      <c r="A15" s="71">
        <v>12</v>
      </c>
      <c r="B15" s="71" t="s">
        <v>64</v>
      </c>
      <c r="C15" s="71" t="s">
        <v>65</v>
      </c>
      <c r="D15" s="71" t="s">
        <v>50</v>
      </c>
      <c r="E15" s="72">
        <v>12000</v>
      </c>
      <c r="F15" s="72">
        <v>21</v>
      </c>
      <c r="G15" s="72">
        <f>E15*VLOOKUP(D15,职务序列取数!B:E,2,0)</f>
        <v>9600</v>
      </c>
      <c r="H15" s="72">
        <f>E15*VLOOKUP(D15,职务序列取数!B:E,3,0)</f>
        <v>2400</v>
      </c>
      <c r="I15" s="72"/>
      <c r="J15" s="73"/>
      <c r="K15" s="72"/>
      <c r="L15" s="73"/>
      <c r="M15" s="73">
        <v>-20</v>
      </c>
      <c r="N15" s="73"/>
      <c r="O15" s="74">
        <f t="shared" si="5"/>
        <v>-20</v>
      </c>
      <c r="P15" s="73">
        <f t="shared" si="0"/>
        <v>457.142857142857</v>
      </c>
      <c r="Q15" s="73">
        <f t="shared" si="1"/>
        <v>114.285714285714</v>
      </c>
      <c r="R15" s="75">
        <f>VLOOKUP(B15,考勤!B:AI,34,0)</f>
        <v>21</v>
      </c>
      <c r="S15" s="70">
        <f t="shared" si="2"/>
        <v>11980</v>
      </c>
      <c r="T15" s="76">
        <f t="shared" si="6"/>
        <v>405.52</v>
      </c>
      <c r="U15" s="76">
        <v>25.35</v>
      </c>
      <c r="V15" s="76">
        <v>101.38</v>
      </c>
      <c r="W15" s="76">
        <v>25.35</v>
      </c>
      <c r="X15" s="76">
        <v>250</v>
      </c>
      <c r="Y15" s="77">
        <v>35.18</v>
      </c>
      <c r="Z15" s="74">
        <f t="shared" si="3"/>
        <v>842.78</v>
      </c>
      <c r="AA15" s="70">
        <f t="shared" si="4"/>
        <v>11137.22</v>
      </c>
      <c r="AB15" s="71" t="s">
        <v>66</v>
      </c>
    </row>
    <row r="16" s="1" customFormat="1" ht="50" customHeight="1" spans="1:28">
      <c r="A16" s="71">
        <v>13</v>
      </c>
      <c r="B16" s="71" t="s">
        <v>67</v>
      </c>
      <c r="C16" s="71" t="s">
        <v>68</v>
      </c>
      <c r="D16" s="71" t="s">
        <v>50</v>
      </c>
      <c r="E16" s="72">
        <v>4500</v>
      </c>
      <c r="F16" s="72">
        <v>21</v>
      </c>
      <c r="G16" s="72">
        <f>E16*VLOOKUP(D16,职务序列取数!B:E,2,0)</f>
        <v>3600</v>
      </c>
      <c r="H16" s="72">
        <f>E16*VLOOKUP(D16,职务序列取数!B:E,3,0)</f>
        <v>900</v>
      </c>
      <c r="I16" s="72">
        <f>E16*VLOOKUP(D16,职务序列取数!B:E,4,0)</f>
        <v>0</v>
      </c>
      <c r="J16" s="73"/>
      <c r="K16" s="72"/>
      <c r="L16" s="73"/>
      <c r="M16" s="73"/>
      <c r="N16" s="73"/>
      <c r="O16" s="74">
        <f t="shared" si="5"/>
        <v>0</v>
      </c>
      <c r="P16" s="73">
        <f t="shared" si="0"/>
        <v>171.428571428571</v>
      </c>
      <c r="Q16" s="73">
        <f t="shared" si="1"/>
        <v>42.8571428571429</v>
      </c>
      <c r="R16" s="75">
        <f>VLOOKUP(B16,考勤!B:AI,34,0)</f>
        <v>21</v>
      </c>
      <c r="S16" s="70">
        <f t="shared" si="2"/>
        <v>4499.99999999999</v>
      </c>
      <c r="T16" s="76">
        <f t="shared" si="6"/>
        <v>405.52</v>
      </c>
      <c r="U16" s="76">
        <v>25.35</v>
      </c>
      <c r="V16" s="76">
        <v>101.38</v>
      </c>
      <c r="W16" s="76">
        <v>21.12</v>
      </c>
      <c r="X16" s="76">
        <v>250</v>
      </c>
      <c r="Y16" s="77"/>
      <c r="Z16" s="74">
        <f t="shared" si="3"/>
        <v>803.37</v>
      </c>
      <c r="AA16" s="70">
        <f t="shared" si="4"/>
        <v>3696.62999999999</v>
      </c>
      <c r="AB16" s="71"/>
    </row>
    <row r="17" s="1" customFormat="1" ht="50" customHeight="1" spans="1:34">
      <c r="A17" s="71">
        <v>14</v>
      </c>
      <c r="B17" s="71" t="s">
        <v>69</v>
      </c>
      <c r="C17" s="71" t="s">
        <v>70</v>
      </c>
      <c r="D17" s="71" t="s">
        <v>71</v>
      </c>
      <c r="E17" s="72">
        <v>5000</v>
      </c>
      <c r="F17" s="72">
        <v>27</v>
      </c>
      <c r="G17" s="72">
        <v>2450</v>
      </c>
      <c r="H17" s="72">
        <f>E17-G17</f>
        <v>2550</v>
      </c>
      <c r="I17" s="72">
        <f>E17*VLOOKUP(D17,职务序列取数!B:E,4,0)</f>
        <v>0</v>
      </c>
      <c r="J17" s="73"/>
      <c r="K17" s="72"/>
      <c r="L17" s="73"/>
      <c r="M17" s="73"/>
      <c r="N17" s="73"/>
      <c r="O17" s="74">
        <f t="shared" si="5"/>
        <v>0</v>
      </c>
      <c r="P17" s="73">
        <f t="shared" si="0"/>
        <v>90.7407407407407</v>
      </c>
      <c r="Q17" s="73">
        <f t="shared" si="1"/>
        <v>94.4444444444444</v>
      </c>
      <c r="R17" s="75">
        <f>VLOOKUP(B17,考勤!B:AI,34,0)</f>
        <v>27</v>
      </c>
      <c r="S17" s="70">
        <f t="shared" si="2"/>
        <v>5000</v>
      </c>
      <c r="T17" s="76">
        <f t="shared" si="6"/>
        <v>405.52</v>
      </c>
      <c r="U17" s="76">
        <v>25.35</v>
      </c>
      <c r="V17" s="76">
        <v>101.38</v>
      </c>
      <c r="W17" s="76">
        <v>21.12</v>
      </c>
      <c r="X17" s="76">
        <v>250</v>
      </c>
      <c r="Y17" s="77"/>
      <c r="Z17" s="74">
        <f t="shared" si="3"/>
        <v>803.37</v>
      </c>
      <c r="AA17" s="70">
        <f t="shared" si="4"/>
        <v>4196.63</v>
      </c>
      <c r="AB17" s="79"/>
    </row>
    <row r="18" s="1" customFormat="1" ht="60" customHeight="1" spans="1:34">
      <c r="A18" s="71">
        <v>15</v>
      </c>
      <c r="B18" s="71" t="s">
        <v>72</v>
      </c>
      <c r="C18" s="71" t="s">
        <v>70</v>
      </c>
      <c r="D18" s="71" t="s">
        <v>71</v>
      </c>
      <c r="E18" s="72">
        <v>4000</v>
      </c>
      <c r="F18" s="72">
        <v>27</v>
      </c>
      <c r="G18" s="72">
        <v>2450</v>
      </c>
      <c r="H18" s="72">
        <f>E18-G18</f>
        <v>1550</v>
      </c>
      <c r="I18" s="72">
        <f>E18*VLOOKUP(D18,职务序列取数!B:E,4,0)</f>
        <v>0</v>
      </c>
      <c r="J18" s="73"/>
      <c r="K18" s="72"/>
      <c r="L18" s="73"/>
      <c r="M18" s="73"/>
      <c r="N18" s="73">
        <v>4914.35</v>
      </c>
      <c r="O18" s="74">
        <f t="shared" si="5"/>
        <v>4914.35</v>
      </c>
      <c r="P18" s="73">
        <f t="shared" si="0"/>
        <v>90.7407407407407</v>
      </c>
      <c r="Q18" s="73">
        <f t="shared" si="1"/>
        <v>57.4074074074074</v>
      </c>
      <c r="R18" s="75">
        <f>VLOOKUP(B18,考勤!B:AI,34,0)</f>
        <v>27</v>
      </c>
      <c r="S18" s="70">
        <f t="shared" si="2"/>
        <v>8914.35</v>
      </c>
      <c r="T18" s="76">
        <f t="shared" ref="T18:T23" si="7">405.52</f>
        <v>405.52</v>
      </c>
      <c r="U18" s="76">
        <v>25.35</v>
      </c>
      <c r="V18" s="76">
        <v>101.38</v>
      </c>
      <c r="W18" s="76">
        <v>21.12</v>
      </c>
      <c r="X18" s="76">
        <v>250</v>
      </c>
      <c r="Y18" s="77"/>
      <c r="Z18" s="74">
        <f t="shared" si="3"/>
        <v>803.37</v>
      </c>
      <c r="AA18" s="70">
        <f t="shared" si="4"/>
        <v>8110.98</v>
      </c>
      <c r="AB18" s="78"/>
    </row>
    <row r="19" s="1" customFormat="1" ht="60" customHeight="1" spans="1:34">
      <c r="A19" s="71">
        <v>16</v>
      </c>
      <c r="B19" s="71" t="s">
        <v>73</v>
      </c>
      <c r="C19" s="71" t="s">
        <v>70</v>
      </c>
      <c r="D19" s="71" t="s">
        <v>71</v>
      </c>
      <c r="E19" s="72">
        <v>5000</v>
      </c>
      <c r="F19" s="72">
        <v>27</v>
      </c>
      <c r="G19" s="72">
        <v>2450</v>
      </c>
      <c r="H19" s="72">
        <f>E19-G19</f>
        <v>2550</v>
      </c>
      <c r="I19" s="72">
        <f>E19*VLOOKUP(D19,职务序列取数!B:E,4,0)</f>
        <v>0</v>
      </c>
      <c r="J19" s="73"/>
      <c r="K19" s="72"/>
      <c r="L19" s="73"/>
      <c r="M19" s="73"/>
      <c r="N19" s="73">
        <f>16207.19+4523.52</f>
        <v>20730.71</v>
      </c>
      <c r="O19" s="74">
        <f t="shared" si="5"/>
        <v>20730.71</v>
      </c>
      <c r="P19" s="73">
        <f t="shared" si="0"/>
        <v>90.7407407407407</v>
      </c>
      <c r="Q19" s="73">
        <f t="shared" si="1"/>
        <v>94.4444444444444</v>
      </c>
      <c r="R19" s="75">
        <f>VLOOKUP(B19,考勤!B:AI,34,0)</f>
        <v>27</v>
      </c>
      <c r="S19" s="70">
        <f t="shared" si="2"/>
        <v>25730.71</v>
      </c>
      <c r="T19" s="76">
        <f t="shared" si="7"/>
        <v>405.52</v>
      </c>
      <c r="U19" s="76">
        <v>25.35</v>
      </c>
      <c r="V19" s="76">
        <v>101.38</v>
      </c>
      <c r="W19" s="76">
        <v>21.12</v>
      </c>
      <c r="X19" s="76">
        <v>250</v>
      </c>
      <c r="Y19" s="77">
        <v>1334.66</v>
      </c>
      <c r="Z19" s="74">
        <f t="shared" si="3"/>
        <v>2138.03</v>
      </c>
      <c r="AA19" s="70">
        <f t="shared" si="4"/>
        <v>23592.68</v>
      </c>
      <c r="AB19" s="79"/>
    </row>
    <row r="20" s="1" customFormat="1" ht="60" customHeight="1" spans="1:34">
      <c r="A20" s="71">
        <v>17</v>
      </c>
      <c r="B20" s="71" t="s">
        <v>74</v>
      </c>
      <c r="C20" s="71" t="s">
        <v>70</v>
      </c>
      <c r="D20" s="71" t="s">
        <v>71</v>
      </c>
      <c r="E20" s="72"/>
      <c r="F20" s="72"/>
      <c r="G20" s="72"/>
      <c r="H20" s="72"/>
      <c r="I20" s="72">
        <f>E20*VLOOKUP(D20,职务序列取数!B:E,4,0)</f>
        <v>0</v>
      </c>
      <c r="J20" s="73"/>
      <c r="K20" s="72"/>
      <c r="L20" s="73"/>
      <c r="M20" s="73"/>
      <c r="N20" s="73">
        <v>295.6</v>
      </c>
      <c r="O20" s="74">
        <f t="shared" si="5"/>
        <v>295.6</v>
      </c>
      <c r="P20" s="73"/>
      <c r="Q20" s="73"/>
      <c r="R20" s="75">
        <f>VLOOKUP(B20,考勤!B:AI,34,0)</f>
        <v>0</v>
      </c>
      <c r="S20" s="70">
        <f t="shared" si="2"/>
        <v>295.6</v>
      </c>
      <c r="T20" s="76"/>
      <c r="U20" s="76"/>
      <c r="V20" s="76"/>
      <c r="W20" s="76"/>
      <c r="X20" s="76"/>
      <c r="Y20" s="77"/>
      <c r="Z20" s="74">
        <f t="shared" si="3"/>
        <v>0</v>
      </c>
      <c r="AA20" s="70">
        <f t="shared" si="4"/>
        <v>295.6</v>
      </c>
      <c r="AB20" s="79"/>
    </row>
    <row r="21" s="1" customFormat="1" ht="120" customHeight="1" spans="1:34">
      <c r="A21" s="71">
        <v>18</v>
      </c>
      <c r="B21" s="71" t="s">
        <v>75</v>
      </c>
      <c r="C21" s="71" t="s">
        <v>76</v>
      </c>
      <c r="D21" s="71" t="s">
        <v>44</v>
      </c>
      <c r="E21" s="72">
        <v>4000</v>
      </c>
      <c r="F21" s="72">
        <v>27</v>
      </c>
      <c r="G21" s="72">
        <f>E21*VLOOKUP(D21,职务序列取数!B:E,2,0)</f>
        <v>2800</v>
      </c>
      <c r="H21" s="72">
        <f>E21*VLOOKUP(D21,职务序列取数!B:E,3,0)</f>
        <v>1200</v>
      </c>
      <c r="I21" s="72"/>
      <c r="J21" s="73"/>
      <c r="K21" s="72">
        <v>-1200</v>
      </c>
      <c r="L21" s="73"/>
      <c r="M21" s="73"/>
      <c r="N21" s="73">
        <f>4791.62+992</f>
        <v>5783.62</v>
      </c>
      <c r="O21" s="74">
        <f t="shared" si="5"/>
        <v>4583.62</v>
      </c>
      <c r="P21" s="73">
        <f t="shared" si="0"/>
        <v>103.703703703704</v>
      </c>
      <c r="Q21" s="73">
        <f t="shared" si="1"/>
        <v>44.4444444444444</v>
      </c>
      <c r="R21" s="75">
        <f>VLOOKUP(B21,考勤!B:AI,34,0)</f>
        <v>27</v>
      </c>
      <c r="S21" s="70">
        <f t="shared" si="2"/>
        <v>8583.62000000001</v>
      </c>
      <c r="T21" s="76">
        <f t="shared" si="7"/>
        <v>405.52</v>
      </c>
      <c r="U21" s="76">
        <v>25.35</v>
      </c>
      <c r="V21" s="76">
        <v>101.38</v>
      </c>
      <c r="W21" s="76">
        <v>21.12</v>
      </c>
      <c r="X21" s="76">
        <v>250</v>
      </c>
      <c r="Y21" s="77"/>
      <c r="Z21" s="74">
        <f t="shared" si="3"/>
        <v>803.37</v>
      </c>
      <c r="AA21" s="70">
        <f t="shared" si="4"/>
        <v>7780.25000000001</v>
      </c>
      <c r="AB21" s="80" t="s">
        <v>77</v>
      </c>
    </row>
    <row r="22" s="1" customFormat="1" ht="50" customHeight="1" spans="1:34">
      <c r="A22" s="71">
        <v>19</v>
      </c>
      <c r="B22" s="71" t="s">
        <v>78</v>
      </c>
      <c r="C22" s="71" t="s">
        <v>70</v>
      </c>
      <c r="D22" s="71" t="s">
        <v>71</v>
      </c>
      <c r="E22" s="72">
        <v>4500</v>
      </c>
      <c r="F22" s="72">
        <v>27</v>
      </c>
      <c r="G22" s="72">
        <v>2450</v>
      </c>
      <c r="H22" s="72">
        <f>E22-G22</f>
        <v>2050</v>
      </c>
      <c r="I22" s="72">
        <f>E22*VLOOKUP(D22,职务序列取数!B:E,4,0)</f>
        <v>0</v>
      </c>
      <c r="J22" s="73"/>
      <c r="K22" s="72"/>
      <c r="L22" s="73"/>
      <c r="M22" s="73"/>
      <c r="N22" s="73">
        <v>480</v>
      </c>
      <c r="O22" s="74">
        <f t="shared" si="5"/>
        <v>480</v>
      </c>
      <c r="P22" s="73">
        <f t="shared" si="0"/>
        <v>90.7407407407407</v>
      </c>
      <c r="Q22" s="73">
        <f t="shared" si="1"/>
        <v>75.9259259259259</v>
      </c>
      <c r="R22" s="75">
        <f>VLOOKUP(B22,考勤!B:AI,34,0)</f>
        <v>27</v>
      </c>
      <c r="S22" s="70">
        <f t="shared" si="2"/>
        <v>4980</v>
      </c>
      <c r="T22" s="76">
        <f t="shared" si="7"/>
        <v>405.52</v>
      </c>
      <c r="U22" s="76">
        <v>25.35</v>
      </c>
      <c r="V22" s="76">
        <v>101.38</v>
      </c>
      <c r="W22" s="76">
        <v>21.12</v>
      </c>
      <c r="X22" s="76">
        <v>250</v>
      </c>
      <c r="Y22" s="77"/>
      <c r="Z22" s="74">
        <f t="shared" si="3"/>
        <v>803.37</v>
      </c>
      <c r="AA22" s="70">
        <f t="shared" si="4"/>
        <v>4176.63</v>
      </c>
      <c r="AB22" s="79"/>
    </row>
    <row r="23" s="1" customFormat="1" ht="50" customHeight="1" spans="1:34">
      <c r="A23" s="71">
        <v>20</v>
      </c>
      <c r="B23" s="71" t="s">
        <v>79</v>
      </c>
      <c r="C23" s="71" t="s">
        <v>70</v>
      </c>
      <c r="D23" s="71" t="s">
        <v>71</v>
      </c>
      <c r="E23" s="72"/>
      <c r="F23" s="72"/>
      <c r="G23" s="72"/>
      <c r="H23" s="72"/>
      <c r="I23" s="72">
        <f>E23*VLOOKUP(D23,职务序列取数!B:E,4,0)</f>
        <v>0</v>
      </c>
      <c r="J23" s="73"/>
      <c r="K23" s="72"/>
      <c r="L23" s="73"/>
      <c r="M23" s="73"/>
      <c r="N23" s="73">
        <v>5311.08</v>
      </c>
      <c r="O23" s="74">
        <f t="shared" si="5"/>
        <v>5311.08</v>
      </c>
      <c r="P23" s="73"/>
      <c r="Q23" s="73"/>
      <c r="R23" s="75">
        <f>VLOOKUP(B23,考勤!B:AI,34,0)</f>
        <v>0</v>
      </c>
      <c r="S23" s="70">
        <f t="shared" si="2"/>
        <v>5311.08</v>
      </c>
      <c r="T23" s="76"/>
      <c r="U23" s="76"/>
      <c r="V23" s="76"/>
      <c r="W23" s="76"/>
      <c r="X23" s="76"/>
      <c r="Y23" s="77">
        <f>-500+31.11</f>
        <v>-468.89</v>
      </c>
      <c r="Z23" s="74">
        <f t="shared" si="3"/>
        <v>-468.89</v>
      </c>
      <c r="AA23" s="70">
        <f t="shared" si="4"/>
        <v>5779.97</v>
      </c>
      <c r="AB23" s="78"/>
    </row>
    <row r="24" ht="55" customHeight="1" spans="1:34">
      <c r="A24" s="71"/>
      <c r="B24" s="63" t="s">
        <v>80</v>
      </c>
      <c r="C24" s="66"/>
      <c r="D24" s="70"/>
      <c r="E24" s="62">
        <f>SUM(E4:E23)</f>
        <v>171800</v>
      </c>
      <c r="F24" s="62"/>
      <c r="G24" s="70">
        <f t="shared" ref="G24:O24" si="8">SUM(G4:G23)</f>
        <v>111120</v>
      </c>
      <c r="H24" s="70">
        <f t="shared" si="8"/>
        <v>50480</v>
      </c>
      <c r="I24" s="70">
        <f t="shared" si="8"/>
        <v>10200</v>
      </c>
      <c r="J24" s="70">
        <f t="shared" si="8"/>
        <v>0</v>
      </c>
      <c r="K24" s="70">
        <f t="shared" si="8"/>
        <v>-6609</v>
      </c>
      <c r="L24" s="70">
        <f t="shared" si="8"/>
        <v>0</v>
      </c>
      <c r="M24" s="70">
        <f t="shared" si="8"/>
        <v>1310</v>
      </c>
      <c r="N24" s="70">
        <f t="shared" si="8"/>
        <v>37515.36</v>
      </c>
      <c r="O24" s="70">
        <f t="shared" si="8"/>
        <v>32216.36</v>
      </c>
      <c r="P24" s="70"/>
      <c r="Q24" s="70"/>
      <c r="R24" s="70"/>
      <c r="S24" s="70">
        <f>SUM(S4:S23)</f>
        <v>181673.502857143</v>
      </c>
      <c r="T24" s="70">
        <f t="shared" ref="S24:AA24" si="9">SUM(T4:T23)</f>
        <v>6488.32</v>
      </c>
      <c r="U24" s="70">
        <f t="shared" si="9"/>
        <v>405.6</v>
      </c>
      <c r="V24" s="70">
        <f t="shared" si="9"/>
        <v>1499.58</v>
      </c>
      <c r="W24" s="70">
        <f t="shared" si="9"/>
        <v>342.15</v>
      </c>
      <c r="X24" s="70">
        <f t="shared" si="9"/>
        <v>4200</v>
      </c>
      <c r="Y24" s="70">
        <f t="shared" si="9"/>
        <v>2853.52</v>
      </c>
      <c r="Z24" s="70">
        <f t="shared" si="9"/>
        <v>15789.17</v>
      </c>
      <c r="AA24" s="70">
        <f t="shared" si="9"/>
        <v>166687.702857143</v>
      </c>
      <c r="AB24" s="81"/>
    </row>
    <row r="25" ht="90" customHeight="1" spans="1:34">
      <c r="A25" s="82" t="s">
        <v>81</v>
      </c>
      <c r="B25" s="83" t="s">
        <v>82</v>
      </c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4"/>
      <c r="AD25" s="84"/>
      <c r="AE25" s="84"/>
      <c r="AF25" s="84"/>
      <c r="AG25" s="84"/>
      <c r="AH25" s="84"/>
    </row>
    <row r="27" s="56" customFormat="1" ht="150" customHeight="1" spans="1:34">
      <c r="B27" s="56" t="s">
        <v>83</v>
      </c>
      <c r="K27" s="56" t="s">
        <v>84</v>
      </c>
      <c r="R27" s="56" t="s">
        <v>85</v>
      </c>
      <c r="Y27" s="85"/>
      <c r="Z27" s="56" t="s">
        <v>86</v>
      </c>
    </row>
  </sheetData>
  <mergeCells count="10">
    <mergeCell ref="A1:AB1"/>
    <mergeCell ref="B2:I2"/>
    <mergeCell ref="J2:O2"/>
    <mergeCell ref="P2:S2"/>
    <mergeCell ref="T2:Z2"/>
    <mergeCell ref="B24:C24"/>
    <mergeCell ref="B25:AB25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29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R22" sqref="R22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52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3</v>
      </c>
      <c r="W1" s="11"/>
      <c r="X1" s="12" t="s">
        <v>87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52">
      <c r="A2" s="13"/>
      <c r="B2" s="14" t="s">
        <v>88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46113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52">
      <c r="A3" s="19" t="s">
        <v>31</v>
      </c>
      <c r="B3" s="19" t="s">
        <v>32</v>
      </c>
      <c r="C3" s="19" t="s">
        <v>89</v>
      </c>
      <c r="D3" s="20" t="s">
        <v>90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91</v>
      </c>
      <c r="AK3" s="23" t="s">
        <v>92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93</v>
      </c>
    </row>
    <row r="4" ht="20.1" customHeight="1" spans="1:52">
      <c r="A4" s="25"/>
      <c r="B4" s="25"/>
      <c r="C4" s="25"/>
      <c r="D4" s="26">
        <f>V1</f>
        <v>3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94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52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8" t="s">
        <v>95</v>
      </c>
      <c r="AL5" s="34" t="s">
        <v>96</v>
      </c>
      <c r="AM5" s="34" t="s">
        <v>97</v>
      </c>
      <c r="AN5" s="34" t="s">
        <v>98</v>
      </c>
      <c r="AO5" s="34" t="s">
        <v>99</v>
      </c>
      <c r="AP5" s="34" t="s">
        <v>100</v>
      </c>
      <c r="AQ5" s="34" t="s">
        <v>101</v>
      </c>
      <c r="AR5" s="34" t="s">
        <v>102</v>
      </c>
      <c r="AS5" s="35" t="s">
        <v>103</v>
      </c>
      <c r="AT5" s="35" t="s">
        <v>104</v>
      </c>
      <c r="AU5" s="35" t="s">
        <v>105</v>
      </c>
      <c r="AV5" s="35" t="s">
        <v>106</v>
      </c>
      <c r="AW5" s="35" t="s">
        <v>107</v>
      </c>
      <c r="AX5" s="35" t="s">
        <v>108</v>
      </c>
      <c r="AY5" s="35" t="s">
        <v>109</v>
      </c>
      <c r="AZ5" s="32"/>
    </row>
    <row r="6" s="6" customFormat="1" ht="25" customHeight="1" spans="1:52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97</v>
      </c>
      <c r="E6" s="39" t="s">
        <v>110</v>
      </c>
      <c r="F6" s="39" t="s">
        <v>110</v>
      </c>
      <c r="G6" s="39" t="s">
        <v>110</v>
      </c>
      <c r="H6" s="39" t="s">
        <v>110</v>
      </c>
      <c r="I6" s="39" t="s">
        <v>96</v>
      </c>
      <c r="J6" s="39" t="s">
        <v>97</v>
      </c>
      <c r="K6" s="39" t="s">
        <v>97</v>
      </c>
      <c r="L6" s="39" t="s">
        <v>110</v>
      </c>
      <c r="M6" s="39" t="s">
        <v>110</v>
      </c>
      <c r="N6" s="39" t="s">
        <v>110</v>
      </c>
      <c r="O6" s="39" t="s">
        <v>110</v>
      </c>
      <c r="P6" s="39" t="s">
        <v>110</v>
      </c>
      <c r="Q6" s="39" t="s">
        <v>97</v>
      </c>
      <c r="R6" s="39" t="s">
        <v>97</v>
      </c>
      <c r="S6" s="39" t="s">
        <v>110</v>
      </c>
      <c r="T6" s="39" t="s">
        <v>110</v>
      </c>
      <c r="U6" s="39" t="s">
        <v>110</v>
      </c>
      <c r="V6" s="39" t="s">
        <v>110</v>
      </c>
      <c r="W6" s="39" t="s">
        <v>97</v>
      </c>
      <c r="X6" s="39" t="s">
        <v>97</v>
      </c>
      <c r="Y6" s="39" t="s">
        <v>97</v>
      </c>
      <c r="Z6" s="39" t="s">
        <v>110</v>
      </c>
      <c r="AA6" s="39" t="s">
        <v>110</v>
      </c>
      <c r="AB6" s="39" t="s">
        <v>110</v>
      </c>
      <c r="AC6" s="39" t="s">
        <v>110</v>
      </c>
      <c r="AD6" s="39" t="s">
        <v>110</v>
      </c>
      <c r="AE6" s="39" t="s">
        <v>97</v>
      </c>
      <c r="AF6" s="39" t="s">
        <v>97</v>
      </c>
      <c r="AG6" s="39" t="s">
        <v>110</v>
      </c>
      <c r="AH6" s="39" t="s">
        <v>110</v>
      </c>
      <c r="AI6" s="36">
        <f t="shared" ref="AI6:AI31" si="0">AK6+AL6+AR6</f>
        <v>21</v>
      </c>
      <c r="AJ6" s="36">
        <f t="shared" ref="AJ6:AJ31" si="1">AM6</f>
        <v>10</v>
      </c>
      <c r="AK6" s="40">
        <f t="shared" ref="AK6:AK31" si="2">COUNTIF($D6:$AH6,"√")</f>
        <v>20</v>
      </c>
      <c r="AL6" s="40">
        <f t="shared" ref="AL6:AL31" si="3">COUNTIF($D6:$AH6,"出差")</f>
        <v>1</v>
      </c>
      <c r="AM6" s="40">
        <f t="shared" ref="AM6:AM31" si="4">COUNTIF($D6:$AH6,"公休")</f>
        <v>10</v>
      </c>
      <c r="AN6" s="40">
        <f t="shared" ref="AN6:AN28" si="5">COUNTIF($D6:$AH6,"病假")</f>
        <v>0</v>
      </c>
      <c r="AO6" s="40">
        <f t="shared" ref="AO6:AO28" si="6">COUNTIF($D6:$AH6,"事假")</f>
        <v>0</v>
      </c>
      <c r="AP6" s="40">
        <f t="shared" ref="AP6:AP28" si="7">COUNTIF($D6:$AH6,"旷工")</f>
        <v>0</v>
      </c>
      <c r="AQ6" s="40">
        <f t="shared" ref="AQ6:AQ28" si="8">COUNTIF($D6:$AH6,"工伤")</f>
        <v>0</v>
      </c>
      <c r="AR6" s="40">
        <f t="shared" ref="AR6:AR28" si="9">COUNTIF($D6:$AH6,"培训")</f>
        <v>0</v>
      </c>
      <c r="AS6" s="40">
        <f t="shared" ref="AS6:AS28" si="10">COUNTIF($D6:$AH6,"冬休")</f>
        <v>0</v>
      </c>
      <c r="AT6" s="40">
        <f t="shared" ref="AT6:AT28" si="11">COUNTIF($D6:$AH6,"休假")</f>
        <v>0</v>
      </c>
      <c r="AU6" s="40">
        <f t="shared" ref="AU6:AU28" si="12">COUNTIF($D6:$AH6,"探亲")</f>
        <v>0</v>
      </c>
      <c r="AV6" s="40">
        <f t="shared" ref="AV6:AV28" si="13">COUNTIF($D6:$AH6,"产假")</f>
        <v>0</v>
      </c>
      <c r="AW6" s="40">
        <f t="shared" ref="AW6:AW28" si="14">COUNTIF($D6:$AH6,"陪护假")</f>
        <v>0</v>
      </c>
      <c r="AX6" s="40">
        <f t="shared" ref="AX6:AX28" si="15">COUNTIF($D6:$AH6,"婚丧假")</f>
        <v>0</v>
      </c>
      <c r="AY6" s="40">
        <f t="shared" ref="AY6:AY28" si="16">COUNTIF($D6:$AH6,"待岗")</f>
        <v>0</v>
      </c>
      <c r="AZ6" s="41"/>
    </row>
    <row r="7" s="6" customFormat="1" ht="25" customHeight="1" spans="1:52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97</v>
      </c>
      <c r="E7" s="39" t="s">
        <v>110</v>
      </c>
      <c r="F7" s="39" t="s">
        <v>110</v>
      </c>
      <c r="G7" s="39" t="s">
        <v>110</v>
      </c>
      <c r="H7" s="39" t="s">
        <v>110</v>
      </c>
      <c r="I7" s="39" t="s">
        <v>110</v>
      </c>
      <c r="J7" s="39" t="s">
        <v>97</v>
      </c>
      <c r="K7" s="39" t="s">
        <v>97</v>
      </c>
      <c r="L7" s="39" t="s">
        <v>110</v>
      </c>
      <c r="M7" s="39" t="s">
        <v>110</v>
      </c>
      <c r="N7" s="39" t="s">
        <v>110</v>
      </c>
      <c r="O7" s="39" t="s">
        <v>110</v>
      </c>
      <c r="P7" s="39" t="s">
        <v>110</v>
      </c>
      <c r="Q7" s="39" t="s">
        <v>97</v>
      </c>
      <c r="R7" s="39" t="s">
        <v>97</v>
      </c>
      <c r="S7" s="39" t="s">
        <v>110</v>
      </c>
      <c r="T7" s="39" t="s">
        <v>110</v>
      </c>
      <c r="U7" s="39" t="s">
        <v>110</v>
      </c>
      <c r="V7" s="39" t="s">
        <v>110</v>
      </c>
      <c r="W7" s="39" t="s">
        <v>97</v>
      </c>
      <c r="X7" s="39" t="s">
        <v>97</v>
      </c>
      <c r="Y7" s="39" t="s">
        <v>97</v>
      </c>
      <c r="Z7" s="39" t="s">
        <v>110</v>
      </c>
      <c r="AA7" s="39" t="s">
        <v>110</v>
      </c>
      <c r="AB7" s="39" t="s">
        <v>110</v>
      </c>
      <c r="AC7" s="39" t="s">
        <v>110</v>
      </c>
      <c r="AD7" s="39" t="s">
        <v>110</v>
      </c>
      <c r="AE7" s="39" t="s">
        <v>97</v>
      </c>
      <c r="AF7" s="39" t="s">
        <v>97</v>
      </c>
      <c r="AG7" s="39" t="s">
        <v>110</v>
      </c>
      <c r="AH7" s="39" t="s">
        <v>110</v>
      </c>
      <c r="AI7" s="36">
        <f t="shared" si="0"/>
        <v>21</v>
      </c>
      <c r="AJ7" s="36">
        <f t="shared" si="1"/>
        <v>10</v>
      </c>
      <c r="AK7" s="40">
        <f t="shared" si="2"/>
        <v>21</v>
      </c>
      <c r="AL7" s="40">
        <f t="shared" si="3"/>
        <v>0</v>
      </c>
      <c r="AM7" s="40">
        <f t="shared" si="4"/>
        <v>10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 t="shared" si="15"/>
        <v>0</v>
      </c>
      <c r="AY7" s="40">
        <f t="shared" si="16"/>
        <v>0</v>
      </c>
      <c r="AZ7" s="41"/>
    </row>
    <row r="8" s="6" customFormat="1" ht="25" customHeight="1" spans="1:52">
      <c r="A8" s="36">
        <v>3</v>
      </c>
      <c r="B8" s="37" t="str">
        <f>工资表!B6</f>
        <v>管锡哲</v>
      </c>
      <c r="C8" s="38" t="str">
        <f>工资表!C6</f>
        <v>工程主管</v>
      </c>
      <c r="D8" s="39" t="s">
        <v>97</v>
      </c>
      <c r="E8" s="39" t="s">
        <v>110</v>
      </c>
      <c r="F8" s="39" t="s">
        <v>110</v>
      </c>
      <c r="G8" s="39" t="s">
        <v>110</v>
      </c>
      <c r="H8" s="39" t="s">
        <v>110</v>
      </c>
      <c r="I8" s="39" t="s">
        <v>110</v>
      </c>
      <c r="J8" s="39" t="s">
        <v>97</v>
      </c>
      <c r="K8" s="39" t="s">
        <v>97</v>
      </c>
      <c r="L8" s="39" t="s">
        <v>110</v>
      </c>
      <c r="M8" s="39" t="s">
        <v>110</v>
      </c>
      <c r="N8" s="39" t="s">
        <v>110</v>
      </c>
      <c r="O8" s="39" t="s">
        <v>110</v>
      </c>
      <c r="P8" s="39" t="s">
        <v>110</v>
      </c>
      <c r="Q8" s="39" t="s">
        <v>97</v>
      </c>
      <c r="R8" s="39" t="s">
        <v>97</v>
      </c>
      <c r="S8" s="39" t="s">
        <v>110</v>
      </c>
      <c r="T8" s="39" t="s">
        <v>110</v>
      </c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6">
        <f t="shared" si="0"/>
        <v>12</v>
      </c>
      <c r="AJ8" s="36">
        <f t="shared" si="1"/>
        <v>5</v>
      </c>
      <c r="AK8" s="40">
        <f t="shared" si="2"/>
        <v>12</v>
      </c>
      <c r="AL8" s="40">
        <f t="shared" si="3"/>
        <v>0</v>
      </c>
      <c r="AM8" s="40">
        <f t="shared" si="4"/>
        <v>5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 t="shared" si="15"/>
        <v>0</v>
      </c>
      <c r="AY8" s="40">
        <f t="shared" si="16"/>
        <v>0</v>
      </c>
      <c r="AZ8" s="41"/>
    </row>
    <row r="9" s="6" customFormat="1" ht="25" customHeight="1" spans="1:52">
      <c r="A9" s="36">
        <v>4</v>
      </c>
      <c r="B9" s="37" t="str">
        <f>工资表!B7</f>
        <v>徐惠蓉</v>
      </c>
      <c r="C9" s="38" t="str">
        <f>工资表!C7</f>
        <v>投资开发部副经理</v>
      </c>
      <c r="D9" s="39" t="s">
        <v>97</v>
      </c>
      <c r="E9" s="39" t="s">
        <v>110</v>
      </c>
      <c r="F9" s="39" t="s">
        <v>110</v>
      </c>
      <c r="G9" s="39" t="s">
        <v>110</v>
      </c>
      <c r="H9" s="39" t="s">
        <v>110</v>
      </c>
      <c r="I9" s="39" t="s">
        <v>110</v>
      </c>
      <c r="J9" s="39" t="s">
        <v>97</v>
      </c>
      <c r="K9" s="39" t="s">
        <v>97</v>
      </c>
      <c r="L9" s="39" t="s">
        <v>110</v>
      </c>
      <c r="M9" s="39" t="s">
        <v>110</v>
      </c>
      <c r="N9" s="39" t="s">
        <v>110</v>
      </c>
      <c r="O9" s="39" t="s">
        <v>110</v>
      </c>
      <c r="P9" s="39" t="s">
        <v>110</v>
      </c>
      <c r="Q9" s="39" t="s">
        <v>97</v>
      </c>
      <c r="R9" s="39" t="s">
        <v>97</v>
      </c>
      <c r="S9" s="39" t="s">
        <v>110</v>
      </c>
      <c r="T9" s="39" t="s">
        <v>110</v>
      </c>
      <c r="U9" s="39" t="s">
        <v>110</v>
      </c>
      <c r="V9" s="39" t="s">
        <v>110</v>
      </c>
      <c r="W9" s="39" t="s">
        <v>97</v>
      </c>
      <c r="X9" s="39" t="s">
        <v>97</v>
      </c>
      <c r="Y9" s="39" t="s">
        <v>97</v>
      </c>
      <c r="Z9" s="39" t="s">
        <v>110</v>
      </c>
      <c r="AA9" s="39" t="s">
        <v>110</v>
      </c>
      <c r="AB9" s="39" t="s">
        <v>110</v>
      </c>
      <c r="AC9" s="39" t="s">
        <v>110</v>
      </c>
      <c r="AD9" s="39" t="s">
        <v>110</v>
      </c>
      <c r="AE9" s="39" t="s">
        <v>97</v>
      </c>
      <c r="AF9" s="39" t="s">
        <v>97</v>
      </c>
      <c r="AG9" s="39" t="s">
        <v>110</v>
      </c>
      <c r="AH9" s="39" t="s">
        <v>110</v>
      </c>
      <c r="AI9" s="36">
        <f t="shared" si="0"/>
        <v>21</v>
      </c>
      <c r="AJ9" s="36">
        <f t="shared" si="1"/>
        <v>10</v>
      </c>
      <c r="AK9" s="40">
        <f t="shared" si="2"/>
        <v>21</v>
      </c>
      <c r="AL9" s="40">
        <f t="shared" si="3"/>
        <v>0</v>
      </c>
      <c r="AM9" s="40">
        <f t="shared" si="4"/>
        <v>10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>
        <f t="shared" si="15"/>
        <v>0</v>
      </c>
      <c r="AY9" s="40">
        <f t="shared" si="16"/>
        <v>0</v>
      </c>
      <c r="AZ9" s="41"/>
    </row>
    <row r="10" s="6" customFormat="1" ht="25" customHeight="1" spans="1:52">
      <c r="A10" s="36">
        <v>5</v>
      </c>
      <c r="B10" s="37" t="str">
        <f>工资表!B8</f>
        <v>沈陈瑾慧</v>
      </c>
      <c r="C10" s="38" t="str">
        <f>工资表!C8</f>
        <v>会计</v>
      </c>
      <c r="D10" s="39" t="s">
        <v>111</v>
      </c>
      <c r="E10" s="39" t="s">
        <v>111</v>
      </c>
      <c r="F10" s="39" t="s">
        <v>111</v>
      </c>
      <c r="G10" s="39" t="s">
        <v>111</v>
      </c>
      <c r="H10" s="39" t="s">
        <v>111</v>
      </c>
      <c r="I10" s="39" t="s">
        <v>111</v>
      </c>
      <c r="J10" s="39" t="s">
        <v>111</v>
      </c>
      <c r="K10" s="39" t="s">
        <v>111</v>
      </c>
      <c r="L10" s="39" t="s">
        <v>111</v>
      </c>
      <c r="M10" s="39" t="s">
        <v>111</v>
      </c>
      <c r="N10" s="39" t="s">
        <v>111</v>
      </c>
      <c r="O10" s="39" t="s">
        <v>111</v>
      </c>
      <c r="P10" s="39" t="s">
        <v>111</v>
      </c>
      <c r="Q10" s="39" t="s">
        <v>111</v>
      </c>
      <c r="R10" s="39" t="s">
        <v>111</v>
      </c>
      <c r="S10" s="39" t="s">
        <v>111</v>
      </c>
      <c r="T10" s="39" t="s">
        <v>111</v>
      </c>
      <c r="U10" s="39" t="s">
        <v>111</v>
      </c>
      <c r="V10" s="39" t="s">
        <v>111</v>
      </c>
      <c r="W10" s="39" t="s">
        <v>111</v>
      </c>
      <c r="X10" s="39" t="s">
        <v>111</v>
      </c>
      <c r="Y10" s="39" t="s">
        <v>111</v>
      </c>
      <c r="Z10" s="39" t="s">
        <v>111</v>
      </c>
      <c r="AA10" s="39" t="s">
        <v>111</v>
      </c>
      <c r="AB10" s="39" t="s">
        <v>111</v>
      </c>
      <c r="AC10" s="39" t="s">
        <v>111</v>
      </c>
      <c r="AD10" s="39" t="s">
        <v>111</v>
      </c>
      <c r="AE10" s="39" t="s">
        <v>111</v>
      </c>
      <c r="AF10" s="39" t="s">
        <v>111</v>
      </c>
      <c r="AG10" s="39" t="s">
        <v>111</v>
      </c>
      <c r="AH10" s="39" t="s">
        <v>111</v>
      </c>
      <c r="AI10" s="36">
        <f t="shared" si="0"/>
        <v>0</v>
      </c>
      <c r="AJ10" s="36">
        <f t="shared" si="1"/>
        <v>0</v>
      </c>
      <c r="AK10" s="40">
        <f t="shared" si="2"/>
        <v>0</v>
      </c>
      <c r="AL10" s="40">
        <f t="shared" si="3"/>
        <v>0</v>
      </c>
      <c r="AM10" s="40">
        <f t="shared" si="4"/>
        <v>0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31</v>
      </c>
      <c r="AW10" s="40">
        <f t="shared" si="14"/>
        <v>0</v>
      </c>
      <c r="AX10" s="40"/>
      <c r="AY10" s="40">
        <f t="shared" si="16"/>
        <v>0</v>
      </c>
      <c r="AZ10" s="41"/>
    </row>
    <row r="11" s="6" customFormat="1" ht="25" customHeight="1" spans="1:52">
      <c r="A11" s="36">
        <v>6</v>
      </c>
      <c r="B11" s="37" t="str">
        <f>工资表!B9</f>
        <v>管丽萍</v>
      </c>
      <c r="C11" s="38" t="str">
        <f>工资表!C9</f>
        <v>人事运营</v>
      </c>
      <c r="D11" s="39" t="s">
        <v>97</v>
      </c>
      <c r="E11" s="39" t="s">
        <v>110</v>
      </c>
      <c r="F11" s="39" t="s">
        <v>110</v>
      </c>
      <c r="G11" s="39" t="s">
        <v>110</v>
      </c>
      <c r="H11" s="39" t="s">
        <v>110</v>
      </c>
      <c r="I11" s="39" t="s">
        <v>110</v>
      </c>
      <c r="J11" s="39" t="s">
        <v>97</v>
      </c>
      <c r="K11" s="39" t="s">
        <v>97</v>
      </c>
      <c r="L11" s="39" t="s">
        <v>110</v>
      </c>
      <c r="M11" s="39" t="s">
        <v>110</v>
      </c>
      <c r="N11" s="39" t="s">
        <v>110</v>
      </c>
      <c r="O11" s="39" t="s">
        <v>110</v>
      </c>
      <c r="P11" s="39" t="s">
        <v>110</v>
      </c>
      <c r="Q11" s="39" t="s">
        <v>97</v>
      </c>
      <c r="R11" s="39" t="s">
        <v>97</v>
      </c>
      <c r="S11" s="39" t="s">
        <v>110</v>
      </c>
      <c r="T11" s="39" t="s">
        <v>110</v>
      </c>
      <c r="U11" s="39" t="s">
        <v>110</v>
      </c>
      <c r="V11" s="39" t="s">
        <v>110</v>
      </c>
      <c r="W11" s="39" t="s">
        <v>97</v>
      </c>
      <c r="X11" s="39" t="s">
        <v>97</v>
      </c>
      <c r="Y11" s="39" t="s">
        <v>97</v>
      </c>
      <c r="Z11" s="39" t="s">
        <v>110</v>
      </c>
      <c r="AA11" s="39" t="s">
        <v>110</v>
      </c>
      <c r="AB11" s="39" t="s">
        <v>110</v>
      </c>
      <c r="AC11" s="39" t="s">
        <v>110</v>
      </c>
      <c r="AD11" s="39" t="s">
        <v>110</v>
      </c>
      <c r="AE11" s="39" t="s">
        <v>97</v>
      </c>
      <c r="AF11" s="39" t="s">
        <v>97</v>
      </c>
      <c r="AG11" s="39" t="s">
        <v>110</v>
      </c>
      <c r="AH11" s="39" t="s">
        <v>110</v>
      </c>
      <c r="AI11" s="36">
        <f t="shared" si="0"/>
        <v>21</v>
      </c>
      <c r="AJ11" s="36">
        <f t="shared" si="1"/>
        <v>10</v>
      </c>
      <c r="AK11" s="40">
        <f t="shared" si="2"/>
        <v>21</v>
      </c>
      <c r="AL11" s="40">
        <f t="shared" si="3"/>
        <v>0</v>
      </c>
      <c r="AM11" s="40">
        <f t="shared" si="4"/>
        <v>10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5"/>
        <v>0</v>
      </c>
      <c r="AY11" s="40">
        <f t="shared" si="16"/>
        <v>0</v>
      </c>
      <c r="AZ11" s="41"/>
    </row>
    <row r="12" s="6" customFormat="1" ht="25" customHeight="1" spans="1:52">
      <c r="A12" s="36">
        <v>7</v>
      </c>
      <c r="B12" s="37" t="str">
        <f>工资表!B10</f>
        <v>刘科</v>
      </c>
      <c r="C12" s="38" t="str">
        <f>工资表!C10</f>
        <v>招采工程师</v>
      </c>
      <c r="D12" s="39" t="s">
        <v>97</v>
      </c>
      <c r="E12" s="39" t="s">
        <v>110</v>
      </c>
      <c r="F12" s="39" t="s">
        <v>110</v>
      </c>
      <c r="G12" s="39" t="s">
        <v>110</v>
      </c>
      <c r="H12" s="39" t="s">
        <v>110</v>
      </c>
      <c r="I12" s="39" t="s">
        <v>110</v>
      </c>
      <c r="J12" s="39" t="s">
        <v>97</v>
      </c>
      <c r="K12" s="39" t="s">
        <v>97</v>
      </c>
      <c r="L12" s="39" t="s">
        <v>110</v>
      </c>
      <c r="M12" s="39" t="s">
        <v>110</v>
      </c>
      <c r="N12" s="39" t="s">
        <v>110</v>
      </c>
      <c r="O12" s="39" t="s">
        <v>110</v>
      </c>
      <c r="P12" s="39" t="s">
        <v>110</v>
      </c>
      <c r="Q12" s="39" t="s">
        <v>97</v>
      </c>
      <c r="R12" s="39" t="s">
        <v>97</v>
      </c>
      <c r="S12" s="39" t="s">
        <v>110</v>
      </c>
      <c r="T12" s="39" t="s">
        <v>110</v>
      </c>
      <c r="U12" s="39" t="s">
        <v>110</v>
      </c>
      <c r="V12" s="39" t="s">
        <v>110</v>
      </c>
      <c r="W12" s="39" t="s">
        <v>97</v>
      </c>
      <c r="X12" s="39" t="s">
        <v>97</v>
      </c>
      <c r="Y12" s="39" t="s">
        <v>97</v>
      </c>
      <c r="Z12" s="39" t="s">
        <v>110</v>
      </c>
      <c r="AA12" s="39" t="s">
        <v>110</v>
      </c>
      <c r="AB12" s="39" t="s">
        <v>110</v>
      </c>
      <c r="AC12" s="39" t="s">
        <v>110</v>
      </c>
      <c r="AD12" s="39" t="s">
        <v>110</v>
      </c>
      <c r="AE12" s="39" t="s">
        <v>97</v>
      </c>
      <c r="AF12" s="39" t="s">
        <v>97</v>
      </c>
      <c r="AG12" s="39" t="s">
        <v>110</v>
      </c>
      <c r="AH12" s="39" t="s">
        <v>110</v>
      </c>
      <c r="AI12" s="36">
        <f t="shared" si="0"/>
        <v>21</v>
      </c>
      <c r="AJ12" s="36">
        <f t="shared" si="1"/>
        <v>10</v>
      </c>
      <c r="AK12" s="40">
        <f t="shared" si="2"/>
        <v>21</v>
      </c>
      <c r="AL12" s="40">
        <f t="shared" si="3"/>
        <v>0</v>
      </c>
      <c r="AM12" s="40">
        <f t="shared" si="4"/>
        <v>10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5"/>
        <v>0</v>
      </c>
      <c r="AY12" s="40">
        <f t="shared" si="16"/>
        <v>0</v>
      </c>
      <c r="AZ12" s="41"/>
    </row>
    <row r="13" s="6" customFormat="1" ht="25" customHeight="1" spans="1:52">
      <c r="A13" s="36">
        <v>8</v>
      </c>
      <c r="B13" s="37" t="str">
        <f>工资表!B11</f>
        <v>高建梅</v>
      </c>
      <c r="C13" s="38" t="str">
        <f>工资表!C11</f>
        <v>出纳</v>
      </c>
      <c r="D13" s="39" t="s">
        <v>97</v>
      </c>
      <c r="E13" s="39" t="s">
        <v>110</v>
      </c>
      <c r="F13" s="39" t="s">
        <v>110</v>
      </c>
      <c r="G13" s="39" t="s">
        <v>110</v>
      </c>
      <c r="H13" s="39" t="s">
        <v>110</v>
      </c>
      <c r="I13" s="39" t="s">
        <v>110</v>
      </c>
      <c r="J13" s="39" t="s">
        <v>97</v>
      </c>
      <c r="K13" s="39" t="s">
        <v>97</v>
      </c>
      <c r="L13" s="39" t="s">
        <v>110</v>
      </c>
      <c r="M13" s="39" t="s">
        <v>110</v>
      </c>
      <c r="N13" s="39" t="s">
        <v>110</v>
      </c>
      <c r="O13" s="39" t="s">
        <v>110</v>
      </c>
      <c r="P13" s="39" t="s">
        <v>110</v>
      </c>
      <c r="Q13" s="39" t="s">
        <v>97</v>
      </c>
      <c r="R13" s="39" t="s">
        <v>97</v>
      </c>
      <c r="S13" s="39" t="s">
        <v>110</v>
      </c>
      <c r="T13" s="39" t="s">
        <v>110</v>
      </c>
      <c r="U13" s="39" t="s">
        <v>110</v>
      </c>
      <c r="V13" s="39" t="s">
        <v>110</v>
      </c>
      <c r="W13" s="39" t="s">
        <v>97</v>
      </c>
      <c r="X13" s="39" t="s">
        <v>97</v>
      </c>
      <c r="Y13" s="39" t="s">
        <v>97</v>
      </c>
      <c r="Z13" s="39" t="s">
        <v>110</v>
      </c>
      <c r="AA13" s="39" t="s">
        <v>110</v>
      </c>
      <c r="AB13" s="39" t="s">
        <v>110</v>
      </c>
      <c r="AC13" s="39" t="s">
        <v>110</v>
      </c>
      <c r="AD13" s="39" t="s">
        <v>110</v>
      </c>
      <c r="AE13" s="39" t="s">
        <v>97</v>
      </c>
      <c r="AF13" s="39" t="s">
        <v>97</v>
      </c>
      <c r="AG13" s="39" t="s">
        <v>110</v>
      </c>
      <c r="AH13" s="39" t="s">
        <v>110</v>
      </c>
      <c r="AI13" s="36">
        <f t="shared" si="0"/>
        <v>21</v>
      </c>
      <c r="AJ13" s="36">
        <f t="shared" si="1"/>
        <v>10</v>
      </c>
      <c r="AK13" s="40">
        <f t="shared" si="2"/>
        <v>21</v>
      </c>
      <c r="AL13" s="40">
        <f t="shared" si="3"/>
        <v>0</v>
      </c>
      <c r="AM13" s="40">
        <f t="shared" si="4"/>
        <v>10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5"/>
        <v>0</v>
      </c>
      <c r="AY13" s="40">
        <f t="shared" si="16"/>
        <v>0</v>
      </c>
      <c r="AZ13" s="41"/>
    </row>
    <row r="14" s="6" customFormat="1" ht="25" customHeight="1" spans="1:52">
      <c r="A14" s="36">
        <v>9</v>
      </c>
      <c r="B14" s="37" t="str">
        <f>工资表!B12</f>
        <v>周佳奇</v>
      </c>
      <c r="C14" s="38" t="str">
        <f>工资表!C12</f>
        <v>造价工程师</v>
      </c>
      <c r="D14" s="39" t="s">
        <v>97</v>
      </c>
      <c r="E14" s="39" t="s">
        <v>110</v>
      </c>
      <c r="F14" s="39" t="s">
        <v>110</v>
      </c>
      <c r="G14" s="39" t="s">
        <v>110</v>
      </c>
      <c r="H14" s="39" t="s">
        <v>110</v>
      </c>
      <c r="I14" s="39" t="s">
        <v>110</v>
      </c>
      <c r="J14" s="39" t="s">
        <v>97</v>
      </c>
      <c r="K14" s="39" t="s">
        <v>97</v>
      </c>
      <c r="L14" s="39" t="s">
        <v>110</v>
      </c>
      <c r="M14" s="39" t="s">
        <v>110</v>
      </c>
      <c r="N14" s="39" t="s">
        <v>110</v>
      </c>
      <c r="O14" s="39" t="s">
        <v>110</v>
      </c>
      <c r="P14" s="39" t="s">
        <v>110</v>
      </c>
      <c r="Q14" s="39" t="s">
        <v>97</v>
      </c>
      <c r="R14" s="39" t="s">
        <v>97</v>
      </c>
      <c r="S14" s="39" t="s">
        <v>110</v>
      </c>
      <c r="T14" s="39" t="s">
        <v>110</v>
      </c>
      <c r="U14" s="39" t="s">
        <v>110</v>
      </c>
      <c r="V14" s="39" t="s">
        <v>110</v>
      </c>
      <c r="W14" s="39" t="s">
        <v>97</v>
      </c>
      <c r="X14" s="39" t="s">
        <v>97</v>
      </c>
      <c r="Y14" s="39" t="s">
        <v>97</v>
      </c>
      <c r="Z14" s="39" t="s">
        <v>110</v>
      </c>
      <c r="AA14" s="39" t="s">
        <v>110</v>
      </c>
      <c r="AB14" s="39" t="s">
        <v>110</v>
      </c>
      <c r="AC14" s="39" t="s">
        <v>110</v>
      </c>
      <c r="AD14" s="39" t="s">
        <v>110</v>
      </c>
      <c r="AE14" s="39" t="s">
        <v>97</v>
      </c>
      <c r="AF14" s="39" t="s">
        <v>97</v>
      </c>
      <c r="AG14" s="39" t="s">
        <v>110</v>
      </c>
      <c r="AH14" s="39" t="s">
        <v>110</v>
      </c>
      <c r="AI14" s="36">
        <f t="shared" si="0"/>
        <v>21</v>
      </c>
      <c r="AJ14" s="36">
        <f t="shared" si="1"/>
        <v>10</v>
      </c>
      <c r="AK14" s="40">
        <f t="shared" si="2"/>
        <v>21</v>
      </c>
      <c r="AL14" s="40">
        <f t="shared" si="3"/>
        <v>0</v>
      </c>
      <c r="AM14" s="40">
        <f t="shared" si="4"/>
        <v>10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5"/>
        <v>0</v>
      </c>
      <c r="AY14" s="40">
        <f t="shared" si="16"/>
        <v>0</v>
      </c>
      <c r="AZ14" s="41"/>
    </row>
    <row r="15" s="6" customFormat="1" ht="25" customHeight="1" spans="1:52">
      <c r="A15" s="36">
        <v>10</v>
      </c>
      <c r="B15" s="37" t="str">
        <f>工资表!B13</f>
        <v>白媛媛</v>
      </c>
      <c r="C15" s="38" t="str">
        <f>工资表!C13</f>
        <v>开发报建工程师</v>
      </c>
      <c r="D15" s="39" t="s">
        <v>97</v>
      </c>
      <c r="E15" s="39" t="s">
        <v>110</v>
      </c>
      <c r="F15" s="39" t="s">
        <v>110</v>
      </c>
      <c r="G15" s="39" t="s">
        <v>110</v>
      </c>
      <c r="H15" s="39" t="s">
        <v>110</v>
      </c>
      <c r="I15" s="39" t="s">
        <v>110</v>
      </c>
      <c r="J15" s="39" t="s">
        <v>97</v>
      </c>
      <c r="K15" s="39" t="s">
        <v>97</v>
      </c>
      <c r="L15" s="39" t="s">
        <v>110</v>
      </c>
      <c r="M15" s="39" t="s">
        <v>110</v>
      </c>
      <c r="N15" s="39" t="s">
        <v>110</v>
      </c>
      <c r="O15" s="39" t="s">
        <v>110</v>
      </c>
      <c r="P15" s="39" t="s">
        <v>110</v>
      </c>
      <c r="Q15" s="39" t="s">
        <v>97</v>
      </c>
      <c r="R15" s="39" t="s">
        <v>97</v>
      </c>
      <c r="S15" s="39" t="s">
        <v>110</v>
      </c>
      <c r="T15" s="39" t="s">
        <v>110</v>
      </c>
      <c r="U15" s="39" t="s">
        <v>110</v>
      </c>
      <c r="V15" s="39" t="s">
        <v>110</v>
      </c>
      <c r="W15" s="39" t="s">
        <v>97</v>
      </c>
      <c r="X15" s="39" t="s">
        <v>97</v>
      </c>
      <c r="Y15" s="39" t="s">
        <v>97</v>
      </c>
      <c r="Z15" s="39" t="s">
        <v>110</v>
      </c>
      <c r="AA15" s="39" t="s">
        <v>110</v>
      </c>
      <c r="AB15" s="39" t="s">
        <v>110</v>
      </c>
      <c r="AC15" s="39" t="s">
        <v>110</v>
      </c>
      <c r="AD15" s="39" t="s">
        <v>110</v>
      </c>
      <c r="AE15" s="39" t="s">
        <v>97</v>
      </c>
      <c r="AF15" s="39" t="s">
        <v>97</v>
      </c>
      <c r="AG15" s="39" t="s">
        <v>110</v>
      </c>
      <c r="AH15" s="39" t="s">
        <v>110</v>
      </c>
      <c r="AI15" s="36">
        <f t="shared" si="0"/>
        <v>21</v>
      </c>
      <c r="AJ15" s="36">
        <f t="shared" si="1"/>
        <v>10</v>
      </c>
      <c r="AK15" s="40">
        <f t="shared" si="2"/>
        <v>21</v>
      </c>
      <c r="AL15" s="40">
        <f t="shared" si="3"/>
        <v>0</v>
      </c>
      <c r="AM15" s="40">
        <f t="shared" si="4"/>
        <v>10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5"/>
        <v>0</v>
      </c>
      <c r="AY15" s="40">
        <f t="shared" si="16"/>
        <v>0</v>
      </c>
      <c r="AZ15" s="41"/>
    </row>
    <row r="16" s="6" customFormat="1" ht="25" customHeight="1" spans="1:52">
      <c r="A16" s="36">
        <v>11</v>
      </c>
      <c r="B16" s="37" t="str">
        <f>工资表!B14</f>
        <v>温进进</v>
      </c>
      <c r="C16" s="38" t="str">
        <f>工资表!C14</f>
        <v>土建工程师</v>
      </c>
      <c r="D16" s="39" t="s">
        <v>97</v>
      </c>
      <c r="E16" s="39" t="s">
        <v>110</v>
      </c>
      <c r="F16" s="39" t="s">
        <v>110</v>
      </c>
      <c r="G16" s="39" t="s">
        <v>110</v>
      </c>
      <c r="H16" s="39" t="s">
        <v>110</v>
      </c>
      <c r="I16" s="39" t="s">
        <v>110</v>
      </c>
      <c r="J16" s="39" t="s">
        <v>97</v>
      </c>
      <c r="K16" s="39" t="s">
        <v>97</v>
      </c>
      <c r="L16" s="39" t="s">
        <v>110</v>
      </c>
      <c r="M16" s="39" t="s">
        <v>110</v>
      </c>
      <c r="N16" s="39" t="s">
        <v>110</v>
      </c>
      <c r="O16" s="39" t="s">
        <v>110</v>
      </c>
      <c r="P16" s="39" t="s">
        <v>110</v>
      </c>
      <c r="Q16" s="39" t="s">
        <v>97</v>
      </c>
      <c r="R16" s="39" t="s">
        <v>97</v>
      </c>
      <c r="S16" s="39" t="s">
        <v>110</v>
      </c>
      <c r="T16" s="39" t="s">
        <v>110</v>
      </c>
      <c r="U16" s="39" t="s">
        <v>110</v>
      </c>
      <c r="V16" s="39" t="s">
        <v>110</v>
      </c>
      <c r="W16" s="39" t="s">
        <v>97</v>
      </c>
      <c r="X16" s="39" t="s">
        <v>97</v>
      </c>
      <c r="Y16" s="39" t="s">
        <v>97</v>
      </c>
      <c r="Z16" s="39" t="s">
        <v>110</v>
      </c>
      <c r="AA16" s="39" t="s">
        <v>110</v>
      </c>
      <c r="AB16" s="39" t="s">
        <v>110</v>
      </c>
      <c r="AC16" s="39" t="s">
        <v>110</v>
      </c>
      <c r="AD16" s="39" t="s">
        <v>110</v>
      </c>
      <c r="AE16" s="39" t="s">
        <v>97</v>
      </c>
      <c r="AF16" s="39" t="s">
        <v>97</v>
      </c>
      <c r="AG16" s="39" t="s">
        <v>110</v>
      </c>
      <c r="AH16" s="39" t="s">
        <v>110</v>
      </c>
      <c r="AI16" s="36">
        <f t="shared" si="0"/>
        <v>21</v>
      </c>
      <c r="AJ16" s="36">
        <f t="shared" si="1"/>
        <v>10</v>
      </c>
      <c r="AK16" s="40">
        <f t="shared" si="2"/>
        <v>21</v>
      </c>
      <c r="AL16" s="40">
        <f t="shared" si="3"/>
        <v>0</v>
      </c>
      <c r="AM16" s="40">
        <f t="shared" si="4"/>
        <v>10</v>
      </c>
      <c r="AN16" s="40">
        <f t="shared" si="5"/>
        <v>0</v>
      </c>
      <c r="AO16" s="40">
        <f t="shared" si="6"/>
        <v>0</v>
      </c>
      <c r="AP16" s="40">
        <f t="shared" si="7"/>
        <v>0</v>
      </c>
      <c r="AQ16" s="40">
        <f t="shared" si="8"/>
        <v>0</v>
      </c>
      <c r="AR16" s="40">
        <f t="shared" si="9"/>
        <v>0</v>
      </c>
      <c r="AS16" s="40">
        <f t="shared" si="10"/>
        <v>0</v>
      </c>
      <c r="AT16" s="40">
        <f t="shared" si="11"/>
        <v>0</v>
      </c>
      <c r="AU16" s="40">
        <f t="shared" si="12"/>
        <v>0</v>
      </c>
      <c r="AV16" s="40">
        <f t="shared" si="13"/>
        <v>0</v>
      </c>
      <c r="AW16" s="40">
        <f t="shared" si="14"/>
        <v>0</v>
      </c>
      <c r="AX16" s="40">
        <f t="shared" si="15"/>
        <v>0</v>
      </c>
      <c r="AY16" s="40">
        <f t="shared" si="16"/>
        <v>0</v>
      </c>
      <c r="AZ16" s="41"/>
    </row>
    <row r="17" s="7" customFormat="1" ht="25" customHeight="1" spans="1:251">
      <c r="A17" s="36">
        <v>12</v>
      </c>
      <c r="B17" s="37" t="str">
        <f>工资表!B15</f>
        <v>尹江</v>
      </c>
      <c r="C17" s="38" t="str">
        <f>工资表!C15</f>
        <v>水暖工程师</v>
      </c>
      <c r="D17" s="39" t="s">
        <v>97</v>
      </c>
      <c r="E17" s="39" t="s">
        <v>110</v>
      </c>
      <c r="F17" s="39" t="s">
        <v>110</v>
      </c>
      <c r="G17" s="39" t="s">
        <v>110</v>
      </c>
      <c r="H17" s="39" t="s">
        <v>110</v>
      </c>
      <c r="I17" s="39" t="s">
        <v>110</v>
      </c>
      <c r="J17" s="39" t="s">
        <v>97</v>
      </c>
      <c r="K17" s="39" t="s">
        <v>97</v>
      </c>
      <c r="L17" s="39" t="s">
        <v>110</v>
      </c>
      <c r="M17" s="39" t="s">
        <v>110</v>
      </c>
      <c r="N17" s="39" t="s">
        <v>110</v>
      </c>
      <c r="O17" s="39" t="s">
        <v>110</v>
      </c>
      <c r="P17" s="39" t="s">
        <v>110</v>
      </c>
      <c r="Q17" s="39" t="s">
        <v>97</v>
      </c>
      <c r="R17" s="39" t="s">
        <v>97</v>
      </c>
      <c r="S17" s="39" t="s">
        <v>110</v>
      </c>
      <c r="T17" s="39" t="s">
        <v>110</v>
      </c>
      <c r="U17" s="39" t="s">
        <v>110</v>
      </c>
      <c r="V17" s="39" t="s">
        <v>110</v>
      </c>
      <c r="W17" s="39" t="s">
        <v>97</v>
      </c>
      <c r="X17" s="39" t="s">
        <v>97</v>
      </c>
      <c r="Y17" s="39" t="s">
        <v>97</v>
      </c>
      <c r="Z17" s="39" t="s">
        <v>110</v>
      </c>
      <c r="AA17" s="39" t="s">
        <v>110</v>
      </c>
      <c r="AB17" s="39" t="s">
        <v>110</v>
      </c>
      <c r="AC17" s="39" t="s">
        <v>110</v>
      </c>
      <c r="AD17" s="39" t="s">
        <v>110</v>
      </c>
      <c r="AE17" s="39" t="s">
        <v>97</v>
      </c>
      <c r="AF17" s="39" t="s">
        <v>97</v>
      </c>
      <c r="AG17" s="39" t="s">
        <v>110</v>
      </c>
      <c r="AH17" s="39" t="s">
        <v>110</v>
      </c>
      <c r="AI17" s="36">
        <f t="shared" si="0"/>
        <v>21</v>
      </c>
      <c r="AJ17" s="36">
        <f t="shared" si="1"/>
        <v>10</v>
      </c>
      <c r="AK17" s="40">
        <f t="shared" si="2"/>
        <v>21</v>
      </c>
      <c r="AL17" s="40">
        <f t="shared" si="3"/>
        <v>0</v>
      </c>
      <c r="AM17" s="40">
        <f t="shared" si="4"/>
        <v>10</v>
      </c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谢华军</v>
      </c>
      <c r="C18" s="38" t="str">
        <f>工资表!C16</f>
        <v>招商专员</v>
      </c>
      <c r="D18" s="39" t="s">
        <v>97</v>
      </c>
      <c r="E18" s="39" t="s">
        <v>110</v>
      </c>
      <c r="F18" s="39" t="s">
        <v>110</v>
      </c>
      <c r="G18" s="39" t="s">
        <v>110</v>
      </c>
      <c r="H18" s="39" t="s">
        <v>110</v>
      </c>
      <c r="I18" s="39" t="s">
        <v>110</v>
      </c>
      <c r="J18" s="39" t="s">
        <v>97</v>
      </c>
      <c r="K18" s="39" t="s">
        <v>97</v>
      </c>
      <c r="L18" s="39" t="s">
        <v>110</v>
      </c>
      <c r="M18" s="39" t="s">
        <v>110</v>
      </c>
      <c r="N18" s="39" t="s">
        <v>110</v>
      </c>
      <c r="O18" s="39" t="s">
        <v>110</v>
      </c>
      <c r="P18" s="39" t="s">
        <v>110</v>
      </c>
      <c r="Q18" s="39" t="s">
        <v>97</v>
      </c>
      <c r="R18" s="39" t="s">
        <v>97</v>
      </c>
      <c r="S18" s="39" t="s">
        <v>110</v>
      </c>
      <c r="T18" s="39" t="s">
        <v>110</v>
      </c>
      <c r="U18" s="39" t="s">
        <v>110</v>
      </c>
      <c r="V18" s="39" t="s">
        <v>110</v>
      </c>
      <c r="W18" s="39" t="s">
        <v>97</v>
      </c>
      <c r="X18" s="39" t="s">
        <v>97</v>
      </c>
      <c r="Y18" s="39" t="s">
        <v>97</v>
      </c>
      <c r="Z18" s="39" t="s">
        <v>110</v>
      </c>
      <c r="AA18" s="39" t="s">
        <v>110</v>
      </c>
      <c r="AB18" s="39" t="s">
        <v>110</v>
      </c>
      <c r="AC18" s="39" t="s">
        <v>110</v>
      </c>
      <c r="AD18" s="39" t="s">
        <v>110</v>
      </c>
      <c r="AE18" s="39" t="s">
        <v>97</v>
      </c>
      <c r="AF18" s="39" t="s">
        <v>97</v>
      </c>
      <c r="AG18" s="39" t="s">
        <v>110</v>
      </c>
      <c r="AH18" s="39" t="s">
        <v>110</v>
      </c>
      <c r="AI18" s="36">
        <f t="shared" si="0"/>
        <v>21</v>
      </c>
      <c r="AJ18" s="36">
        <f t="shared" si="1"/>
        <v>10</v>
      </c>
      <c r="AK18" s="40">
        <f t="shared" si="2"/>
        <v>21</v>
      </c>
      <c r="AL18" s="40">
        <f t="shared" si="3"/>
        <v>0</v>
      </c>
      <c r="AM18" s="40">
        <f t="shared" si="4"/>
        <v>10</v>
      </c>
      <c r="AN18" s="40">
        <f t="shared" ref="AN18:AN31" si="17">COUNTIF($D18:$AH18,"病假")</f>
        <v>0</v>
      </c>
      <c r="AO18" s="40">
        <f t="shared" ref="AO18:AO31" si="18">COUNTIF($D18:$AH18,"事假")</f>
        <v>0</v>
      </c>
      <c r="AP18" s="40">
        <f t="shared" ref="AP18:AP31" si="19">COUNTIF($D18:$AH18,"旷工")</f>
        <v>0</v>
      </c>
      <c r="AQ18" s="40">
        <f t="shared" ref="AQ18:AQ31" si="20">COUNTIF($D18:$AH18,"工伤")</f>
        <v>0</v>
      </c>
      <c r="AR18" s="40">
        <f t="shared" ref="AR18:AR31" si="21">COUNTIF($D18:$AH18,"培训")</f>
        <v>0</v>
      </c>
      <c r="AS18" s="40">
        <f t="shared" ref="AS18:AS31" si="22">COUNTIF($D18:$AH18,"冬休")</f>
        <v>0</v>
      </c>
      <c r="AT18" s="40">
        <f t="shared" ref="AT18:AT31" si="23">COUNTIF($D18:$AH18,"休假")</f>
        <v>0</v>
      </c>
      <c r="AU18" s="40">
        <f t="shared" ref="AU18:AU31" si="24">COUNTIF($D18:$AH18,"探亲")</f>
        <v>0</v>
      </c>
      <c r="AV18" s="40">
        <f t="shared" ref="AV18:AV31" si="25">COUNTIF($D18:$AH18,"产假")</f>
        <v>0</v>
      </c>
      <c r="AW18" s="40">
        <f t="shared" ref="AW18:AW31" si="26">COUNTIF($D18:$AH18,"陪护假")</f>
        <v>0</v>
      </c>
      <c r="AX18" s="40">
        <f t="shared" ref="AX18:AX31" si="27">COUNTIF($D18:$AH18,"婚丧假")</f>
        <v>0</v>
      </c>
      <c r="AY18" s="40">
        <f t="shared" ref="AY18:AY31" si="28">COUNTIF($D18:$AH18,"待岗")</f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36">
        <v>14</v>
      </c>
      <c r="B19" s="37" t="str">
        <f>工资表!B17</f>
        <v>张志慧</v>
      </c>
      <c r="C19" s="38" t="str">
        <f>工资表!C17</f>
        <v>置业顾问</v>
      </c>
      <c r="D19" s="39" t="s">
        <v>110</v>
      </c>
      <c r="E19" s="39" t="s">
        <v>110</v>
      </c>
      <c r="F19" s="39" t="s">
        <v>110</v>
      </c>
      <c r="G19" s="39" t="s">
        <v>110</v>
      </c>
      <c r="H19" s="39" t="s">
        <v>110</v>
      </c>
      <c r="I19" s="39" t="s">
        <v>110</v>
      </c>
      <c r="J19" s="39" t="s">
        <v>97</v>
      </c>
      <c r="K19" s="39" t="s">
        <v>110</v>
      </c>
      <c r="L19" s="39" t="s">
        <v>110</v>
      </c>
      <c r="M19" s="39" t="s">
        <v>110</v>
      </c>
      <c r="N19" s="39" t="s">
        <v>110</v>
      </c>
      <c r="O19" s="39" t="s">
        <v>110</v>
      </c>
      <c r="P19" s="39" t="s">
        <v>110</v>
      </c>
      <c r="Q19" s="39" t="s">
        <v>97</v>
      </c>
      <c r="R19" s="39" t="s">
        <v>110</v>
      </c>
      <c r="S19" s="39" t="s">
        <v>110</v>
      </c>
      <c r="T19" s="39" t="s">
        <v>110</v>
      </c>
      <c r="U19" s="39" t="s">
        <v>110</v>
      </c>
      <c r="V19" s="39" t="s">
        <v>110</v>
      </c>
      <c r="W19" s="39" t="s">
        <v>110</v>
      </c>
      <c r="X19" s="39" t="s">
        <v>97</v>
      </c>
      <c r="Y19" s="39" t="s">
        <v>110</v>
      </c>
      <c r="Z19" s="39" t="s">
        <v>110</v>
      </c>
      <c r="AA19" s="39" t="s">
        <v>110</v>
      </c>
      <c r="AB19" s="39" t="s">
        <v>110</v>
      </c>
      <c r="AC19" s="39" t="s">
        <v>110</v>
      </c>
      <c r="AD19" s="39" t="s">
        <v>110</v>
      </c>
      <c r="AE19" s="39" t="s">
        <v>97</v>
      </c>
      <c r="AF19" s="39" t="s">
        <v>110</v>
      </c>
      <c r="AG19" s="39" t="s">
        <v>110</v>
      </c>
      <c r="AH19" s="39" t="s">
        <v>110</v>
      </c>
      <c r="AI19" s="36">
        <f t="shared" si="0"/>
        <v>27</v>
      </c>
      <c r="AJ19" s="36">
        <f t="shared" si="1"/>
        <v>4</v>
      </c>
      <c r="AK19" s="40">
        <f t="shared" si="2"/>
        <v>27</v>
      </c>
      <c r="AL19" s="40">
        <f t="shared" si="3"/>
        <v>0</v>
      </c>
      <c r="AM19" s="40">
        <f t="shared" si="4"/>
        <v>4</v>
      </c>
      <c r="AN19" s="40">
        <f t="shared" si="17"/>
        <v>0</v>
      </c>
      <c r="AO19" s="40">
        <f t="shared" si="18"/>
        <v>0</v>
      </c>
      <c r="AP19" s="40">
        <f t="shared" si="19"/>
        <v>0</v>
      </c>
      <c r="AQ19" s="40">
        <f t="shared" si="20"/>
        <v>0</v>
      </c>
      <c r="AR19" s="40">
        <f t="shared" si="21"/>
        <v>0</v>
      </c>
      <c r="AS19" s="40">
        <f t="shared" si="22"/>
        <v>0</v>
      </c>
      <c r="AT19" s="40">
        <f t="shared" si="23"/>
        <v>0</v>
      </c>
      <c r="AU19" s="40">
        <f t="shared" si="24"/>
        <v>0</v>
      </c>
      <c r="AV19" s="40">
        <f t="shared" si="25"/>
        <v>0</v>
      </c>
      <c r="AW19" s="40">
        <f t="shared" si="26"/>
        <v>0</v>
      </c>
      <c r="AX19" s="40">
        <f t="shared" si="27"/>
        <v>0</v>
      </c>
      <c r="AY19" s="40">
        <f t="shared" si="28"/>
        <v>0</v>
      </c>
      <c r="AZ19" s="4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36">
        <v>15</v>
      </c>
      <c r="B20" s="37" t="str">
        <f>工资表!B18</f>
        <v>王荣</v>
      </c>
      <c r="C20" s="38" t="str">
        <f>工资表!C18</f>
        <v>置业顾问</v>
      </c>
      <c r="D20" s="39" t="s">
        <v>110</v>
      </c>
      <c r="E20" s="39" t="s">
        <v>110</v>
      </c>
      <c r="F20" s="39" t="s">
        <v>110</v>
      </c>
      <c r="G20" s="39" t="s">
        <v>97</v>
      </c>
      <c r="H20" s="39" t="s">
        <v>110</v>
      </c>
      <c r="I20" s="39" t="s">
        <v>110</v>
      </c>
      <c r="J20" s="39" t="s">
        <v>110</v>
      </c>
      <c r="K20" s="39" t="s">
        <v>110</v>
      </c>
      <c r="L20" s="39" t="s">
        <v>110</v>
      </c>
      <c r="M20" s="39" t="s">
        <v>110</v>
      </c>
      <c r="N20" s="39" t="s">
        <v>110</v>
      </c>
      <c r="O20" s="39" t="s">
        <v>110</v>
      </c>
      <c r="P20" s="39" t="s">
        <v>110</v>
      </c>
      <c r="Q20" s="39" t="s">
        <v>110</v>
      </c>
      <c r="R20" s="39" t="s">
        <v>110</v>
      </c>
      <c r="S20" s="39" t="s">
        <v>97</v>
      </c>
      <c r="T20" s="39" t="s">
        <v>110</v>
      </c>
      <c r="U20" s="39" t="s">
        <v>110</v>
      </c>
      <c r="V20" s="39" t="s">
        <v>110</v>
      </c>
      <c r="W20" s="39" t="s">
        <v>110</v>
      </c>
      <c r="X20" s="39" t="s">
        <v>110</v>
      </c>
      <c r="Y20" s="39" t="s">
        <v>110</v>
      </c>
      <c r="Z20" s="39" t="s">
        <v>110</v>
      </c>
      <c r="AA20" s="39" t="s">
        <v>110</v>
      </c>
      <c r="AB20" s="39" t="s">
        <v>110</v>
      </c>
      <c r="AC20" s="39" t="s">
        <v>97</v>
      </c>
      <c r="AD20" s="39" t="s">
        <v>110</v>
      </c>
      <c r="AE20" s="39" t="s">
        <v>110</v>
      </c>
      <c r="AF20" s="39" t="s">
        <v>110</v>
      </c>
      <c r="AG20" s="39" t="s">
        <v>97</v>
      </c>
      <c r="AH20" s="39" t="s">
        <v>110</v>
      </c>
      <c r="AI20" s="36">
        <f t="shared" si="0"/>
        <v>27</v>
      </c>
      <c r="AJ20" s="36">
        <f t="shared" si="1"/>
        <v>4</v>
      </c>
      <c r="AK20" s="40">
        <f t="shared" si="2"/>
        <v>27</v>
      </c>
      <c r="AL20" s="40">
        <f t="shared" si="3"/>
        <v>0</v>
      </c>
      <c r="AM20" s="40">
        <f t="shared" si="4"/>
        <v>4</v>
      </c>
      <c r="AN20" s="40">
        <f t="shared" si="17"/>
        <v>0</v>
      </c>
      <c r="AO20" s="40">
        <f t="shared" si="18"/>
        <v>0</v>
      </c>
      <c r="AP20" s="40">
        <f t="shared" si="19"/>
        <v>0</v>
      </c>
      <c r="AQ20" s="40">
        <f t="shared" si="20"/>
        <v>0</v>
      </c>
      <c r="AR20" s="40">
        <f t="shared" si="21"/>
        <v>0</v>
      </c>
      <c r="AS20" s="40">
        <f t="shared" si="22"/>
        <v>0</v>
      </c>
      <c r="AT20" s="40">
        <f t="shared" si="23"/>
        <v>0</v>
      </c>
      <c r="AU20" s="40">
        <f t="shared" si="24"/>
        <v>0</v>
      </c>
      <c r="AV20" s="40">
        <f t="shared" si="25"/>
        <v>0</v>
      </c>
      <c r="AW20" s="40">
        <f t="shared" si="26"/>
        <v>0</v>
      </c>
      <c r="AX20" s="40">
        <f t="shared" si="27"/>
        <v>0</v>
      </c>
      <c r="AY20" s="40">
        <f t="shared" si="28"/>
        <v>0</v>
      </c>
      <c r="AZ20" s="4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36">
        <v>16</v>
      </c>
      <c r="B21" s="37" t="str">
        <f>工资表!B19</f>
        <v>霍苒</v>
      </c>
      <c r="C21" s="38" t="str">
        <f>工资表!C19</f>
        <v>置业顾问</v>
      </c>
      <c r="D21" s="39" t="s">
        <v>110</v>
      </c>
      <c r="E21" s="39" t="s">
        <v>110</v>
      </c>
      <c r="F21" s="39" t="s">
        <v>110</v>
      </c>
      <c r="G21" s="39" t="s">
        <v>110</v>
      </c>
      <c r="H21" s="39" t="s">
        <v>110</v>
      </c>
      <c r="I21" s="39" t="s">
        <v>110</v>
      </c>
      <c r="J21" s="39" t="s">
        <v>110</v>
      </c>
      <c r="K21" s="39" t="s">
        <v>110</v>
      </c>
      <c r="L21" s="39" t="s">
        <v>110</v>
      </c>
      <c r="M21" s="39" t="s">
        <v>110</v>
      </c>
      <c r="N21" s="39" t="s">
        <v>97</v>
      </c>
      <c r="O21" s="39" t="s">
        <v>110</v>
      </c>
      <c r="P21" s="39" t="s">
        <v>110</v>
      </c>
      <c r="Q21" s="39" t="s">
        <v>110</v>
      </c>
      <c r="R21" s="39" t="s">
        <v>110</v>
      </c>
      <c r="S21" s="39" t="s">
        <v>110</v>
      </c>
      <c r="T21" s="39" t="s">
        <v>110</v>
      </c>
      <c r="U21" s="39" t="s">
        <v>110</v>
      </c>
      <c r="V21" s="39" t="s">
        <v>97</v>
      </c>
      <c r="W21" s="39" t="s">
        <v>110</v>
      </c>
      <c r="X21" s="39" t="s">
        <v>110</v>
      </c>
      <c r="Y21" s="39" t="s">
        <v>110</v>
      </c>
      <c r="Z21" s="39" t="s">
        <v>97</v>
      </c>
      <c r="AA21" s="39" t="s">
        <v>110</v>
      </c>
      <c r="AB21" s="39" t="s">
        <v>110</v>
      </c>
      <c r="AC21" s="39" t="s">
        <v>97</v>
      </c>
      <c r="AD21" s="39" t="s">
        <v>110</v>
      </c>
      <c r="AE21" s="39" t="s">
        <v>110</v>
      </c>
      <c r="AF21" s="39" t="s">
        <v>110</v>
      </c>
      <c r="AG21" s="39" t="s">
        <v>110</v>
      </c>
      <c r="AH21" s="39" t="s">
        <v>110</v>
      </c>
      <c r="AI21" s="36">
        <f t="shared" si="0"/>
        <v>27</v>
      </c>
      <c r="AJ21" s="36">
        <f t="shared" si="1"/>
        <v>4</v>
      </c>
      <c r="AK21" s="40">
        <f t="shared" si="2"/>
        <v>27</v>
      </c>
      <c r="AL21" s="40">
        <f t="shared" si="3"/>
        <v>0</v>
      </c>
      <c r="AM21" s="40">
        <f t="shared" si="4"/>
        <v>4</v>
      </c>
      <c r="AN21" s="40">
        <f t="shared" si="17"/>
        <v>0</v>
      </c>
      <c r="AO21" s="40">
        <f t="shared" si="18"/>
        <v>0</v>
      </c>
      <c r="AP21" s="40">
        <f t="shared" si="19"/>
        <v>0</v>
      </c>
      <c r="AQ21" s="40">
        <f t="shared" si="20"/>
        <v>0</v>
      </c>
      <c r="AR21" s="40">
        <f t="shared" si="21"/>
        <v>0</v>
      </c>
      <c r="AS21" s="40">
        <f t="shared" si="22"/>
        <v>0</v>
      </c>
      <c r="AT21" s="40">
        <f t="shared" si="23"/>
        <v>0</v>
      </c>
      <c r="AU21" s="40">
        <f t="shared" si="24"/>
        <v>0</v>
      </c>
      <c r="AV21" s="40">
        <f t="shared" si="25"/>
        <v>0</v>
      </c>
      <c r="AW21" s="40">
        <f t="shared" si="26"/>
        <v>0</v>
      </c>
      <c r="AX21" s="40">
        <f t="shared" si="27"/>
        <v>0</v>
      </c>
      <c r="AY21" s="40">
        <f t="shared" si="28"/>
        <v>0</v>
      </c>
      <c r="AZ21" s="4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36">
        <v>17</v>
      </c>
      <c r="B22" s="37" t="str">
        <f>工资表!B20</f>
        <v>闫金秀</v>
      </c>
      <c r="C22" s="38" t="str">
        <f>工资表!C20</f>
        <v>置业顾问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6">
        <f t="shared" si="0"/>
        <v>0</v>
      </c>
      <c r="AJ22" s="36">
        <f t="shared" si="1"/>
        <v>0</v>
      </c>
      <c r="AK22" s="40">
        <f t="shared" si="2"/>
        <v>0</v>
      </c>
      <c r="AL22" s="40">
        <f t="shared" si="3"/>
        <v>0</v>
      </c>
      <c r="AM22" s="40">
        <f t="shared" si="4"/>
        <v>0</v>
      </c>
      <c r="AN22" s="40">
        <f t="shared" si="17"/>
        <v>0</v>
      </c>
      <c r="AO22" s="40">
        <f t="shared" si="18"/>
        <v>0</v>
      </c>
      <c r="AP22" s="40">
        <f t="shared" si="19"/>
        <v>0</v>
      </c>
      <c r="AQ22" s="40">
        <f t="shared" si="20"/>
        <v>0</v>
      </c>
      <c r="AR22" s="40">
        <f t="shared" si="21"/>
        <v>0</v>
      </c>
      <c r="AS22" s="40">
        <f t="shared" si="22"/>
        <v>0</v>
      </c>
      <c r="AT22" s="40">
        <f t="shared" si="23"/>
        <v>0</v>
      </c>
      <c r="AU22" s="40">
        <f t="shared" si="24"/>
        <v>0</v>
      </c>
      <c r="AV22" s="40">
        <f t="shared" si="25"/>
        <v>0</v>
      </c>
      <c r="AW22" s="40">
        <f t="shared" si="26"/>
        <v>0</v>
      </c>
      <c r="AX22" s="40">
        <f t="shared" si="27"/>
        <v>0</v>
      </c>
      <c r="AY22" s="40">
        <f t="shared" si="28"/>
        <v>0</v>
      </c>
      <c r="AZ22" s="4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36">
        <v>18</v>
      </c>
      <c r="B23" s="37" t="str">
        <f>工资表!B21</f>
        <v>赵江龙</v>
      </c>
      <c r="C23" s="38" t="str">
        <f>工资表!C21</f>
        <v>案场销售经理</v>
      </c>
      <c r="D23" s="39" t="s">
        <v>97</v>
      </c>
      <c r="E23" s="39" t="s">
        <v>110</v>
      </c>
      <c r="F23" s="39" t="s">
        <v>110</v>
      </c>
      <c r="G23" s="39" t="s">
        <v>110</v>
      </c>
      <c r="H23" s="39" t="s">
        <v>110</v>
      </c>
      <c r="I23" s="39" t="s">
        <v>110</v>
      </c>
      <c r="J23" s="39" t="s">
        <v>110</v>
      </c>
      <c r="K23" s="39" t="s">
        <v>110</v>
      </c>
      <c r="L23" s="39" t="s">
        <v>97</v>
      </c>
      <c r="M23" s="39" t="s">
        <v>110</v>
      </c>
      <c r="N23" s="39" t="s">
        <v>110</v>
      </c>
      <c r="O23" s="39" t="s">
        <v>110</v>
      </c>
      <c r="P23" s="39" t="s">
        <v>110</v>
      </c>
      <c r="Q23" s="39" t="s">
        <v>110</v>
      </c>
      <c r="R23" s="39" t="s">
        <v>110</v>
      </c>
      <c r="S23" s="39" t="s">
        <v>110</v>
      </c>
      <c r="T23" s="39" t="s">
        <v>97</v>
      </c>
      <c r="U23" s="39" t="s">
        <v>110</v>
      </c>
      <c r="V23" s="39" t="s">
        <v>110</v>
      </c>
      <c r="W23" s="39" t="s">
        <v>110</v>
      </c>
      <c r="X23" s="39" t="s">
        <v>110</v>
      </c>
      <c r="Y23" s="39" t="s">
        <v>110</v>
      </c>
      <c r="Z23" s="39" t="s">
        <v>110</v>
      </c>
      <c r="AA23" s="39" t="s">
        <v>110</v>
      </c>
      <c r="AB23" s="39" t="s">
        <v>110</v>
      </c>
      <c r="AC23" s="39" t="s">
        <v>110</v>
      </c>
      <c r="AD23" s="39" t="s">
        <v>97</v>
      </c>
      <c r="AE23" s="39" t="s">
        <v>110</v>
      </c>
      <c r="AF23" s="39" t="s">
        <v>110</v>
      </c>
      <c r="AG23" s="39" t="s">
        <v>110</v>
      </c>
      <c r="AH23" s="39" t="s">
        <v>110</v>
      </c>
      <c r="AI23" s="36">
        <f t="shared" si="0"/>
        <v>27</v>
      </c>
      <c r="AJ23" s="36">
        <f t="shared" si="1"/>
        <v>4</v>
      </c>
      <c r="AK23" s="40">
        <f t="shared" si="2"/>
        <v>27</v>
      </c>
      <c r="AL23" s="40">
        <f t="shared" si="3"/>
        <v>0</v>
      </c>
      <c r="AM23" s="40">
        <f t="shared" si="4"/>
        <v>4</v>
      </c>
      <c r="AN23" s="40">
        <f t="shared" si="17"/>
        <v>0</v>
      </c>
      <c r="AO23" s="40">
        <f t="shared" si="18"/>
        <v>0</v>
      </c>
      <c r="AP23" s="40">
        <f t="shared" si="19"/>
        <v>0</v>
      </c>
      <c r="AQ23" s="40">
        <f t="shared" si="20"/>
        <v>0</v>
      </c>
      <c r="AR23" s="40">
        <f t="shared" si="21"/>
        <v>0</v>
      </c>
      <c r="AS23" s="40">
        <f t="shared" si="22"/>
        <v>0</v>
      </c>
      <c r="AT23" s="40">
        <f t="shared" si="23"/>
        <v>0</v>
      </c>
      <c r="AU23" s="40">
        <f t="shared" si="24"/>
        <v>0</v>
      </c>
      <c r="AV23" s="40">
        <f t="shared" si="25"/>
        <v>0</v>
      </c>
      <c r="AW23" s="40">
        <f t="shared" si="26"/>
        <v>0</v>
      </c>
      <c r="AX23" s="40">
        <f t="shared" si="27"/>
        <v>0</v>
      </c>
      <c r="AY23" s="40">
        <f t="shared" si="28"/>
        <v>0</v>
      </c>
      <c r="AZ23" s="4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25" customHeight="1" spans="1:251">
      <c r="A24" s="36">
        <v>19</v>
      </c>
      <c r="B24" s="37" t="str">
        <f>工资表!B22</f>
        <v>张新艳</v>
      </c>
      <c r="C24" s="38" t="str">
        <f>工资表!C22</f>
        <v>置业顾问</v>
      </c>
      <c r="D24" s="39" t="s">
        <v>110</v>
      </c>
      <c r="E24" s="39" t="s">
        <v>110</v>
      </c>
      <c r="F24" s="39" t="s">
        <v>110</v>
      </c>
      <c r="G24" s="39" t="s">
        <v>110</v>
      </c>
      <c r="H24" s="39" t="s">
        <v>110</v>
      </c>
      <c r="I24" s="39" t="s">
        <v>110</v>
      </c>
      <c r="J24" s="39" t="s">
        <v>110</v>
      </c>
      <c r="K24" s="39" t="s">
        <v>97</v>
      </c>
      <c r="L24" s="39" t="s">
        <v>110</v>
      </c>
      <c r="M24" s="39" t="s">
        <v>110</v>
      </c>
      <c r="N24" s="39" t="s">
        <v>110</v>
      </c>
      <c r="O24" s="39" t="s">
        <v>110</v>
      </c>
      <c r="P24" s="39" t="s">
        <v>110</v>
      </c>
      <c r="Q24" s="39" t="s">
        <v>110</v>
      </c>
      <c r="R24" s="39" t="s">
        <v>97</v>
      </c>
      <c r="S24" s="39" t="s">
        <v>110</v>
      </c>
      <c r="T24" s="39" t="s">
        <v>110</v>
      </c>
      <c r="U24" s="39" t="s">
        <v>110</v>
      </c>
      <c r="V24" s="39" t="s">
        <v>110</v>
      </c>
      <c r="W24" s="39" t="s">
        <v>110</v>
      </c>
      <c r="X24" s="39" t="s">
        <v>110</v>
      </c>
      <c r="Y24" s="39" t="s">
        <v>97</v>
      </c>
      <c r="Z24" s="39" t="s">
        <v>110</v>
      </c>
      <c r="AA24" s="39" t="s">
        <v>110</v>
      </c>
      <c r="AB24" s="39" t="s">
        <v>110</v>
      </c>
      <c r="AC24" s="39" t="s">
        <v>110</v>
      </c>
      <c r="AD24" s="39" t="s">
        <v>110</v>
      </c>
      <c r="AE24" s="39" t="s">
        <v>110</v>
      </c>
      <c r="AF24" s="39" t="s">
        <v>97</v>
      </c>
      <c r="AG24" s="39" t="s">
        <v>110</v>
      </c>
      <c r="AH24" s="39" t="s">
        <v>110</v>
      </c>
      <c r="AI24" s="36">
        <f t="shared" si="0"/>
        <v>27</v>
      </c>
      <c r="AJ24" s="36">
        <f t="shared" si="1"/>
        <v>4</v>
      </c>
      <c r="AK24" s="40">
        <f t="shared" si="2"/>
        <v>27</v>
      </c>
      <c r="AL24" s="40">
        <f t="shared" si="3"/>
        <v>0</v>
      </c>
      <c r="AM24" s="40">
        <f t="shared" si="4"/>
        <v>4</v>
      </c>
      <c r="AN24" s="40">
        <f t="shared" si="17"/>
        <v>0</v>
      </c>
      <c r="AO24" s="40">
        <f t="shared" si="18"/>
        <v>0</v>
      </c>
      <c r="AP24" s="40">
        <f t="shared" si="19"/>
        <v>0</v>
      </c>
      <c r="AQ24" s="40">
        <f t="shared" si="20"/>
        <v>0</v>
      </c>
      <c r="AR24" s="40">
        <f t="shared" si="21"/>
        <v>0</v>
      </c>
      <c r="AS24" s="40">
        <f t="shared" si="22"/>
        <v>0</v>
      </c>
      <c r="AT24" s="40">
        <f t="shared" si="23"/>
        <v>0</v>
      </c>
      <c r="AU24" s="40">
        <f t="shared" si="24"/>
        <v>0</v>
      </c>
      <c r="AV24" s="40">
        <f t="shared" si="25"/>
        <v>0</v>
      </c>
      <c r="AW24" s="40">
        <f t="shared" si="26"/>
        <v>0</v>
      </c>
      <c r="AX24" s="40">
        <f t="shared" si="27"/>
        <v>0</v>
      </c>
      <c r="AY24" s="40">
        <f t="shared" si="28"/>
        <v>0</v>
      </c>
      <c r="AZ24" s="41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5" customHeight="1" spans="1:251">
      <c r="A25" s="36">
        <v>20</v>
      </c>
      <c r="B25" s="37" t="str">
        <f>工资表!B23</f>
        <v>王玉慧</v>
      </c>
      <c r="C25" s="38" t="str">
        <f>工资表!C23</f>
        <v>置业顾问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6">
        <f t="shared" si="0"/>
        <v>0</v>
      </c>
      <c r="AJ25" s="36">
        <f t="shared" si="1"/>
        <v>0</v>
      </c>
      <c r="AK25" s="40">
        <f t="shared" si="2"/>
        <v>0</v>
      </c>
      <c r="AL25" s="40">
        <f t="shared" si="3"/>
        <v>0</v>
      </c>
      <c r="AM25" s="40">
        <f t="shared" si="4"/>
        <v>0</v>
      </c>
      <c r="AN25" s="40">
        <f t="shared" si="17"/>
        <v>0</v>
      </c>
      <c r="AO25" s="40">
        <f t="shared" si="18"/>
        <v>0</v>
      </c>
      <c r="AP25" s="40">
        <f t="shared" si="19"/>
        <v>0</v>
      </c>
      <c r="AQ25" s="40">
        <f t="shared" si="20"/>
        <v>0</v>
      </c>
      <c r="AR25" s="40">
        <f t="shared" si="21"/>
        <v>0</v>
      </c>
      <c r="AS25" s="40">
        <f t="shared" si="22"/>
        <v>0</v>
      </c>
      <c r="AT25" s="40">
        <f t="shared" si="23"/>
        <v>0</v>
      </c>
      <c r="AU25" s="40">
        <f t="shared" si="24"/>
        <v>0</v>
      </c>
      <c r="AV25" s="40">
        <f t="shared" si="25"/>
        <v>0</v>
      </c>
      <c r="AW25" s="40">
        <f t="shared" si="26"/>
        <v>0</v>
      </c>
      <c r="AX25" s="40">
        <f t="shared" si="27"/>
        <v>0</v>
      </c>
      <c r="AY25" s="40">
        <f t="shared" si="28"/>
        <v>0</v>
      </c>
      <c r="AZ25" s="41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="7" customFormat="1" ht="32" customHeight="1" spans="1:251">
      <c r="A26" s="42"/>
      <c r="B26" s="43"/>
      <c r="C26" s="44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2"/>
      <c r="AJ26" s="42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7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="7" customFormat="1" ht="20" customHeight="1" spans="1:251">
      <c r="A27" s="6"/>
      <c r="B27" s="48" t="s">
        <v>81</v>
      </c>
      <c r="C27" s="49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6"/>
      <c r="AJ27" s="51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52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9"/>
      <c r="DQ27" s="9"/>
      <c r="DR27" s="9"/>
      <c r="DS27" s="9"/>
      <c r="DT27" s="9"/>
      <c r="DU27" s="9"/>
      <c r="DV27" s="9"/>
      <c r="DW27" s="9"/>
      <c r="DX27" s="9"/>
      <c r="DY27" s="9"/>
      <c r="DZ27" s="9"/>
      <c r="EA27" s="9"/>
      <c r="EB27" s="9"/>
      <c r="EC27" s="9"/>
      <c r="ED27" s="9"/>
      <c r="EE27" s="9"/>
      <c r="EF27" s="9"/>
      <c r="EG27" s="9"/>
      <c r="EH27" s="9"/>
      <c r="EI27" s="9"/>
      <c r="EJ27" s="9"/>
      <c r="EK27" s="9"/>
      <c r="EL27" s="9"/>
      <c r="EM27" s="9"/>
      <c r="EN27" s="9"/>
      <c r="EO27" s="9"/>
      <c r="EP27" s="9"/>
      <c r="EQ27" s="9"/>
      <c r="ER27" s="9"/>
      <c r="ES27" s="9"/>
      <c r="ET27" s="9"/>
      <c r="EU27" s="9"/>
      <c r="EV27" s="9"/>
      <c r="EW27" s="9"/>
      <c r="EX27" s="9"/>
      <c r="EY27" s="9"/>
      <c r="EZ27" s="9"/>
      <c r="FA27" s="9"/>
      <c r="FB27" s="9"/>
      <c r="FC27" s="9"/>
      <c r="FD27" s="9"/>
      <c r="FE27" s="9"/>
      <c r="FF27" s="9"/>
      <c r="FG27" s="9"/>
      <c r="FH27" s="9"/>
      <c r="FI27" s="9"/>
      <c r="FJ27" s="9"/>
      <c r="FK27" s="9"/>
      <c r="FL27" s="9"/>
      <c r="FM27" s="9"/>
      <c r="FN27" s="9"/>
      <c r="FO27" s="9"/>
      <c r="FP27" s="9"/>
      <c r="FQ27" s="9"/>
      <c r="FR27" s="9"/>
      <c r="FS27" s="9"/>
      <c r="FT27" s="9"/>
      <c r="FU27" s="9"/>
      <c r="FV27" s="9"/>
      <c r="FW27" s="9"/>
      <c r="FX27" s="9"/>
      <c r="FY27" s="9"/>
      <c r="FZ27" s="9"/>
      <c r="GA27" s="9"/>
      <c r="GB27" s="9"/>
      <c r="GC27" s="9"/>
      <c r="GD27" s="9"/>
      <c r="GE27" s="9"/>
      <c r="GF27" s="9"/>
      <c r="GG27" s="9"/>
      <c r="GH27" s="9"/>
      <c r="GI27" s="9"/>
      <c r="GJ27" s="9"/>
      <c r="GK27" s="9"/>
      <c r="GL27" s="9"/>
      <c r="GM27" s="9"/>
      <c r="GN27" s="9"/>
      <c r="GO27" s="9"/>
      <c r="GP27" s="9"/>
      <c r="GQ27" s="9"/>
      <c r="GR27" s="9"/>
      <c r="GS27" s="9"/>
      <c r="GT27" s="9"/>
      <c r="GU27" s="9"/>
      <c r="GV27" s="9"/>
      <c r="GW27" s="9"/>
      <c r="GX27" s="9"/>
      <c r="GY27" s="9"/>
      <c r="GZ27" s="9"/>
      <c r="HA27" s="9"/>
      <c r="HB27" s="9"/>
      <c r="HC27" s="9"/>
      <c r="HD27" s="9"/>
      <c r="HE27" s="9"/>
      <c r="HF27" s="9"/>
      <c r="HG27" s="9"/>
      <c r="HH27" s="9"/>
      <c r="HI27" s="9"/>
      <c r="HJ27" s="9"/>
      <c r="HK27" s="9"/>
      <c r="HL27" s="9"/>
      <c r="HM27" s="9"/>
      <c r="HN27" s="9"/>
      <c r="HO27" s="9"/>
      <c r="HP27" s="9"/>
      <c r="HQ27" s="9"/>
      <c r="HR27" s="9"/>
      <c r="HS27" s="9"/>
      <c r="HT27" s="9"/>
      <c r="HU27" s="9"/>
      <c r="HV27" s="9"/>
      <c r="HW27" s="9"/>
      <c r="HX27" s="9"/>
      <c r="HY27" s="9"/>
      <c r="HZ27" s="9"/>
      <c r="IA27" s="9"/>
      <c r="IB27" s="9"/>
      <c r="IC27" s="9"/>
      <c r="ID27" s="9"/>
      <c r="IE27" s="9"/>
      <c r="IF27" s="9"/>
      <c r="IG27" s="9"/>
      <c r="IH27" s="9"/>
      <c r="II27" s="9"/>
      <c r="IJ27" s="9"/>
      <c r="IK27" s="9"/>
      <c r="IL27" s="9"/>
      <c r="IM27" s="9"/>
      <c r="IN27" s="9"/>
      <c r="IO27" s="9"/>
      <c r="IP27" s="9"/>
      <c r="IQ27" s="9"/>
    </row>
    <row r="28" ht="24" customHeight="1" spans="1:251">
      <c r="D28" s="6"/>
      <c r="E28" s="6" t="s">
        <v>83</v>
      </c>
      <c r="K28" s="6"/>
      <c r="L28" s="6"/>
      <c r="M28" s="6"/>
      <c r="N28" s="6"/>
      <c r="R28" s="6"/>
      <c r="S28" s="6"/>
      <c r="U28" s="53"/>
      <c r="V28" s="53" t="s">
        <v>85</v>
      </c>
      <c r="Y28" s="6"/>
      <c r="Z28" s="6"/>
      <c r="AF28" s="6"/>
      <c r="AG28" s="6"/>
      <c r="AI28" s="6" t="s">
        <v>86</v>
      </c>
    </row>
    <row r="29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5" sqref="G15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112</v>
      </c>
      <c r="F2" s="1" t="s">
        <v>113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21</v>
      </c>
      <c r="D3" s="5">
        <f>(VLOOKUP(B3,工资表!B4:G14,6,0)+VLOOKUP(B3,工资表!B4:H14,7,0))/工资表!F4*VLOOKUP(B3,考勤!B6:AI16,34,0)</f>
        <v>25500</v>
      </c>
      <c r="E3" s="5">
        <f>VLOOKUP(B3,工资表!B4:S14,18,0)</f>
        <v>20091</v>
      </c>
      <c r="F3" s="5">
        <f t="shared" ref="F3:F22" si="0">D3-E3</f>
        <v>5409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21</v>
      </c>
      <c r="D4" s="5">
        <f>(VLOOKUP(B4,工资表!B5:G15,6,0)+VLOOKUP(B4,工资表!B5:H15,7,0))/工资表!F5*VLOOKUP(B4,考勤!B7:AI17,34,0)</f>
        <v>17000</v>
      </c>
      <c r="E4" s="5">
        <f>VLOOKUP(B4,工资表!B5:S15,18,0)</f>
        <v>17000</v>
      </c>
      <c r="F4" s="5">
        <f t="shared" si="0"/>
        <v>0</v>
      </c>
      <c r="G4" s="1" t="s">
        <v>114</v>
      </c>
    </row>
    <row r="5" customHeight="1" spans="1:7">
      <c r="A5" s="1">
        <v>3</v>
      </c>
      <c r="B5" s="1" t="str">
        <f>工资表!B6</f>
        <v>管锡哲</v>
      </c>
      <c r="C5" s="1">
        <f>工资表!R6</f>
        <v>12</v>
      </c>
      <c r="D5" s="5">
        <f>(VLOOKUP(B5,工资表!B6:G15,6,0)+VLOOKUP(B5,工资表!B6:H15,7,0))/工资表!F6*VLOOKUP(B5,考勤!B8:AI17,34,0)</f>
        <v>6857.14285714286</v>
      </c>
      <c r="E5" s="5">
        <f>VLOOKUP(B5,工资表!B6:S15,18,0)</f>
        <v>6857.14285714285</v>
      </c>
      <c r="F5" s="5">
        <f t="shared" si="0"/>
        <v>8.18545231595635e-12</v>
      </c>
    </row>
    <row r="6" customHeight="1" spans="1:7">
      <c r="A6" s="1">
        <v>4</v>
      </c>
      <c r="B6" s="1" t="str">
        <f>工资表!B7</f>
        <v>徐惠蓉</v>
      </c>
      <c r="C6" s="1">
        <f>工资表!R7</f>
        <v>21</v>
      </c>
      <c r="D6" s="5">
        <f>(VLOOKUP(B6,工资表!B7:G16,6,0)+VLOOKUP(B6,工资表!B7:H16,7,0))/工资表!F7*VLOOKUP(B6,考勤!B9:AI18,34,0)</f>
        <v>15300</v>
      </c>
      <c r="E6" s="5">
        <f>VLOOKUP(B6,工资表!B7:S16,18,0)</f>
        <v>15580</v>
      </c>
      <c r="F6" s="5">
        <f t="shared" si="0"/>
        <v>-279.999999999987</v>
      </c>
      <c r="G6" s="1" t="s">
        <v>115</v>
      </c>
    </row>
    <row r="7" customHeight="1" spans="1:7">
      <c r="A7" s="1">
        <v>5</v>
      </c>
      <c r="B7" s="1" t="str">
        <f>工资表!B8</f>
        <v>沈陈瑾慧</v>
      </c>
      <c r="C7" s="1">
        <f>工资表!R8</f>
        <v>0</v>
      </c>
      <c r="D7" s="5" t="e">
        <f>(VLOOKUP(B7,工资表!B8:G17,6,0)+VLOOKUP(B7,工资表!B8:H17,7,0))/工资表!F8*VLOOKUP(B7,考勤!B10:AI19,34,0)</f>
        <v>#DIV/0!</v>
      </c>
      <c r="E7" s="5">
        <f>VLOOKUP(B7,工资表!B8:S17,18,0)</f>
        <v>0</v>
      </c>
      <c r="F7" s="5" t="e">
        <f t="shared" si="0"/>
        <v>#DIV/0!</v>
      </c>
    </row>
    <row r="8" customHeight="1" spans="1:7">
      <c r="A8" s="1">
        <v>6</v>
      </c>
      <c r="B8" s="1" t="str">
        <f>工资表!B9</f>
        <v>管丽萍</v>
      </c>
      <c r="C8" s="1">
        <f>工资表!R9</f>
        <v>21</v>
      </c>
      <c r="D8" s="5">
        <f>(VLOOKUP(B8,工资表!B9:G18,6,0)+VLOOKUP(B8,工资表!B9:H18,7,0))/工资表!F9*VLOOKUP(B8,考勤!B11:AI20,34,0)</f>
        <v>6000</v>
      </c>
      <c r="E8" s="5">
        <f>VLOOKUP(B8,工资表!B9:S18,18,0)</f>
        <v>6300.00000000001</v>
      </c>
      <c r="F8" s="5">
        <f t="shared" si="0"/>
        <v>-300.000000000008</v>
      </c>
      <c r="G8" s="1" t="s">
        <v>115</v>
      </c>
    </row>
    <row r="9" customHeight="1" spans="1:7">
      <c r="A9" s="1">
        <v>7</v>
      </c>
      <c r="B9" s="1" t="str">
        <f>工资表!B10</f>
        <v>刘科</v>
      </c>
      <c r="C9" s="1">
        <f>工资表!R10</f>
        <v>21</v>
      </c>
      <c r="D9" s="5">
        <f>(VLOOKUP(B9,工资表!B10:G19,6,0)+VLOOKUP(B9,工资表!B10:H19,7,0))/工资表!F10*VLOOKUP(B9,考勤!B12:AI21,34,0)</f>
        <v>7500</v>
      </c>
      <c r="E9" s="5">
        <f>VLOOKUP(B9,工资表!B10:S19,18,0)</f>
        <v>7500.00000000001</v>
      </c>
      <c r="F9" s="5">
        <f t="shared" si="0"/>
        <v>0</v>
      </c>
      <c r="G9" s="1" t="s">
        <v>114</v>
      </c>
    </row>
    <row r="10" customHeight="1" spans="1:7">
      <c r="A10" s="1">
        <v>8</v>
      </c>
      <c r="B10" s="1" t="str">
        <f>工资表!B11</f>
        <v>高建梅</v>
      </c>
      <c r="C10" s="1">
        <f>工资表!R11</f>
        <v>21</v>
      </c>
      <c r="D10" s="5">
        <f>(VLOOKUP(B10,工资表!B11:G20,6,0)+VLOOKUP(B10,工资表!B11:H20,7,0))/工资表!F11*VLOOKUP(B10,考勤!B13:AI22,34,0)</f>
        <v>6500</v>
      </c>
      <c r="E10" s="5">
        <f>VLOOKUP(B10,工资表!B11:S20,18,0)</f>
        <v>6600.00000000001</v>
      </c>
      <c r="F10" s="5">
        <f t="shared" si="0"/>
        <v>-100.000000000008</v>
      </c>
      <c r="G10" s="1" t="s">
        <v>115</v>
      </c>
    </row>
    <row r="11" customHeight="1" spans="1:7">
      <c r="A11" s="1">
        <v>9</v>
      </c>
      <c r="B11" s="1" t="str">
        <f>工资表!B12</f>
        <v>周佳奇</v>
      </c>
      <c r="C11" s="1">
        <f>工资表!R12</f>
        <v>21</v>
      </c>
      <c r="D11" s="5">
        <f>(VLOOKUP(B11,工资表!B12:G20,6,0)+VLOOKUP(B11,工资表!B12:H20,7,0))/工资表!F12*VLOOKUP(B11,考勤!B14:AI22,34,0)</f>
        <v>7800</v>
      </c>
      <c r="E11" s="5">
        <f>VLOOKUP(B11,工资表!B12:S20,18,0)</f>
        <v>7760</v>
      </c>
      <c r="F11" s="5">
        <f t="shared" si="0"/>
        <v>40.0000000000018</v>
      </c>
      <c r="G11" s="1" t="s">
        <v>114</v>
      </c>
    </row>
    <row r="12" customHeight="1" spans="1:7">
      <c r="A12" s="1">
        <v>10</v>
      </c>
      <c r="B12" s="1" t="str">
        <f>工资表!B13</f>
        <v>白媛媛</v>
      </c>
      <c r="C12" s="1">
        <f>工资表!R13</f>
        <v>21</v>
      </c>
      <c r="D12" s="5">
        <f>(VLOOKUP(B12,工资表!B13:G21,6,0)+VLOOKUP(B12,工资表!B13:H21,7,0))/工资表!F13*VLOOKUP(B12,考勤!B15:AI23,34,0)</f>
        <v>4500</v>
      </c>
      <c r="E12" s="5">
        <f>VLOOKUP(B12,工资表!B13:S21,18,0)</f>
        <v>5189.99999999999</v>
      </c>
      <c r="F12" s="5">
        <f t="shared" si="0"/>
        <v>-689.999999999992</v>
      </c>
      <c r="G12" s="1" t="s">
        <v>116</v>
      </c>
    </row>
    <row r="13" customHeight="1" spans="1:7">
      <c r="A13" s="1">
        <v>11</v>
      </c>
      <c r="B13" s="1" t="str">
        <f>工资表!B14</f>
        <v>温进进</v>
      </c>
      <c r="C13" s="1">
        <f>工资表!R14</f>
        <v>21</v>
      </c>
      <c r="D13" s="5">
        <f>(VLOOKUP(B13,工资表!B14:G22,6,0)+VLOOKUP(B13,工资表!B14:H22,7,0))/工资表!F14*VLOOKUP(B13,考勤!B16:AI24,34,0)</f>
        <v>13500</v>
      </c>
      <c r="E13" s="5">
        <f>VLOOKUP(B13,工资表!B14:S22,18,0)</f>
        <v>13500</v>
      </c>
      <c r="F13" s="5">
        <f t="shared" si="0"/>
        <v>0</v>
      </c>
      <c r="G13" s="1" t="s">
        <v>114</v>
      </c>
    </row>
    <row r="14" customHeight="1" spans="1:7">
      <c r="A14" s="1">
        <v>12</v>
      </c>
      <c r="B14" s="1" t="str">
        <f>工资表!B15</f>
        <v>尹江</v>
      </c>
      <c r="C14" s="1">
        <f>工资表!R15</f>
        <v>21</v>
      </c>
      <c r="D14" s="5">
        <f>(VLOOKUP(B14,工资表!B15:G22,6,0)+VLOOKUP(B14,工资表!B15:H22,7,0))/工资表!F15*VLOOKUP(B14,考勤!B17:AI24,34,0)</f>
        <v>12000</v>
      </c>
      <c r="E14" s="5">
        <f>VLOOKUP(B14,工资表!B15:S22,18,0)</f>
        <v>11980</v>
      </c>
      <c r="F14" s="5">
        <f t="shared" si="0"/>
        <v>20.0000000000109</v>
      </c>
    </row>
    <row r="15" customHeight="1" spans="1:7">
      <c r="A15" s="1">
        <v>13</v>
      </c>
      <c r="B15" s="1" t="str">
        <f>工资表!B16</f>
        <v>谢华军</v>
      </c>
      <c r="C15" s="1">
        <f>工资表!R16</f>
        <v>21</v>
      </c>
      <c r="D15" s="5">
        <f>(VLOOKUP(B15,工资表!B16:G22,6,0)+VLOOKUP(B15,工资表!B16:H22,7,0))/工资表!F16*VLOOKUP(B15,考勤!B18:AI24,34,0)</f>
        <v>4500</v>
      </c>
      <c r="E15" s="5">
        <f>VLOOKUP(B15,工资表!B16:S22,18,0)</f>
        <v>4499.99999999999</v>
      </c>
      <c r="F15" s="5">
        <f t="shared" si="0"/>
        <v>8.18545231595635e-12</v>
      </c>
    </row>
    <row r="16" customHeight="1" spans="1:7">
      <c r="A16" s="1">
        <v>14</v>
      </c>
      <c r="B16" s="1" t="str">
        <f>工资表!B17</f>
        <v>张志慧</v>
      </c>
      <c r="C16" s="1">
        <f>工资表!R17</f>
        <v>27</v>
      </c>
      <c r="D16" s="5">
        <f>(VLOOKUP(B16,工资表!B17:G22,6,0)+VLOOKUP(B16,工资表!B17:H22,7,0))/工资表!F17*VLOOKUP(B16,考勤!B19:AI24,34,0)</f>
        <v>5000</v>
      </c>
      <c r="E16" s="5">
        <f>VLOOKUP(B16,工资表!B17:S22,18,0)</f>
        <v>5000</v>
      </c>
      <c r="F16" s="5">
        <f t="shared" si="0"/>
        <v>0</v>
      </c>
    </row>
    <row r="17" customHeight="1" spans="1:7">
      <c r="A17" s="1">
        <v>15</v>
      </c>
      <c r="B17" s="1" t="str">
        <f>工资表!B18</f>
        <v>王荣</v>
      </c>
      <c r="C17" s="1">
        <f>工资表!R18</f>
        <v>27</v>
      </c>
      <c r="D17" s="5">
        <f>(VLOOKUP(B17,工资表!B18:G22,6,0)+VLOOKUP(B17,工资表!B18:H22,7,0))/工资表!F18*VLOOKUP(B17,考勤!B20:AI24,34,0)</f>
        <v>4000</v>
      </c>
      <c r="E17" s="5">
        <f>VLOOKUP(B17,工资表!B18:S22,18,0)</f>
        <v>8914.35</v>
      </c>
      <c r="F17" s="5">
        <f t="shared" si="0"/>
        <v>-4914.35</v>
      </c>
      <c r="G17" s="1" t="s">
        <v>17</v>
      </c>
    </row>
    <row r="18" customHeight="1" spans="1:7">
      <c r="A18" s="1">
        <v>16</v>
      </c>
      <c r="B18" s="1" t="str">
        <f>工资表!B19</f>
        <v>霍苒</v>
      </c>
      <c r="C18" s="1">
        <f>工资表!R19</f>
        <v>27</v>
      </c>
      <c r="D18" s="5">
        <f>(VLOOKUP(B18,工资表!B19:G22,6,0)+VLOOKUP(B18,工资表!B19:H22,7,0))/工资表!F19*VLOOKUP(B18,考勤!B21:AI24,34,0)</f>
        <v>5000</v>
      </c>
      <c r="E18" s="5">
        <f>VLOOKUP(B18,工资表!B19:S22,18,0)</f>
        <v>25730.71</v>
      </c>
      <c r="F18" s="5">
        <f t="shared" si="0"/>
        <v>-20730.71</v>
      </c>
      <c r="G18" s="1" t="s">
        <v>17</v>
      </c>
    </row>
    <row r="19" customHeight="1" spans="1:7">
      <c r="A19" s="1">
        <v>17</v>
      </c>
      <c r="B19" s="1" t="str">
        <f>工资表!B20</f>
        <v>闫金秀</v>
      </c>
      <c r="C19" s="1">
        <f>工资表!R20</f>
        <v>0</v>
      </c>
      <c r="D19" s="5" t="e">
        <f>(VLOOKUP(B19,工资表!B20:G22,6,0)+VLOOKUP(B19,工资表!B20:H22,7,0))/工资表!F20*VLOOKUP(B19,考勤!B22:AI24,34,0)</f>
        <v>#DIV/0!</v>
      </c>
      <c r="E19" s="5">
        <f>VLOOKUP(B19,工资表!B20:S22,18,0)</f>
        <v>295.6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str">
        <f>工资表!B21</f>
        <v>赵江龙</v>
      </c>
      <c r="C20" s="1">
        <f>工资表!R21</f>
        <v>27</v>
      </c>
      <c r="D20" s="5">
        <f>(VLOOKUP(B20,工资表!B21:G23,6,0)+VLOOKUP(B20,工资表!B21:H23,7,0))/工资表!F21*VLOOKUP(B20,考勤!B23:AI25,34,0)</f>
        <v>4000</v>
      </c>
      <c r="E20" s="5">
        <f>VLOOKUP(B20,工资表!B21:S23,18,0)</f>
        <v>8583.62000000001</v>
      </c>
      <c r="F20" s="5">
        <f t="shared" si="0"/>
        <v>-4583.62000000001</v>
      </c>
      <c r="G20" s="1" t="s">
        <v>17</v>
      </c>
    </row>
    <row r="21" customHeight="1" spans="1:7">
      <c r="A21" s="1">
        <v>19</v>
      </c>
      <c r="B21" s="1" t="str">
        <f>工资表!B22</f>
        <v>张新艳</v>
      </c>
      <c r="C21" s="1">
        <f>工资表!R22</f>
        <v>27</v>
      </c>
      <c r="D21" s="5">
        <f>(VLOOKUP(B21,工资表!B22:G24,6,0)+VLOOKUP(B21,工资表!B22:H24,7,0))/工资表!F22*VLOOKUP(B21,考勤!B24:AI26,34,0)</f>
        <v>4500</v>
      </c>
      <c r="E21" s="5">
        <f>VLOOKUP(B21,工资表!B22:S24,18,0)</f>
        <v>4980</v>
      </c>
      <c r="F21" s="5">
        <f t="shared" si="0"/>
        <v>-479.999999999998</v>
      </c>
      <c r="G21" s="1" t="s">
        <v>17</v>
      </c>
    </row>
    <row r="22" customHeight="1" spans="1:7">
      <c r="A22" s="1">
        <v>20</v>
      </c>
      <c r="B22" s="1" t="str">
        <f>工资表!B23</f>
        <v>王玉慧</v>
      </c>
      <c r="C22" s="1">
        <f>工资表!R23</f>
        <v>0</v>
      </c>
      <c r="D22" s="5">
        <v>0</v>
      </c>
      <c r="E22" s="5">
        <f>VLOOKUP(B22,工资表!B23:S33,18,0)</f>
        <v>5311.08</v>
      </c>
      <c r="F22" s="5">
        <f t="shared" si="0"/>
        <v>-5311.08</v>
      </c>
    </row>
    <row r="26" customHeight="1" spans="1:7">
      <c r="D26" s="5" t="e">
        <f>(VLOOKUP(B22,工资表!B24:G52,6,0)+VLOOKUP(B22,工资表!B24:H52,7,0))/工资表!F24*VLOOKUP(B22,考勤!B26:AI55,34,0)</f>
        <v>#N/A</v>
      </c>
      <c r="E26" s="5" t="e">
        <f>VLOOKUP(B22,工资表!B24:S52,17,0)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117</v>
      </c>
      <c r="D2" s="2" t="s">
        <v>118</v>
      </c>
      <c r="E2" s="2" t="s">
        <v>119</v>
      </c>
    </row>
    <row r="3" hidden="1" customHeight="1" spans="2:5">
      <c r="B3" s="2" t="s">
        <v>120</v>
      </c>
      <c r="C3" s="3">
        <v>1</v>
      </c>
      <c r="D3" s="2">
        <v>0</v>
      </c>
      <c r="E3" s="2">
        <v>0</v>
      </c>
    </row>
    <row r="4" hidden="1" customHeight="1" spans="2:5">
      <c r="B4" s="2" t="s">
        <v>121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122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123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124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41</v>
      </c>
      <c r="C9" s="3">
        <v>0.51</v>
      </c>
      <c r="D9" s="3">
        <v>0.34</v>
      </c>
      <c r="E9" s="3">
        <v>0.15</v>
      </c>
    </row>
    <row r="10" customHeight="1" spans="2:5">
      <c r="B10" s="2" t="s">
        <v>125</v>
      </c>
      <c r="C10" s="3">
        <v>0.51</v>
      </c>
      <c r="D10" s="3">
        <v>0.34</v>
      </c>
      <c r="E10" s="3">
        <v>0.15</v>
      </c>
    </row>
    <row r="11" customHeight="1" spans="2:5">
      <c r="B11" s="2" t="s">
        <v>44</v>
      </c>
      <c r="C11" s="3">
        <v>0.7</v>
      </c>
      <c r="D11" s="3">
        <v>0.3</v>
      </c>
      <c r="E11" s="3">
        <v>0</v>
      </c>
    </row>
    <row r="12" customHeight="1" spans="2:5">
      <c r="B12" s="2" t="s">
        <v>50</v>
      </c>
      <c r="C12" s="3">
        <v>0.8</v>
      </c>
      <c r="D12" s="3">
        <v>0.2</v>
      </c>
      <c r="E12" s="3">
        <v>0</v>
      </c>
    </row>
    <row r="13" customHeight="1" spans="2:5">
      <c r="B13" s="2" t="s">
        <v>71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管丽萍</cp:lastModifiedBy>
  <dcterms:created xsi:type="dcterms:W3CDTF">2023-05-12T11:15:00Z</dcterms:created>
  <dcterms:modified xsi:type="dcterms:W3CDTF">2026-04-16T04:32:56Z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