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857" activeTab="1"/>
  </bookViews>
  <sheets>
    <sheet name="租赁业务明细" sheetId="1" r:id="rId1"/>
    <sheet name="提成发放表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<sst xmlns="http://schemas.openxmlformats.org/spreadsheetml/2006/main" count="84" uniqueCount="74">
  <si>
    <t>2024年11月-2025年2月库尔勒片区画堂春锦苑项目
招商租赁业务提成明细</t>
  </si>
  <si>
    <t>租赁业务详情</t>
  </si>
  <si>
    <t>佣金计算详情</t>
  </si>
  <si>
    <t>本次结算佣金计算详情</t>
  </si>
  <si>
    <t>备注</t>
  </si>
  <si>
    <t>序号</t>
  </si>
  <si>
    <t>业务发生时间</t>
  </si>
  <si>
    <t>房号</t>
  </si>
  <si>
    <t>租户名称</t>
  </si>
  <si>
    <t>面积（㎡）</t>
  </si>
  <si>
    <t>租金价
（㎡/天）</t>
  </si>
  <si>
    <t>日租金（元）</t>
  </si>
  <si>
    <t>租期（年）</t>
  </si>
  <si>
    <t>首年租金（元）</t>
  </si>
  <si>
    <t>应提佣金（元）</t>
  </si>
  <si>
    <t>应提佣金*70%（元）</t>
  </si>
  <si>
    <t>招商人员</t>
  </si>
  <si>
    <t>招商人员
(15天)</t>
  </si>
  <si>
    <t>经办人
(1天)</t>
  </si>
  <si>
    <t>案场经理
(2天)</t>
  </si>
  <si>
    <t>招商负责人
(2天)</t>
  </si>
  <si>
    <t>小计</t>
  </si>
  <si>
    <t>招商人员
15天*70%</t>
  </si>
  <si>
    <t>经办人
1天*70%</t>
  </si>
  <si>
    <t>案场经理
2天*70%</t>
  </si>
  <si>
    <t>招商负责人
2天*70%</t>
  </si>
  <si>
    <t>14-负1-01</t>
  </si>
  <si>
    <t>凌伟楠</t>
  </si>
  <si>
    <t>王荣</t>
  </si>
  <si>
    <t>合同约定第一期租金收取天数为273天（2024.11.12-2025.8.11）</t>
  </si>
  <si>
    <t>2024年招商租赁计佣标准按照2025年最新签批计佣天数核算（15+1+2+2=20天），不预留30%。</t>
  </si>
  <si>
    <t>14-2层18</t>
  </si>
  <si>
    <t>陈博文（巴州一舍空间建筑装饰有限责任公司）</t>
  </si>
  <si>
    <t>肖陶丽</t>
  </si>
  <si>
    <t>合同约定第一期租金收取天数为425天（2024.11.19-2026.1.18）</t>
  </si>
  <si>
    <t>14-3层01</t>
  </si>
  <si>
    <t>库尔勒天山壹品餐饮服务管理有限公司</t>
  </si>
  <si>
    <t>霍苒</t>
  </si>
  <si>
    <t>合同约定第一期租金收取天数为485天（2024.12.13-2026.4.12）</t>
  </si>
  <si>
    <t>15-2层07</t>
  </si>
  <si>
    <t>王瑾瑜</t>
  </si>
  <si>
    <t>潘亦玹</t>
  </si>
  <si>
    <t>合同约定第一期租金收取天数为425天（2025.2.7-2026.4.6）</t>
  </si>
  <si>
    <t>2025年新招商租赁，计佣标准按2025年最新制度要求先发放70%佣金，扣留30%年底根据指标完成情况据实发放</t>
  </si>
  <si>
    <t>15-2层08</t>
  </si>
  <si>
    <t>15-2层09</t>
  </si>
  <si>
    <t>15-2层10</t>
  </si>
  <si>
    <t>郑青松</t>
  </si>
  <si>
    <t>14-2层21</t>
  </si>
  <si>
    <t>朱兰义</t>
  </si>
  <si>
    <t>李福晴</t>
  </si>
  <si>
    <t>合同约定第一期租金收取天数为365天（2025.2.17-2026.2.16）</t>
  </si>
  <si>
    <t>2024.8.13</t>
  </si>
  <si>
    <t>18-2层02</t>
  </si>
  <si>
    <t>凌小小</t>
  </si>
  <si>
    <t>连阵阵</t>
  </si>
  <si>
    <t>此为2024年招商租赁，并于2024年9月已发放50%佣金，根据2025年最新签批招商租赁计佣标准，补齐招商人员5天佣金，招商负责人补足2天佣金。</t>
  </si>
  <si>
    <t>合计</t>
  </si>
  <si>
    <t>制表人：王玉慧</t>
  </si>
  <si>
    <t>2025年2月画堂春锦苑商管部业务提成（租赁业务）</t>
  </si>
  <si>
    <t>姓名</t>
  </si>
  <si>
    <t>房屋、商铺租赁费佣金</t>
  </si>
  <si>
    <t>扣预留</t>
  </si>
  <si>
    <t>应发提成额</t>
  </si>
  <si>
    <t>扣税率</t>
  </si>
  <si>
    <t>税额</t>
  </si>
  <si>
    <t>实发金额</t>
  </si>
  <si>
    <t>开户行</t>
  </si>
  <si>
    <t>卡号</t>
  </si>
  <si>
    <t>师艳莉</t>
  </si>
  <si>
    <t>王玉慧</t>
  </si>
  <si>
    <t>卢婷婷</t>
  </si>
  <si>
    <t>制表人： 王玉慧          日期2025-3</t>
  </si>
  <si>
    <t>日期 2025-3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</si>
</sst>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6" borderId="17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vertical="center"/>
    </xf>
    <xf numFmtId="177" fontId="0" fillId="0" borderId="1" xfId="0" applyNumberFormat="1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>
      <alignment horizontal="right" vertical="center"/>
    </xf>
    <xf numFmtId="176" fontId="0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vertical="center"/>
    </xf>
    <xf numFmtId="0" fontId="6" fillId="0" borderId="0" xfId="0" applyFont="1" applyFill="1" applyBorder="1" applyAlignment="1"/>
    <xf numFmtId="0" fontId="7" fillId="0" borderId="0" xfId="0" applyFont="1" applyFill="1" applyBorder="1" applyAlignment="1">
      <alignment horizontal="center"/>
    </xf>
    <xf numFmtId="176" fontId="6" fillId="0" borderId="0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/>
    <xf numFmtId="0" fontId="0" fillId="0" borderId="0" xfId="0" applyAlignment="1">
      <alignment vertical="center"/>
    </xf>
    <xf numFmtId="0" fontId="6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0" fillId="0" borderId="0" xfId="0" applyFont="1" applyFill="1" applyBorder="1" applyAlignment="1"/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57" fontId="0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57" fontId="0" fillId="0" borderId="0" xfId="0" applyNumberFormat="1" applyFont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/>
    </xf>
    <xf numFmtId="177" fontId="10" fillId="2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/>
    </xf>
    <xf numFmtId="177" fontId="10" fillId="2" borderId="1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177" fontId="10" fillId="2" borderId="4" xfId="0" applyNumberFormat="1" applyFont="1" applyFill="1" applyBorder="1" applyAlignment="1">
      <alignment horizontal="center" vertical="center"/>
    </xf>
    <xf numFmtId="177" fontId="0" fillId="0" borderId="4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177" fontId="10" fillId="2" borderId="5" xfId="0" applyNumberFormat="1" applyFont="1" applyFill="1" applyBorder="1" applyAlignment="1">
      <alignment horizontal="center" vertical="center"/>
    </xf>
    <xf numFmtId="177" fontId="0" fillId="0" borderId="5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177" fontId="10" fillId="2" borderId="6" xfId="0" applyNumberFormat="1" applyFont="1" applyFill="1" applyBorder="1" applyAlignment="1">
      <alignment horizontal="center" vertical="center"/>
    </xf>
    <xf numFmtId="177" fontId="0" fillId="0" borderId="6" xfId="0" applyNumberFormat="1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177" fontId="0" fillId="2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77" fontId="0" fillId="2" borderId="4" xfId="0" applyNumberFormat="1" applyFont="1" applyFill="1" applyBorder="1" applyAlignment="1">
      <alignment horizontal="center" vertical="center" wrapText="1"/>
    </xf>
    <xf numFmtId="177" fontId="10" fillId="0" borderId="4" xfId="0" applyNumberFormat="1" applyFont="1" applyFill="1" applyBorder="1" applyAlignment="1">
      <alignment horizontal="center" vertical="center" wrapText="1"/>
    </xf>
    <xf numFmtId="177" fontId="10" fillId="0" borderId="4" xfId="0" applyNumberFormat="1" applyFont="1" applyFill="1" applyBorder="1" applyAlignment="1">
      <alignment horizontal="center" vertical="center"/>
    </xf>
    <xf numFmtId="177" fontId="0" fillId="2" borderId="5" xfId="0" applyNumberFormat="1" applyFont="1" applyFill="1" applyBorder="1" applyAlignment="1">
      <alignment horizontal="center" vertical="center" wrapText="1"/>
    </xf>
    <xf numFmtId="177" fontId="10" fillId="0" borderId="5" xfId="0" applyNumberFormat="1" applyFont="1" applyFill="1" applyBorder="1" applyAlignment="1">
      <alignment horizontal="center" vertical="center" wrapText="1"/>
    </xf>
    <xf numFmtId="177" fontId="10" fillId="0" borderId="5" xfId="0" applyNumberFormat="1" applyFont="1" applyFill="1" applyBorder="1" applyAlignment="1">
      <alignment horizontal="center" vertical="center"/>
    </xf>
    <xf numFmtId="177" fontId="0" fillId="2" borderId="6" xfId="0" applyNumberFormat="1" applyFont="1" applyFill="1" applyBorder="1" applyAlignment="1">
      <alignment horizontal="center" vertical="center" wrapText="1"/>
    </xf>
    <xf numFmtId="177" fontId="10" fillId="0" borderId="6" xfId="0" applyNumberFormat="1" applyFont="1" applyFill="1" applyBorder="1" applyAlignment="1">
      <alignment horizontal="center" vertical="center" wrapText="1"/>
    </xf>
    <xf numFmtId="177" fontId="10" fillId="0" borderId="6" xfId="0" applyNumberFormat="1" applyFont="1" applyFill="1" applyBorder="1" applyAlignment="1">
      <alignment horizontal="center" vertical="center"/>
    </xf>
    <xf numFmtId="177" fontId="10" fillId="0" borderId="0" xfId="0" applyNumberFormat="1" applyFont="1" applyFill="1" applyAlignment="1">
      <alignment horizontal="center" vertical="center" wrapText="1"/>
    </xf>
    <xf numFmtId="177" fontId="10" fillId="0" borderId="0" xfId="0" applyNumberFormat="1" applyFont="1" applyFill="1" applyBorder="1" applyAlignment="1">
      <alignment horizontal="center" vertical="center"/>
    </xf>
    <xf numFmtId="177" fontId="0" fillId="0" borderId="0" xfId="0" applyNumberFormat="1" applyFont="1" applyAlignment="1">
      <alignment horizontal="center" vertical="center" wrapText="1"/>
    </xf>
    <xf numFmtId="177" fontId="0" fillId="0" borderId="0" xfId="0" applyNumberFormat="1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6"/>
  <sheetViews>
    <sheetView zoomScale="90" zoomScaleNormal="90" topLeftCell="A2" workbookViewId="0">
      <selection activeCell="Q4" sqref="Q4"/>
    </sheetView>
  </sheetViews>
  <sheetFormatPr defaultColWidth="9" defaultRowHeight="25" customHeight="1"/>
  <cols>
    <col min="1" max="1" width="6" style="29" customWidth="1"/>
    <col min="2" max="2" width="10.625" style="29" customWidth="1"/>
    <col min="3" max="3" width="10" style="29" customWidth="1"/>
    <col min="4" max="4" width="13.325" style="29" customWidth="1"/>
    <col min="5" max="5" width="8.5" style="29" customWidth="1"/>
    <col min="6" max="6" width="7" style="29" customWidth="1"/>
    <col min="7" max="7" width="8.75" style="29" customWidth="1"/>
    <col min="8" max="8" width="6" style="29" customWidth="1"/>
    <col min="9" max="9" width="11.3833333333333" style="29" customWidth="1"/>
    <col min="10" max="10" width="11.25" style="30" customWidth="1"/>
    <col min="11" max="11" width="12.2166666666667" style="30" customWidth="1"/>
    <col min="12" max="12" width="11.2416666666667" style="29" customWidth="1"/>
    <col min="13" max="13" width="11.5" style="30" customWidth="1"/>
    <col min="14" max="16" width="10.5" style="30" customWidth="1"/>
    <col min="17" max="17" width="11.75" style="30" customWidth="1"/>
    <col min="18" max="18" width="13.475" style="30" customWidth="1"/>
    <col min="19" max="19" width="10.4166666666667" style="30" customWidth="1"/>
    <col min="20" max="20" width="11.25" style="30" customWidth="1"/>
    <col min="21" max="21" width="11.2416666666667" style="30" customWidth="1"/>
    <col min="22" max="22" width="12.75" style="30" customWidth="1"/>
    <col min="23" max="23" width="32.3583333333333" style="29" customWidth="1"/>
    <col min="24" max="24" width="27.0833333333333" style="29" customWidth="1"/>
    <col min="25" max="16384" width="9" style="29"/>
  </cols>
  <sheetData>
    <row r="1" s="25" customFormat="1" ht="61" customHeight="1" spans="1:24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64"/>
    </row>
    <row r="2" s="26" customFormat="1" ht="47" customHeight="1" spans="1:24">
      <c r="A2" s="8"/>
      <c r="B2" s="33" t="s">
        <v>1</v>
      </c>
      <c r="C2" s="33"/>
      <c r="D2" s="33"/>
      <c r="E2" s="33"/>
      <c r="F2" s="33"/>
      <c r="G2" s="33"/>
      <c r="H2" s="33"/>
      <c r="I2" s="33"/>
      <c r="J2" s="51"/>
      <c r="K2" s="51"/>
      <c r="L2" s="33"/>
      <c r="M2" s="51" t="s">
        <v>2</v>
      </c>
      <c r="N2" s="51"/>
      <c r="O2" s="51"/>
      <c r="P2" s="51"/>
      <c r="Q2" s="51"/>
      <c r="R2" s="65" t="s">
        <v>3</v>
      </c>
      <c r="S2" s="65"/>
      <c r="T2" s="65"/>
      <c r="U2" s="65"/>
      <c r="V2" s="65"/>
      <c r="W2" s="66" t="s">
        <v>4</v>
      </c>
      <c r="X2" s="67"/>
    </row>
    <row r="3" s="27" customFormat="1" ht="49" customHeight="1" spans="1:24">
      <c r="A3" s="34" t="s">
        <v>5</v>
      </c>
      <c r="B3" s="34" t="s">
        <v>6</v>
      </c>
      <c r="C3" s="34" t="s">
        <v>7</v>
      </c>
      <c r="D3" s="34" t="s">
        <v>8</v>
      </c>
      <c r="E3" s="34" t="s">
        <v>9</v>
      </c>
      <c r="F3" s="34" t="s">
        <v>10</v>
      </c>
      <c r="G3" s="34" t="s">
        <v>11</v>
      </c>
      <c r="H3" s="34" t="s">
        <v>12</v>
      </c>
      <c r="I3" s="34" t="s">
        <v>13</v>
      </c>
      <c r="J3" s="52" t="s">
        <v>14</v>
      </c>
      <c r="K3" s="52" t="s">
        <v>15</v>
      </c>
      <c r="L3" s="34" t="s">
        <v>16</v>
      </c>
      <c r="M3" s="39" t="s">
        <v>17</v>
      </c>
      <c r="N3" s="39" t="s">
        <v>18</v>
      </c>
      <c r="O3" s="39" t="s">
        <v>19</v>
      </c>
      <c r="P3" s="39" t="s">
        <v>20</v>
      </c>
      <c r="Q3" s="68" t="s">
        <v>21</v>
      </c>
      <c r="R3" s="69" t="s">
        <v>22</v>
      </c>
      <c r="S3" s="69" t="s">
        <v>23</v>
      </c>
      <c r="T3" s="69" t="s">
        <v>24</v>
      </c>
      <c r="U3" s="69" t="s">
        <v>25</v>
      </c>
      <c r="V3" s="52" t="s">
        <v>21</v>
      </c>
      <c r="W3" s="70"/>
      <c r="X3" s="71"/>
    </row>
    <row r="4" s="28" customFormat="1" ht="52" customHeight="1" spans="1:24">
      <c r="A4" s="35">
        <v>1</v>
      </c>
      <c r="B4" s="36">
        <v>45607</v>
      </c>
      <c r="C4" s="34" t="s">
        <v>26</v>
      </c>
      <c r="D4" s="34" t="s">
        <v>27</v>
      </c>
      <c r="E4" s="34">
        <v>976.47</v>
      </c>
      <c r="F4" s="37">
        <v>0.56</v>
      </c>
      <c r="G4" s="38">
        <f>E4*F4</f>
        <v>546.8232</v>
      </c>
      <c r="H4" s="35">
        <v>8</v>
      </c>
      <c r="I4" s="53">
        <v>150000</v>
      </c>
      <c r="J4" s="54">
        <f>G4*20</f>
        <v>10936.464</v>
      </c>
      <c r="K4" s="54">
        <f>G4*20</f>
        <v>10936.464</v>
      </c>
      <c r="L4" s="34" t="s">
        <v>28</v>
      </c>
      <c r="M4" s="53">
        <f>G4*15</f>
        <v>8202.348</v>
      </c>
      <c r="N4" s="53">
        <f>G4*1</f>
        <v>546.8232</v>
      </c>
      <c r="O4" s="53">
        <f>G4*2</f>
        <v>1093.6464</v>
      </c>
      <c r="P4" s="53">
        <f>G4*2</f>
        <v>1093.6464</v>
      </c>
      <c r="Q4" s="68">
        <f>SUM(M4:P4)</f>
        <v>10936.464</v>
      </c>
      <c r="R4" s="69">
        <f>M4</f>
        <v>8202.348</v>
      </c>
      <c r="S4" s="69">
        <f>N4</f>
        <v>546.8232</v>
      </c>
      <c r="T4" s="72">
        <f>O4</f>
        <v>1093.6464</v>
      </c>
      <c r="U4" s="69">
        <f>P4</f>
        <v>1093.6464</v>
      </c>
      <c r="V4" s="52">
        <f>SUM(R4:U4)</f>
        <v>10936.464</v>
      </c>
      <c r="W4" s="73" t="s">
        <v>29</v>
      </c>
      <c r="X4" s="73" t="s">
        <v>30</v>
      </c>
    </row>
    <row r="5" s="28" customFormat="1" ht="47" customHeight="1" spans="1:24">
      <c r="A5" s="35">
        <v>2</v>
      </c>
      <c r="B5" s="36">
        <v>45597</v>
      </c>
      <c r="C5" s="34" t="s">
        <v>31</v>
      </c>
      <c r="D5" s="34" t="s">
        <v>32</v>
      </c>
      <c r="E5" s="34">
        <v>128.26</v>
      </c>
      <c r="F5" s="37">
        <v>0.94</v>
      </c>
      <c r="G5" s="38">
        <f t="shared" ref="G4:G12" si="0">E5*F5</f>
        <v>120.5644</v>
      </c>
      <c r="H5" s="35">
        <v>3</v>
      </c>
      <c r="I5" s="35">
        <v>51496</v>
      </c>
      <c r="J5" s="54">
        <f>G5*20</f>
        <v>2411.288</v>
      </c>
      <c r="K5" s="54">
        <f>G5*20</f>
        <v>2411.288</v>
      </c>
      <c r="L5" s="34" t="s">
        <v>33</v>
      </c>
      <c r="M5" s="53">
        <f t="shared" ref="M5:M11" si="1">G5*15</f>
        <v>1808.466</v>
      </c>
      <c r="N5" s="53">
        <f t="shared" ref="N5:N11" si="2">G5*1</f>
        <v>120.5644</v>
      </c>
      <c r="O5" s="53">
        <f t="shared" ref="O5:O11" si="3">G5*2</f>
        <v>241.1288</v>
      </c>
      <c r="P5" s="53">
        <f t="shared" ref="P5:P11" si="4">G5*2</f>
        <v>241.1288</v>
      </c>
      <c r="Q5" s="68">
        <f>SUM(M5:P5)</f>
        <v>2411.288</v>
      </c>
      <c r="R5" s="69">
        <f>M5</f>
        <v>1808.466</v>
      </c>
      <c r="S5" s="69">
        <f>N5</f>
        <v>120.5644</v>
      </c>
      <c r="T5" s="72">
        <f>O5</f>
        <v>241.1288</v>
      </c>
      <c r="U5" s="69">
        <f>P5</f>
        <v>241.1288</v>
      </c>
      <c r="V5" s="52">
        <f>SUM(R5:U5)</f>
        <v>2411.288</v>
      </c>
      <c r="W5" s="73" t="s">
        <v>34</v>
      </c>
      <c r="X5" s="73"/>
    </row>
    <row r="6" s="28" customFormat="1" ht="54" customHeight="1" spans="1:24">
      <c r="A6" s="35">
        <v>3</v>
      </c>
      <c r="B6" s="36">
        <v>45639</v>
      </c>
      <c r="C6" s="34" t="s">
        <v>35</v>
      </c>
      <c r="D6" s="39" t="s">
        <v>36</v>
      </c>
      <c r="E6" s="34">
        <v>898.79</v>
      </c>
      <c r="F6" s="37">
        <v>0.83</v>
      </c>
      <c r="G6" s="38">
        <f t="shared" si="0"/>
        <v>745.9957</v>
      </c>
      <c r="H6" s="35">
        <v>3</v>
      </c>
      <c r="I6" s="35">
        <v>360000</v>
      </c>
      <c r="J6" s="54">
        <f>G6*20</f>
        <v>14919.914</v>
      </c>
      <c r="K6" s="54">
        <f>G6*20</f>
        <v>14919.914</v>
      </c>
      <c r="L6" s="39" t="s">
        <v>37</v>
      </c>
      <c r="M6" s="53">
        <f t="shared" si="1"/>
        <v>11189.9355</v>
      </c>
      <c r="N6" s="53">
        <f t="shared" si="2"/>
        <v>745.9957</v>
      </c>
      <c r="O6" s="53">
        <f t="shared" si="3"/>
        <v>1491.9914</v>
      </c>
      <c r="P6" s="53">
        <f t="shared" si="4"/>
        <v>1491.9914</v>
      </c>
      <c r="Q6" s="68">
        <f>SUM(M6:P6)</f>
        <v>14919.914</v>
      </c>
      <c r="R6" s="69">
        <f>M6</f>
        <v>11189.9355</v>
      </c>
      <c r="S6" s="69">
        <f>N6</f>
        <v>745.9957</v>
      </c>
      <c r="T6" s="72">
        <f>O6</f>
        <v>1491.9914</v>
      </c>
      <c r="U6" s="69">
        <f>P6</f>
        <v>1491.9914</v>
      </c>
      <c r="V6" s="52">
        <f>SUM(R6:U6)</f>
        <v>14919.914</v>
      </c>
      <c r="W6" s="73" t="s">
        <v>38</v>
      </c>
      <c r="X6" s="73"/>
    </row>
    <row r="7" s="28" customFormat="1" ht="30" customHeight="1" spans="1:24">
      <c r="A7" s="40">
        <v>4</v>
      </c>
      <c r="B7" s="36">
        <v>45694</v>
      </c>
      <c r="C7" s="41" t="s">
        <v>39</v>
      </c>
      <c r="D7" s="34" t="s">
        <v>40</v>
      </c>
      <c r="E7" s="34">
        <v>57.71</v>
      </c>
      <c r="F7" s="35">
        <v>1.03</v>
      </c>
      <c r="G7" s="38">
        <f t="shared" si="0"/>
        <v>59.4413</v>
      </c>
      <c r="H7" s="35">
        <v>3</v>
      </c>
      <c r="I7" s="55">
        <v>75831</v>
      </c>
      <c r="J7" s="56">
        <f>(G7+G8+G9)*20</f>
        <v>3566.478</v>
      </c>
      <c r="K7" s="56">
        <f>(G7+G8+G9)*20*0.7</f>
        <v>2496.5346</v>
      </c>
      <c r="L7" s="39" t="s">
        <v>41</v>
      </c>
      <c r="M7" s="57">
        <f>(G7+G8+G9)*15</f>
        <v>2674.8585</v>
      </c>
      <c r="N7" s="57">
        <f>(G7+G8+G9)*1</f>
        <v>178.3239</v>
      </c>
      <c r="O7" s="57">
        <f>(G7+G8+G9)*2</f>
        <v>356.6478</v>
      </c>
      <c r="P7" s="57">
        <f>(G7+G8+G9)*2</f>
        <v>356.6478</v>
      </c>
      <c r="Q7" s="74">
        <f>SUM(M7:P7)</f>
        <v>3566.478</v>
      </c>
      <c r="R7" s="75">
        <f t="shared" ref="R5:R11" si="5">M7*0.7</f>
        <v>1872.40095</v>
      </c>
      <c r="S7" s="75">
        <f t="shared" ref="S5:S11" si="6">N7*0.7</f>
        <v>124.82673</v>
      </c>
      <c r="T7" s="76">
        <f t="shared" ref="T5:T11" si="7">O7*0.7</f>
        <v>249.65346</v>
      </c>
      <c r="U7" s="75">
        <f t="shared" ref="U5:U11" si="8">P7*0.7</f>
        <v>249.65346</v>
      </c>
      <c r="V7" s="56">
        <f>SUM(R7:U7)</f>
        <v>2496.5346</v>
      </c>
      <c r="W7" s="55" t="s">
        <v>42</v>
      </c>
      <c r="X7" s="73" t="s">
        <v>43</v>
      </c>
    </row>
    <row r="8" s="28" customFormat="1" ht="30" customHeight="1" spans="1:24">
      <c r="A8" s="42"/>
      <c r="B8" s="36">
        <v>45694</v>
      </c>
      <c r="C8" s="41" t="s">
        <v>44</v>
      </c>
      <c r="D8" s="34"/>
      <c r="E8" s="34">
        <v>57.71</v>
      </c>
      <c r="F8" s="35">
        <v>1.03</v>
      </c>
      <c r="G8" s="38">
        <f t="shared" si="0"/>
        <v>59.4413</v>
      </c>
      <c r="H8" s="35">
        <v>3</v>
      </c>
      <c r="I8" s="58"/>
      <c r="J8" s="59"/>
      <c r="K8" s="59"/>
      <c r="L8" s="39"/>
      <c r="M8" s="60"/>
      <c r="N8" s="60"/>
      <c r="O8" s="60"/>
      <c r="P8" s="60"/>
      <c r="Q8" s="77"/>
      <c r="R8" s="78"/>
      <c r="S8" s="78"/>
      <c r="T8" s="79"/>
      <c r="U8" s="78"/>
      <c r="V8" s="59"/>
      <c r="W8" s="58"/>
      <c r="X8" s="73"/>
    </row>
    <row r="9" s="28" customFormat="1" ht="30" customHeight="1" spans="1:24">
      <c r="A9" s="43"/>
      <c r="B9" s="36">
        <v>45694</v>
      </c>
      <c r="C9" s="41" t="s">
        <v>45</v>
      </c>
      <c r="D9" s="34"/>
      <c r="E9" s="34">
        <v>57.71</v>
      </c>
      <c r="F9" s="35">
        <v>1.03</v>
      </c>
      <c r="G9" s="38">
        <f t="shared" si="0"/>
        <v>59.4413</v>
      </c>
      <c r="H9" s="35">
        <v>3</v>
      </c>
      <c r="I9" s="61"/>
      <c r="J9" s="62"/>
      <c r="K9" s="62"/>
      <c r="L9" s="39"/>
      <c r="M9" s="63"/>
      <c r="N9" s="63"/>
      <c r="O9" s="63"/>
      <c r="P9" s="63"/>
      <c r="Q9" s="80"/>
      <c r="R9" s="81"/>
      <c r="S9" s="81"/>
      <c r="T9" s="82"/>
      <c r="U9" s="81"/>
      <c r="V9" s="62"/>
      <c r="W9" s="61"/>
      <c r="X9" s="73"/>
    </row>
    <row r="10" s="28" customFormat="1" ht="48" customHeight="1" spans="1:24">
      <c r="A10" s="35">
        <v>5</v>
      </c>
      <c r="B10" s="36">
        <v>45694</v>
      </c>
      <c r="C10" s="41" t="s">
        <v>46</v>
      </c>
      <c r="D10" s="39" t="s">
        <v>47</v>
      </c>
      <c r="E10" s="34">
        <v>88.2</v>
      </c>
      <c r="F10" s="35">
        <v>1.116</v>
      </c>
      <c r="G10" s="38">
        <f t="shared" si="0"/>
        <v>98.4312</v>
      </c>
      <c r="H10" s="35">
        <v>3</v>
      </c>
      <c r="I10" s="35">
        <v>41851</v>
      </c>
      <c r="J10" s="54">
        <f>G10*20</f>
        <v>1968.624</v>
      </c>
      <c r="K10" s="54">
        <f>G10*20*0.7</f>
        <v>1378.0368</v>
      </c>
      <c r="L10" s="39" t="s">
        <v>28</v>
      </c>
      <c r="M10" s="53">
        <f t="shared" si="1"/>
        <v>1476.468</v>
      </c>
      <c r="N10" s="53">
        <f t="shared" si="2"/>
        <v>98.4312</v>
      </c>
      <c r="O10" s="53">
        <f t="shared" si="3"/>
        <v>196.8624</v>
      </c>
      <c r="P10" s="53">
        <f t="shared" si="4"/>
        <v>196.8624</v>
      </c>
      <c r="Q10" s="68">
        <f>SUM(M10:P10)</f>
        <v>1968.624</v>
      </c>
      <c r="R10" s="69">
        <f t="shared" si="5"/>
        <v>1033.5276</v>
      </c>
      <c r="S10" s="69">
        <f t="shared" si="6"/>
        <v>68.90184</v>
      </c>
      <c r="T10" s="72">
        <f t="shared" si="7"/>
        <v>137.80368</v>
      </c>
      <c r="U10" s="69">
        <f t="shared" si="8"/>
        <v>137.80368</v>
      </c>
      <c r="V10" s="54">
        <f>SUM(R10:U10)</f>
        <v>1378.0368</v>
      </c>
      <c r="W10" s="73" t="s">
        <v>42</v>
      </c>
      <c r="X10" s="73"/>
    </row>
    <row r="11" s="28" customFormat="1" ht="49" customHeight="1" spans="1:24">
      <c r="A11" s="35">
        <v>6</v>
      </c>
      <c r="B11" s="36">
        <v>45703</v>
      </c>
      <c r="C11" s="41" t="s">
        <v>48</v>
      </c>
      <c r="D11" s="39" t="s">
        <v>49</v>
      </c>
      <c r="E11" s="34">
        <v>118.54</v>
      </c>
      <c r="F11" s="35">
        <v>0.8333</v>
      </c>
      <c r="G11" s="38">
        <f t="shared" si="0"/>
        <v>98.779382</v>
      </c>
      <c r="H11" s="35">
        <v>3</v>
      </c>
      <c r="I11" s="35">
        <v>36056</v>
      </c>
      <c r="J11" s="54">
        <f>G11*20</f>
        <v>1975.58764</v>
      </c>
      <c r="K11" s="54">
        <f>G11*20*0.7</f>
        <v>1382.911348</v>
      </c>
      <c r="L11" s="39" t="s">
        <v>50</v>
      </c>
      <c r="M11" s="53">
        <f t="shared" si="1"/>
        <v>1481.69073</v>
      </c>
      <c r="N11" s="53">
        <f t="shared" si="2"/>
        <v>98.779382</v>
      </c>
      <c r="O11" s="53">
        <f t="shared" si="3"/>
        <v>197.558764</v>
      </c>
      <c r="P11" s="53">
        <f t="shared" si="4"/>
        <v>197.558764</v>
      </c>
      <c r="Q11" s="68">
        <f>SUM(M11:P11)</f>
        <v>1975.58764</v>
      </c>
      <c r="R11" s="69">
        <f t="shared" si="5"/>
        <v>1037.183511</v>
      </c>
      <c r="S11" s="69">
        <f t="shared" si="6"/>
        <v>69.1455674</v>
      </c>
      <c r="T11" s="72">
        <f t="shared" si="7"/>
        <v>138.2911348</v>
      </c>
      <c r="U11" s="69">
        <f t="shared" si="8"/>
        <v>138.2911348</v>
      </c>
      <c r="V11" s="54">
        <f>SUM(R11:U11)</f>
        <v>1382.911348</v>
      </c>
      <c r="W11" s="73" t="s">
        <v>51</v>
      </c>
      <c r="X11" s="73"/>
    </row>
    <row r="12" s="28" customFormat="1" ht="101" customHeight="1" spans="1:24">
      <c r="A12" s="35">
        <v>7</v>
      </c>
      <c r="B12" s="36" t="s">
        <v>52</v>
      </c>
      <c r="C12" s="34" t="s">
        <v>53</v>
      </c>
      <c r="D12" s="44" t="s">
        <v>54</v>
      </c>
      <c r="E12" s="41">
        <v>315.68</v>
      </c>
      <c r="F12" s="34">
        <v>1.2</v>
      </c>
      <c r="G12" s="38">
        <f t="shared" si="0"/>
        <v>378.816</v>
      </c>
      <c r="H12" s="45">
        <v>5</v>
      </c>
      <c r="I12" s="38">
        <f>G12*365</f>
        <v>138267.84</v>
      </c>
      <c r="J12" s="54">
        <f>G12*5.5</f>
        <v>2083.488</v>
      </c>
      <c r="K12" s="54">
        <f>J12</f>
        <v>2083.488</v>
      </c>
      <c r="L12" s="34" t="s">
        <v>55</v>
      </c>
      <c r="M12" s="39">
        <f>G12*5</f>
        <v>1894.08</v>
      </c>
      <c r="N12" s="9">
        <v>0</v>
      </c>
      <c r="O12" s="9">
        <v>0</v>
      </c>
      <c r="P12" s="39">
        <f>G12*0.5</f>
        <v>189.408</v>
      </c>
      <c r="Q12" s="68">
        <f>SUM(M12:P12)</f>
        <v>2083.488</v>
      </c>
      <c r="R12" s="69">
        <f>M12</f>
        <v>1894.08</v>
      </c>
      <c r="S12" s="72">
        <v>0</v>
      </c>
      <c r="T12" s="72">
        <v>0</v>
      </c>
      <c r="U12" s="69">
        <v>189.41</v>
      </c>
      <c r="V12" s="54">
        <f>SUM(R12:U12)</f>
        <v>2083.49</v>
      </c>
      <c r="W12" s="73"/>
      <c r="X12" s="73" t="s">
        <v>56</v>
      </c>
    </row>
    <row r="13" s="28" customFormat="1" ht="58" customHeight="1" spans="1:24">
      <c r="A13" s="46" t="s">
        <v>57</v>
      </c>
      <c r="B13" s="47"/>
      <c r="C13" s="47"/>
      <c r="D13" s="48"/>
      <c r="E13" s="49"/>
      <c r="F13" s="49"/>
      <c r="G13" s="49"/>
      <c r="H13" s="49"/>
      <c r="I13" s="49"/>
      <c r="J13" s="54">
        <f>SUM(J4:J12)</f>
        <v>37861.84364</v>
      </c>
      <c r="K13" s="54">
        <f>SUM(K4:K12)</f>
        <v>35608.636748</v>
      </c>
      <c r="L13" s="49"/>
      <c r="M13" s="9">
        <f>SUM(M4:M12)</f>
        <v>28727.84673</v>
      </c>
      <c r="N13" s="9">
        <f>SUM(N4:N12)</f>
        <v>1788.917782</v>
      </c>
      <c r="O13" s="9">
        <f t="shared" ref="J13:V13" si="9">SUM(O4:O12)</f>
        <v>3577.835564</v>
      </c>
      <c r="P13" s="9">
        <f t="shared" si="9"/>
        <v>3767.243564</v>
      </c>
      <c r="Q13" s="54">
        <f t="shared" si="9"/>
        <v>37861.84364</v>
      </c>
      <c r="R13" s="9">
        <f t="shared" si="9"/>
        <v>27037.941561</v>
      </c>
      <c r="S13" s="9">
        <f t="shared" si="9"/>
        <v>1676.2574374</v>
      </c>
      <c r="T13" s="9">
        <f t="shared" si="9"/>
        <v>3352.5148748</v>
      </c>
      <c r="U13" s="9">
        <f t="shared" si="9"/>
        <v>3541.9248748</v>
      </c>
      <c r="V13" s="54">
        <f t="shared" si="9"/>
        <v>35608.638748</v>
      </c>
      <c r="W13" s="35"/>
      <c r="X13" s="35"/>
    </row>
    <row r="14" s="29" customFormat="1" ht="20" customHeight="1" spans="2:22">
      <c r="B14" s="50"/>
      <c r="C14" s="29"/>
      <c r="J14" s="30"/>
      <c r="K14" s="30"/>
      <c r="M14" s="30"/>
      <c r="N14" s="30"/>
      <c r="O14" s="30"/>
      <c r="P14" s="30"/>
      <c r="Q14" s="83"/>
      <c r="R14" s="30"/>
      <c r="S14" s="30"/>
      <c r="T14" s="30"/>
      <c r="U14" s="30"/>
      <c r="V14" s="84"/>
    </row>
    <row r="15" s="29" customFormat="1" customHeight="1" spans="10:23">
      <c r="J15" s="30"/>
      <c r="K15" s="30"/>
      <c r="M15" s="30"/>
      <c r="N15" s="30"/>
      <c r="O15" s="30"/>
      <c r="P15" s="30"/>
      <c r="Q15" s="30"/>
      <c r="R15" s="30"/>
      <c r="S15" s="30"/>
      <c r="T15" s="85" t="s">
        <v>58</v>
      </c>
      <c r="U15" s="85"/>
      <c r="V15" s="86"/>
      <c r="W15" s="86"/>
    </row>
    <row r="16" s="29" customFormat="1" customHeight="1" spans="10:22">
      <c r="J16" s="30"/>
      <c r="K16" s="30"/>
      <c r="M16" s="30"/>
      <c r="N16" s="30"/>
      <c r="O16" s="30"/>
      <c r="P16" s="30"/>
      <c r="Q16" s="30"/>
      <c r="R16" s="30"/>
      <c r="S16" s="30"/>
      <c r="T16" s="30"/>
      <c r="U16" s="30"/>
      <c r="V16" s="85"/>
    </row>
  </sheetData>
  <mergeCells count="26">
    <mergeCell ref="A1:X1"/>
    <mergeCell ref="B2:L2"/>
    <mergeCell ref="M2:Q2"/>
    <mergeCell ref="R2:V2"/>
    <mergeCell ref="A13:D13"/>
    <mergeCell ref="T15:V15"/>
    <mergeCell ref="A7:A9"/>
    <mergeCell ref="D7:D9"/>
    <mergeCell ref="I7:I9"/>
    <mergeCell ref="J7:J9"/>
    <mergeCell ref="K7:K9"/>
    <mergeCell ref="L7:L9"/>
    <mergeCell ref="M7:M9"/>
    <mergeCell ref="N7:N9"/>
    <mergeCell ref="O7:O9"/>
    <mergeCell ref="P7:P9"/>
    <mergeCell ref="Q7:Q9"/>
    <mergeCell ref="R7:R9"/>
    <mergeCell ref="S7:S9"/>
    <mergeCell ref="T7:T9"/>
    <mergeCell ref="U7:U9"/>
    <mergeCell ref="V7:V9"/>
    <mergeCell ref="W7:W9"/>
    <mergeCell ref="X4:X6"/>
    <mergeCell ref="X7:X11"/>
    <mergeCell ref="W2:X3"/>
  </mergeCells>
  <pageMargins left="0.550694444444444" right="0.7" top="0.75" bottom="0.75" header="0.3" footer="0.3"/>
  <pageSetup paperSize="9" scale="4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H12" sqref="H12"/>
    </sheetView>
  </sheetViews>
  <sheetFormatPr defaultColWidth="9" defaultRowHeight="13.5"/>
  <cols>
    <col min="1" max="1" width="7.5" customWidth="1"/>
    <col min="2" max="2" width="11.75" customWidth="1"/>
    <col min="3" max="3" width="20.75" customWidth="1"/>
    <col min="4" max="4" width="12.875" customWidth="1"/>
    <col min="5" max="5" width="17.125" customWidth="1"/>
    <col min="6" max="6" width="12.375" customWidth="1"/>
    <col min="7" max="7" width="12.625" customWidth="1"/>
    <col min="8" max="8" width="18.375" customWidth="1"/>
    <col min="9" max="10" width="16.875" customWidth="1"/>
  </cols>
  <sheetData>
    <row r="1" ht="38" customHeight="1" spans="1:10">
      <c r="A1" s="2" t="s">
        <v>59</v>
      </c>
      <c r="B1" s="3"/>
      <c r="C1" s="2"/>
      <c r="D1" s="2"/>
      <c r="E1" s="2"/>
      <c r="F1" s="2"/>
      <c r="G1" s="2"/>
      <c r="H1" s="2"/>
      <c r="I1" s="2"/>
      <c r="J1" s="2"/>
    </row>
    <row r="2" ht="38" customHeight="1" spans="1:10">
      <c r="A2" s="4" t="s">
        <v>5</v>
      </c>
      <c r="B2" s="5" t="s">
        <v>60</v>
      </c>
      <c r="C2" s="6" t="s">
        <v>61</v>
      </c>
      <c r="D2" s="4" t="s">
        <v>62</v>
      </c>
      <c r="E2" s="4" t="s">
        <v>63</v>
      </c>
      <c r="F2" s="7" t="s">
        <v>64</v>
      </c>
      <c r="G2" s="7" t="s">
        <v>65</v>
      </c>
      <c r="H2" s="7" t="s">
        <v>66</v>
      </c>
      <c r="I2" s="4" t="s">
        <v>67</v>
      </c>
      <c r="J2" s="4" t="s">
        <v>68</v>
      </c>
    </row>
    <row r="3" s="1" customFormat="1" ht="27" customHeight="1" spans="1:10">
      <c r="A3" s="8">
        <v>1</v>
      </c>
      <c r="B3" s="8" t="s">
        <v>69</v>
      </c>
      <c r="C3" s="9">
        <v>1788.92</v>
      </c>
      <c r="D3" s="10">
        <v>112.66</v>
      </c>
      <c r="E3" s="11">
        <v>1676.26</v>
      </c>
      <c r="F3" s="12"/>
      <c r="G3" s="13"/>
      <c r="H3" s="11">
        <f t="shared" ref="H3:H11" si="0">E3-G3</f>
        <v>1676.26</v>
      </c>
      <c r="I3" s="22"/>
      <c r="J3" s="23"/>
    </row>
    <row r="4" s="1" customFormat="1" ht="27" customHeight="1" spans="1:10">
      <c r="A4" s="8">
        <v>2</v>
      </c>
      <c r="B4" s="8" t="s">
        <v>70</v>
      </c>
      <c r="C4" s="9">
        <v>3577.84</v>
      </c>
      <c r="D4" s="10">
        <v>225.33</v>
      </c>
      <c r="E4" s="11">
        <v>3352.51</v>
      </c>
      <c r="F4" s="12"/>
      <c r="G4" s="13"/>
      <c r="H4" s="11">
        <f t="shared" si="0"/>
        <v>3352.51</v>
      </c>
      <c r="I4" s="22"/>
      <c r="J4" s="23"/>
    </row>
    <row r="5" s="1" customFormat="1" ht="27" customHeight="1" spans="1:10">
      <c r="A5" s="8">
        <v>3</v>
      </c>
      <c r="B5" s="8" t="s">
        <v>71</v>
      </c>
      <c r="C5" s="9">
        <v>3767.24</v>
      </c>
      <c r="D5" s="10">
        <v>225.32</v>
      </c>
      <c r="E5" s="11">
        <v>3542.92</v>
      </c>
      <c r="F5" s="12"/>
      <c r="G5" s="13"/>
      <c r="H5" s="11">
        <f t="shared" si="0"/>
        <v>3542.92</v>
      </c>
      <c r="I5" s="22"/>
      <c r="J5" s="23"/>
    </row>
    <row r="6" ht="27" customHeight="1" spans="1:10">
      <c r="A6" s="8">
        <v>4</v>
      </c>
      <c r="B6" s="14" t="s">
        <v>28</v>
      </c>
      <c r="C6" s="9">
        <v>9678.82</v>
      </c>
      <c r="D6" s="10">
        <v>442.940000000001</v>
      </c>
      <c r="E6" s="10">
        <v>9235.88</v>
      </c>
      <c r="F6" s="12"/>
      <c r="G6" s="13"/>
      <c r="H6" s="11">
        <f t="shared" si="0"/>
        <v>9235.88</v>
      </c>
      <c r="I6" s="22"/>
      <c r="J6" s="23"/>
    </row>
    <row r="7" ht="27" customHeight="1" spans="1:10">
      <c r="A7" s="8">
        <v>5</v>
      </c>
      <c r="B7" s="14" t="s">
        <v>33</v>
      </c>
      <c r="C7" s="9">
        <v>1808.47</v>
      </c>
      <c r="D7" s="10">
        <v>0</v>
      </c>
      <c r="E7" s="10">
        <v>1808.47</v>
      </c>
      <c r="F7" s="12"/>
      <c r="G7" s="13"/>
      <c r="H7" s="11">
        <f t="shared" si="0"/>
        <v>1808.47</v>
      </c>
      <c r="I7" s="22"/>
      <c r="J7" s="23"/>
    </row>
    <row r="8" ht="27" customHeight="1" spans="1:10">
      <c r="A8" s="8">
        <v>6</v>
      </c>
      <c r="B8" s="15" t="s">
        <v>37</v>
      </c>
      <c r="C8" s="9">
        <v>11190</v>
      </c>
      <c r="D8" s="10">
        <v>0</v>
      </c>
      <c r="E8" s="10">
        <v>11190</v>
      </c>
      <c r="F8" s="12"/>
      <c r="G8" s="13"/>
      <c r="H8" s="11">
        <f t="shared" si="0"/>
        <v>11190</v>
      </c>
      <c r="I8" s="22"/>
      <c r="J8" s="23"/>
    </row>
    <row r="9" ht="27" customHeight="1" spans="1:10">
      <c r="A9" s="8">
        <v>7</v>
      </c>
      <c r="B9" s="8" t="s">
        <v>41</v>
      </c>
      <c r="C9" s="9">
        <v>2675</v>
      </c>
      <c r="D9" s="10">
        <v>803</v>
      </c>
      <c r="E9" s="11">
        <v>1872</v>
      </c>
      <c r="F9" s="12"/>
      <c r="G9" s="13"/>
      <c r="H9" s="11">
        <f t="shared" si="0"/>
        <v>1872</v>
      </c>
      <c r="I9" s="22"/>
      <c r="J9" s="23"/>
    </row>
    <row r="10" ht="27" customHeight="1" spans="1:10">
      <c r="A10" s="8">
        <v>9</v>
      </c>
      <c r="B10" s="15" t="s">
        <v>50</v>
      </c>
      <c r="C10" s="9">
        <v>1482</v>
      </c>
      <c r="D10" s="10">
        <v>445</v>
      </c>
      <c r="E10" s="11">
        <v>1037</v>
      </c>
      <c r="F10" s="12"/>
      <c r="G10" s="13"/>
      <c r="H10" s="11">
        <f t="shared" si="0"/>
        <v>1037</v>
      </c>
      <c r="I10" s="22"/>
      <c r="J10" s="23"/>
    </row>
    <row r="11" ht="27" customHeight="1" spans="1:10">
      <c r="A11" s="8">
        <v>10</v>
      </c>
      <c r="B11" s="8" t="s">
        <v>55</v>
      </c>
      <c r="C11" s="9">
        <v>1894</v>
      </c>
      <c r="D11" s="10">
        <v>0</v>
      </c>
      <c r="E11" s="10">
        <v>1894</v>
      </c>
      <c r="F11" s="12"/>
      <c r="G11" s="13"/>
      <c r="H11" s="11">
        <f t="shared" si="0"/>
        <v>1894</v>
      </c>
      <c r="I11" s="22"/>
      <c r="J11" s="23"/>
    </row>
    <row r="12" ht="27" customHeight="1" spans="1:10">
      <c r="A12" s="8"/>
      <c r="B12" s="8"/>
      <c r="C12" s="16"/>
      <c r="D12" s="16"/>
      <c r="E12" s="13"/>
      <c r="F12" s="12"/>
      <c r="G12" s="13"/>
      <c r="H12" s="11">
        <f>SUM(H3:H11)</f>
        <v>35609.04</v>
      </c>
      <c r="I12" s="22"/>
      <c r="J12" s="23"/>
    </row>
    <row r="15" spans="1:11">
      <c r="A15" s="17"/>
      <c r="B15" s="18"/>
      <c r="C15" s="19"/>
      <c r="D15" s="20"/>
      <c r="E15" s="19"/>
      <c r="F15" s="20"/>
      <c r="G15" s="19"/>
      <c r="H15" s="20"/>
      <c r="I15" s="17" t="s">
        <v>72</v>
      </c>
      <c r="J15" s="24" t="s">
        <v>73</v>
      </c>
      <c r="K15" s="24"/>
    </row>
    <row r="20" spans="3:3">
      <c r="C20" s="21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租赁业务明细</vt:lpstr>
      <vt:lpstr>提成发放表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清风暖阳</cp:lastModifiedBy>
  <dcterms:created xsi:type="dcterms:W3CDTF">2023-05-12T11:15:00Z</dcterms:created>
  <dcterms:modified xsi:type="dcterms:W3CDTF">2025-03-20T10:59:33Z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325140F87123494FBF1B0377568974CB_13</vt:lpwstr>
  </property>
  <property fmtid="{D5CDD505-2E9C-101B-9397-08002B2CF9AE}" pid="4" name="KSOReadingLayout">
    <vt:bool>true</vt:bool>
  </property>
</Properties>
</file>